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480" yWindow="48" windowWidth="11340" windowHeight="8232" tabRatio="762" firstSheet="3" activeTab="12"/>
  </bookViews>
  <sheets>
    <sheet name="Stmt net assets" sheetId="10" r:id="rId1"/>
    <sheet name="Stmt of activities-GA rev" sheetId="9" r:id="rId2"/>
    <sheet name="Stmt of activities-GAexp" sheetId="8" r:id="rId3"/>
    <sheet name="Gen Bal" sheetId="7" r:id="rId4"/>
    <sheet name="GV Fund BS" sheetId="3" r:id="rId5"/>
    <sheet name="Gen rev" sheetId="1" r:id="rId6"/>
    <sheet name="Gen exp" sheetId="2" r:id="rId7"/>
    <sheet name="GVFund Rev" sheetId="4" r:id="rId8"/>
    <sheet name="GVFund Exp" sheetId="5" r:id="rId9"/>
    <sheet name="Water" sheetId="6" r:id="rId10"/>
    <sheet name="Sewer" sheetId="14" r:id="rId11"/>
    <sheet name="Electric" sheetId="13" r:id="rId12"/>
    <sheet name="Sanitation" sheetId="15" r:id="rId13"/>
    <sheet name="LT Lia GA" sheetId="12" r:id="rId14"/>
  </sheets>
  <externalReferences>
    <externalReference r:id="rId15"/>
    <externalReference r:id="rId16"/>
    <externalReference r:id="rId17"/>
  </externalReferences>
  <definedNames>
    <definedName name="_xlnm.Print_Area" localSheetId="11">Electric!$A$13:$W$233,Electric!$Y$12:$AY$233,Electric!$BA$13:$BM$233</definedName>
    <definedName name="_xlnm.Print_Area" localSheetId="3">'Gen Bal'!$A$10:$S$255</definedName>
    <definedName name="_xlnm.Print_Area" localSheetId="6">'Gen exp'!$A$10:$AG$255</definedName>
    <definedName name="_xlnm.Print_Area" localSheetId="5">'Gen rev'!$A$10:$W$256</definedName>
    <definedName name="_xlnm.Print_Area" localSheetId="4">'GV Fund BS'!$A$10:$S$255</definedName>
    <definedName name="_xlnm.Print_Area" localSheetId="8">'GVFund Exp'!$A$10:$AL$255</definedName>
    <definedName name="_xlnm.Print_Area" localSheetId="7">'GVFund Rev'!$A$10:$W$256</definedName>
    <definedName name="_xlnm.Print_Area" localSheetId="13">'LT Lia GA'!$A$10:$U$255</definedName>
    <definedName name="_xlnm.Print_Area" localSheetId="10">Sewer!$A$10:$W$249,Sewer!$Y$10:$AY$249,Sewer!$BA$10:$BM$249</definedName>
    <definedName name="_xlnm.Print_Area" localSheetId="0">'Stmt net assets'!$A$10:$Y$255</definedName>
    <definedName name="_xlnm.Print_Area" localSheetId="1">'Stmt of activities-GA rev'!$A$10:$AC$256</definedName>
    <definedName name="_xlnm.Print_Area" localSheetId="2">'Stmt of activities-GAexp'!$A$10:$AA$255</definedName>
    <definedName name="_xlnm.Print_Area" localSheetId="9">Water!$A$12:$W$254,Water!$Z$12:$AZ$254,Water!$BB$12:$BN$254</definedName>
    <definedName name="_xlnm.Print_Titles" localSheetId="11">Electric!$1:$10</definedName>
    <definedName name="_xlnm.Print_Titles" localSheetId="3">'Gen Bal'!$1:$9</definedName>
    <definedName name="_xlnm.Print_Titles" localSheetId="6">'Gen exp'!$1:$9</definedName>
    <definedName name="_xlnm.Print_Titles" localSheetId="5">'Gen rev'!$1:$9</definedName>
    <definedName name="_xlnm.Print_Titles" localSheetId="4">'GV Fund BS'!$1:$9</definedName>
    <definedName name="_xlnm.Print_Titles" localSheetId="8">'GVFund Exp'!$1:$9</definedName>
    <definedName name="_xlnm.Print_Titles" localSheetId="7">'GVFund Rev'!$1:$9</definedName>
    <definedName name="_xlnm.Print_Titles" localSheetId="13">'LT Lia GA'!$1:$9</definedName>
    <definedName name="_xlnm.Print_Titles" localSheetId="10">Sewer!$1:$9</definedName>
    <definedName name="_xlnm.Print_Titles" localSheetId="0">'Stmt net assets'!$1:$9</definedName>
    <definedName name="_xlnm.Print_Titles" localSheetId="1">'Stmt of activities-GA rev'!$1:$9</definedName>
    <definedName name="_xlnm.Print_Titles" localSheetId="2">'Stmt of activities-GAexp'!$1:$9</definedName>
    <definedName name="_xlnm.Print_Titles" localSheetId="9">Water!$1:$11</definedName>
  </definedNames>
  <calcPr calcId="125725"/>
</workbook>
</file>

<file path=xl/calcChain.xml><?xml version="1.0" encoding="utf-8"?>
<calcChain xmlns="http://schemas.openxmlformats.org/spreadsheetml/2006/main">
  <c r="AE207" i="15"/>
  <c r="AE208" i="13"/>
  <c r="BK200" i="15"/>
  <c r="AE200"/>
  <c r="BI205" i="14"/>
  <c r="BF209" i="6"/>
  <c r="BJ209"/>
  <c r="AF209"/>
  <c r="AF28"/>
  <c r="Q10" i="12"/>
  <c r="AY208" i="13"/>
  <c r="BM19" i="14"/>
  <c r="AY23"/>
  <c r="K208" i="6"/>
  <c r="U52" i="3"/>
  <c r="AC255" i="9"/>
  <c r="M12" i="10" l="1"/>
  <c r="E53" i="12"/>
  <c r="S53" s="1"/>
  <c r="S52"/>
  <c r="S51"/>
  <c r="E50"/>
  <c r="S50" s="1"/>
  <c r="S49"/>
  <c r="S48"/>
  <c r="S47"/>
  <c r="S46"/>
  <c r="S45"/>
  <c r="K44"/>
  <c r="S44" s="1"/>
  <c r="S43"/>
  <c r="S42"/>
  <c r="S41"/>
  <c r="S40"/>
  <c r="Q40"/>
  <c r="S39"/>
  <c r="K38"/>
  <c r="S38" s="1"/>
  <c r="M37"/>
  <c r="S37" s="1"/>
  <c r="Q36"/>
  <c r="S36" s="1"/>
  <c r="S35"/>
  <c r="K34"/>
  <c r="S34" s="1"/>
  <c r="S33"/>
  <c r="S32"/>
  <c r="K31"/>
  <c r="S31" s="1"/>
  <c r="K30"/>
  <c r="E30"/>
  <c r="S30" s="1"/>
  <c r="Q29"/>
  <c r="M29"/>
  <c r="S29" s="1"/>
  <c r="S28"/>
  <c r="S27"/>
  <c r="Q26"/>
  <c r="G26"/>
  <c r="S26" s="1"/>
  <c r="S25"/>
  <c r="S24"/>
  <c r="BM29" i="15"/>
  <c r="AE29"/>
  <c r="AI29" s="1"/>
  <c r="AS29" s="1"/>
  <c r="W29"/>
  <c r="K29"/>
  <c r="E29"/>
  <c r="AY29" s="1"/>
  <c r="BE46" i="13"/>
  <c r="BM46" s="1"/>
  <c r="AE46"/>
  <c r="AI46" s="1"/>
  <c r="AS46" s="1"/>
  <c r="W46"/>
  <c r="K46"/>
  <c r="E46"/>
  <c r="AY46" s="1"/>
  <c r="BM39"/>
  <c r="AI39"/>
  <c r="AS39" s="1"/>
  <c r="AE39"/>
  <c r="W39"/>
  <c r="K39"/>
  <c r="E39"/>
  <c r="AY39" s="1"/>
  <c r="BM53" i="14"/>
  <c r="AS53"/>
  <c r="W53"/>
  <c r="K53"/>
  <c r="E53"/>
  <c r="BM52"/>
  <c r="AE52"/>
  <c r="AI52" s="1"/>
  <c r="AS52" s="1"/>
  <c r="W52"/>
  <c r="K52"/>
  <c r="E52"/>
  <c r="AY52" s="1"/>
  <c r="BM51"/>
  <c r="AS51"/>
  <c r="AI51"/>
  <c r="K51"/>
  <c r="E51"/>
  <c r="BM50"/>
  <c r="AI50"/>
  <c r="AS50" s="1"/>
  <c r="W50"/>
  <c r="K50"/>
  <c r="E50"/>
  <c r="BM49"/>
  <c r="AI49"/>
  <c r="AS49" s="1"/>
  <c r="W49"/>
  <c r="K49"/>
  <c r="E49"/>
  <c r="BM48"/>
  <c r="AE48"/>
  <c r="AI48" s="1"/>
  <c r="AS48" s="1"/>
  <c r="W48"/>
  <c r="K48"/>
  <c r="E48"/>
  <c r="BM47"/>
  <c r="AI47"/>
  <c r="AS47" s="1"/>
  <c r="W47"/>
  <c r="K47"/>
  <c r="E47"/>
  <c r="BM46"/>
  <c r="AI46"/>
  <c r="AS46" s="1"/>
  <c r="W46"/>
  <c r="K46"/>
  <c r="E46"/>
  <c r="BM45"/>
  <c r="AE45"/>
  <c r="AI45" s="1"/>
  <c r="AS45" s="1"/>
  <c r="W45"/>
  <c r="K45"/>
  <c r="E45"/>
  <c r="BM44"/>
  <c r="BI44"/>
  <c r="AI44"/>
  <c r="AS44" s="1"/>
  <c r="AE44"/>
  <c r="W44"/>
  <c r="K44"/>
  <c r="E44"/>
  <c r="AY44" s="1"/>
  <c r="BM43"/>
  <c r="AI43"/>
  <c r="AS43" s="1"/>
  <c r="AE43"/>
  <c r="W43"/>
  <c r="K43"/>
  <c r="E43"/>
  <c r="AY43" s="1"/>
  <c r="BM42"/>
  <c r="AI42"/>
  <c r="AS42" s="1"/>
  <c r="AE42"/>
  <c r="W42"/>
  <c r="K42"/>
  <c r="E42"/>
  <c r="AY42" s="1"/>
  <c r="BM41"/>
  <c r="AI41"/>
  <c r="AS41" s="1"/>
  <c r="W41"/>
  <c r="K41"/>
  <c r="E41"/>
  <c r="BM40"/>
  <c r="AE40"/>
  <c r="AI40" s="1"/>
  <c r="AS40" s="1"/>
  <c r="W40"/>
  <c r="K40"/>
  <c r="E40"/>
  <c r="AY40" s="1"/>
  <c r="BM39"/>
  <c r="BE39"/>
  <c r="AI39"/>
  <c r="AS39" s="1"/>
  <c r="AE39"/>
  <c r="W39"/>
  <c r="K39"/>
  <c r="E39"/>
  <c r="BM38"/>
  <c r="AI38"/>
  <c r="AS38" s="1"/>
  <c r="AE38"/>
  <c r="W38"/>
  <c r="K38"/>
  <c r="E38"/>
  <c r="BM37"/>
  <c r="AI37"/>
  <c r="AS37" s="1"/>
  <c r="W37"/>
  <c r="K37"/>
  <c r="E37"/>
  <c r="BM36"/>
  <c r="AS36"/>
  <c r="AI36"/>
  <c r="W36"/>
  <c r="K36"/>
  <c r="E36"/>
  <c r="AY36" s="1"/>
  <c r="BM35"/>
  <c r="AI35"/>
  <c r="AS35" s="1"/>
  <c r="W35"/>
  <c r="K35"/>
  <c r="AY35" s="1"/>
  <c r="E35"/>
  <c r="BM34"/>
  <c r="AI34"/>
  <c r="AS34" s="1"/>
  <c r="W34"/>
  <c r="K34"/>
  <c r="E34"/>
  <c r="BM33"/>
  <c r="AI33"/>
  <c r="AS33" s="1"/>
  <c r="W33"/>
  <c r="K33"/>
  <c r="E33"/>
  <c r="BM32"/>
  <c r="AI32"/>
  <c r="AS32" s="1"/>
  <c r="W32"/>
  <c r="K32"/>
  <c r="E32"/>
  <c r="BM31"/>
  <c r="AI31"/>
  <c r="AS31" s="1"/>
  <c r="W31"/>
  <c r="K31"/>
  <c r="E31"/>
  <c r="BM30"/>
  <c r="AI30"/>
  <c r="AS30" s="1"/>
  <c r="K30"/>
  <c r="E30"/>
  <c r="AY30" s="1"/>
  <c r="BM29"/>
  <c r="AE29"/>
  <c r="AI29" s="1"/>
  <c r="AS29" s="1"/>
  <c r="W29"/>
  <c r="K29"/>
  <c r="E29"/>
  <c r="BM28"/>
  <c r="AE28"/>
  <c r="AI28" s="1"/>
  <c r="AS28" s="1"/>
  <c r="W28"/>
  <c r="K28"/>
  <c r="E28"/>
  <c r="AY28" s="1"/>
  <c r="BM27"/>
  <c r="AE27"/>
  <c r="AI27" s="1"/>
  <c r="AS27" s="1"/>
  <c r="W27"/>
  <c r="K27"/>
  <c r="E27"/>
  <c r="BM26"/>
  <c r="AI26"/>
  <c r="AS26" s="1"/>
  <c r="W26"/>
  <c r="K26"/>
  <c r="E26"/>
  <c r="BK25"/>
  <c r="BM25" s="1"/>
  <c r="AE25"/>
  <c r="AI25" s="1"/>
  <c r="AS25" s="1"/>
  <c r="W25"/>
  <c r="M25"/>
  <c r="K25" s="1"/>
  <c r="G25"/>
  <c r="E25" s="1"/>
  <c r="AY25" s="1"/>
  <c r="BM24"/>
  <c r="AI24"/>
  <c r="AS24" s="1"/>
  <c r="W24"/>
  <c r="K24"/>
  <c r="E24"/>
  <c r="BM23"/>
  <c r="AI23"/>
  <c r="AS23" s="1"/>
  <c r="AE23"/>
  <c r="W23"/>
  <c r="M23"/>
  <c r="K23"/>
  <c r="E23"/>
  <c r="BN55" i="6"/>
  <c r="AF55"/>
  <c r="AJ55" s="1"/>
  <c r="AT55" s="1"/>
  <c r="W55"/>
  <c r="K55"/>
  <c r="E55"/>
  <c r="AZ55" s="1"/>
  <c r="BN54"/>
  <c r="AF54"/>
  <c r="AJ54" s="1"/>
  <c r="AT54" s="1"/>
  <c r="W54"/>
  <c r="K54"/>
  <c r="E54"/>
  <c r="BN53"/>
  <c r="BL53"/>
  <c r="AJ53"/>
  <c r="AT53" s="1"/>
  <c r="AF53"/>
  <c r="W53"/>
  <c r="K53"/>
  <c r="E53"/>
  <c r="AZ53" s="1"/>
  <c r="BL52"/>
  <c r="BH52"/>
  <c r="BN52" s="1"/>
  <c r="AJ52"/>
  <c r="AT52" s="1"/>
  <c r="AF52"/>
  <c r="W52"/>
  <c r="S52"/>
  <c r="K52"/>
  <c r="E52"/>
  <c r="BN51"/>
  <c r="AJ51"/>
  <c r="AT51" s="1"/>
  <c r="W51"/>
  <c r="K51"/>
  <c r="E51"/>
  <c r="BN50"/>
  <c r="AJ50"/>
  <c r="AT50" s="1"/>
  <c r="AF50"/>
  <c r="W50"/>
  <c r="K50"/>
  <c r="E50"/>
  <c r="AZ50" s="1"/>
  <c r="BN49"/>
  <c r="AJ49"/>
  <c r="AT49" s="1"/>
  <c r="W49"/>
  <c r="K49"/>
  <c r="E49"/>
  <c r="BJ48"/>
  <c r="BF48"/>
  <c r="BN48" s="1"/>
  <c r="AF48"/>
  <c r="AJ48" s="1"/>
  <c r="AT48" s="1"/>
  <c r="W48"/>
  <c r="K48"/>
  <c r="E48"/>
  <c r="BN47"/>
  <c r="AF47"/>
  <c r="AJ47" s="1"/>
  <c r="AT47" s="1"/>
  <c r="W47"/>
  <c r="K47"/>
  <c r="E47"/>
  <c r="AZ47" s="1"/>
  <c r="BL46"/>
  <c r="BJ46"/>
  <c r="BN46" s="1"/>
  <c r="AF46"/>
  <c r="AJ46" s="1"/>
  <c r="AT46" s="1"/>
  <c r="W46"/>
  <c r="K46"/>
  <c r="E46"/>
  <c r="AZ46" s="1"/>
  <c r="BN45"/>
  <c r="AF45"/>
  <c r="AJ45" s="1"/>
  <c r="AT45" s="1"/>
  <c r="W45"/>
  <c r="K45"/>
  <c r="E45"/>
  <c r="BN44"/>
  <c r="AF44"/>
  <c r="AJ44" s="1"/>
  <c r="AT44" s="1"/>
  <c r="W44"/>
  <c r="K44"/>
  <c r="E44"/>
  <c r="AZ44" s="1"/>
  <c r="BL43"/>
  <c r="BJ43"/>
  <c r="BN43" s="1"/>
  <c r="AF43"/>
  <c r="AJ43" s="1"/>
  <c r="AT43" s="1"/>
  <c r="W43"/>
  <c r="K43"/>
  <c r="E43"/>
  <c r="AZ43" s="1"/>
  <c r="BN42"/>
  <c r="BJ42"/>
  <c r="AJ42"/>
  <c r="AT42" s="1"/>
  <c r="W42"/>
  <c r="K42"/>
  <c r="E42"/>
  <c r="BN41"/>
  <c r="AF41"/>
  <c r="AJ41" s="1"/>
  <c r="AT41" s="1"/>
  <c r="W41"/>
  <c r="K41"/>
  <c r="E41"/>
  <c r="BN40"/>
  <c r="AJ40"/>
  <c r="AT40" s="1"/>
  <c r="W40"/>
  <c r="K40"/>
  <c r="E40"/>
  <c r="BN39"/>
  <c r="AJ39"/>
  <c r="AT39" s="1"/>
  <c r="W39"/>
  <c r="K39"/>
  <c r="E39"/>
  <c r="BN38"/>
  <c r="AT38"/>
  <c r="AJ38"/>
  <c r="W38"/>
  <c r="K38"/>
  <c r="E38"/>
  <c r="AZ38" s="1"/>
  <c r="BN37"/>
  <c r="AJ37"/>
  <c r="AT37" s="1"/>
  <c r="W37"/>
  <c r="K37"/>
  <c r="AZ37" s="1"/>
  <c r="E37"/>
  <c r="BN36"/>
  <c r="AT36"/>
  <c r="W36"/>
  <c r="K36"/>
  <c r="E36"/>
  <c r="AZ36" s="1"/>
  <c r="BN35"/>
  <c r="AT35"/>
  <c r="AJ35"/>
  <c r="W35"/>
  <c r="K35"/>
  <c r="E35"/>
  <c r="AZ35" s="1"/>
  <c r="BN34"/>
  <c r="AJ34"/>
  <c r="AT34" s="1"/>
  <c r="W34"/>
  <c r="K34"/>
  <c r="AZ34" s="1"/>
  <c r="E34"/>
  <c r="BN33"/>
  <c r="AJ33"/>
  <c r="AT33" s="1"/>
  <c r="W33"/>
  <c r="K33"/>
  <c r="E33"/>
  <c r="BF32"/>
  <c r="BN32" s="1"/>
  <c r="AF32"/>
  <c r="AJ32" s="1"/>
  <c r="AT32" s="1"/>
  <c r="W32"/>
  <c r="K32"/>
  <c r="G32"/>
  <c r="E32"/>
  <c r="AZ32" s="1"/>
  <c r="BL31"/>
  <c r="BJ31"/>
  <c r="BN31" s="1"/>
  <c r="AJ31"/>
  <c r="AT31" s="1"/>
  <c r="AF31"/>
  <c r="W31"/>
  <c r="K31"/>
  <c r="AZ31" s="1"/>
  <c r="BN30"/>
  <c r="BL30"/>
  <c r="AJ30"/>
  <c r="AT30" s="1"/>
  <c r="AF30"/>
  <c r="W30"/>
  <c r="K30"/>
  <c r="E30"/>
  <c r="BJ29"/>
  <c r="BN29" s="1"/>
  <c r="AF29"/>
  <c r="AD29"/>
  <c r="AJ29" s="1"/>
  <c r="AT29" s="1"/>
  <c r="W29"/>
  <c r="K29"/>
  <c r="G29"/>
  <c r="E29" s="1"/>
  <c r="BL28"/>
  <c r="BF28"/>
  <c r="BN28" s="1"/>
  <c r="AJ28"/>
  <c r="AT28" s="1"/>
  <c r="W28"/>
  <c r="M28"/>
  <c r="K28"/>
  <c r="G28"/>
  <c r="E28"/>
  <c r="AZ28" s="1"/>
  <c r="BN27"/>
  <c r="AJ27"/>
  <c r="AT27" s="1"/>
  <c r="AF27"/>
  <c r="W27"/>
  <c r="K27"/>
  <c r="E27"/>
  <c r="AZ27" s="1"/>
  <c r="AH53" i="5"/>
  <c r="O52"/>
  <c r="I52"/>
  <c r="G52"/>
  <c r="AN51"/>
  <c r="AL51"/>
  <c r="Q51"/>
  <c r="M51"/>
  <c r="G50"/>
  <c r="AH50" s="1"/>
  <c r="AH49"/>
  <c r="AH48"/>
  <c r="AH47"/>
  <c r="AH46"/>
  <c r="AH45"/>
  <c r="AH44"/>
  <c r="AH43"/>
  <c r="AH42"/>
  <c r="AH41"/>
  <c r="G40"/>
  <c r="AH40" s="1"/>
  <c r="AH39"/>
  <c r="AH38"/>
  <c r="AH37"/>
  <c r="AL36"/>
  <c r="AB36"/>
  <c r="AH36" s="1"/>
  <c r="G35"/>
  <c r="AH35" s="1"/>
  <c r="AH34"/>
  <c r="G33"/>
  <c r="E33"/>
  <c r="G32"/>
  <c r="E32"/>
  <c r="AH31"/>
  <c r="AH30"/>
  <c r="AH29"/>
  <c r="O28"/>
  <c r="G28"/>
  <c r="E27"/>
  <c r="AH27" s="1"/>
  <c r="E26"/>
  <c r="AH26" s="1"/>
  <c r="AH25"/>
  <c r="Q24"/>
  <c r="AH24" s="1"/>
  <c r="Q53" i="4"/>
  <c r="S53" s="1"/>
  <c r="W52"/>
  <c r="Q52"/>
  <c r="S52" s="1"/>
  <c r="W51"/>
  <c r="S51"/>
  <c r="W50"/>
  <c r="S50"/>
  <c r="S49"/>
  <c r="Q48"/>
  <c r="S48" s="1"/>
  <c r="W47"/>
  <c r="S47"/>
  <c r="W46"/>
  <c r="Q46"/>
  <c r="S46" s="1"/>
  <c r="W45"/>
  <c r="S45"/>
  <c r="Q45"/>
  <c r="W44"/>
  <c r="Q44"/>
  <c r="S44" s="1"/>
  <c r="W43"/>
  <c r="S43"/>
  <c r="S42"/>
  <c r="W41"/>
  <c r="S41"/>
  <c r="W40"/>
  <c r="Q40"/>
  <c r="S40" s="1"/>
  <c r="W39"/>
  <c r="S39"/>
  <c r="W38"/>
  <c r="S38"/>
  <c r="W37"/>
  <c r="S37"/>
  <c r="W36"/>
  <c r="S36"/>
  <c r="W35"/>
  <c r="S35"/>
  <c r="W34"/>
  <c r="S34"/>
  <c r="Q34"/>
  <c r="W33"/>
  <c r="Q33"/>
  <c r="S33" s="1"/>
  <c r="W32"/>
  <c r="Q32"/>
  <c r="S32" s="1"/>
  <c r="W31"/>
  <c r="S31"/>
  <c r="W30"/>
  <c r="Q30"/>
  <c r="S30" s="1"/>
  <c r="W29"/>
  <c r="Q29"/>
  <c r="S29" s="1"/>
  <c r="I28"/>
  <c r="S28" s="1"/>
  <c r="Q27"/>
  <c r="S27" s="1"/>
  <c r="W26"/>
  <c r="S26"/>
  <c r="S25"/>
  <c r="W24"/>
  <c r="Q24"/>
  <c r="S24" s="1"/>
  <c r="AC53" i="2"/>
  <c r="O52"/>
  <c r="G52"/>
  <c r="AC52" s="1"/>
  <c r="Q51"/>
  <c r="AC51" s="1"/>
  <c r="G50"/>
  <c r="AC50" s="1"/>
  <c r="AC49"/>
  <c r="AC48"/>
  <c r="AC47"/>
  <c r="AC46"/>
  <c r="AC45"/>
  <c r="AC44"/>
  <c r="AC43"/>
  <c r="AC42"/>
  <c r="AC41"/>
  <c r="G40"/>
  <c r="AC40" s="1"/>
  <c r="AC39"/>
  <c r="AC38"/>
  <c r="AC37"/>
  <c r="AC36"/>
  <c r="G35"/>
  <c r="AC35" s="1"/>
  <c r="AC34"/>
  <c r="G33"/>
  <c r="E33"/>
  <c r="G32"/>
  <c r="E32"/>
  <c r="AC32" s="1"/>
  <c r="AC31"/>
  <c r="AC30"/>
  <c r="AC29"/>
  <c r="G28"/>
  <c r="AC28" s="1"/>
  <c r="E27"/>
  <c r="AC27" s="1"/>
  <c r="Q26"/>
  <c r="E26"/>
  <c r="AC25"/>
  <c r="AC24"/>
  <c r="S53" i="1"/>
  <c r="Q52"/>
  <c r="S52" s="1"/>
  <c r="S51"/>
  <c r="W50"/>
  <c r="S50"/>
  <c r="S49"/>
  <c r="Q48"/>
  <c r="S48" s="1"/>
  <c r="S47"/>
  <c r="S46"/>
  <c r="Q46"/>
  <c r="S45"/>
  <c r="Q45"/>
  <c r="S44"/>
  <c r="Q44"/>
  <c r="W43"/>
  <c r="Q43"/>
  <c r="S43" s="1"/>
  <c r="S42"/>
  <c r="Q41"/>
  <c r="S41" s="1"/>
  <c r="W40"/>
  <c r="Q40"/>
  <c r="S40" s="1"/>
  <c r="W39"/>
  <c r="Q39"/>
  <c r="S39" s="1"/>
  <c r="S38"/>
  <c r="W37"/>
  <c r="S37"/>
  <c r="S36"/>
  <c r="S35"/>
  <c r="Q34"/>
  <c r="S34" s="1"/>
  <c r="W33"/>
  <c r="Q33"/>
  <c r="S33" s="1"/>
  <c r="Q32"/>
  <c r="S32" s="1"/>
  <c r="S31"/>
  <c r="W30"/>
  <c r="Q30"/>
  <c r="S30" s="1"/>
  <c r="S29"/>
  <c r="S28"/>
  <c r="Q27"/>
  <c r="S27" s="1"/>
  <c r="Q26"/>
  <c r="S26" s="1"/>
  <c r="S25"/>
  <c r="Q24"/>
  <c r="S24" s="1"/>
  <c r="S53" i="3"/>
  <c r="Q52"/>
  <c r="M52"/>
  <c r="S52" s="1"/>
  <c r="Q51"/>
  <c r="M51"/>
  <c r="E51"/>
  <c r="Q50"/>
  <c r="M50"/>
  <c r="Q49"/>
  <c r="M49"/>
  <c r="S49" s="1"/>
  <c r="Q48"/>
  <c r="M48"/>
  <c r="Q47"/>
  <c r="M47"/>
  <c r="S47" s="1"/>
  <c r="Q46"/>
  <c r="M46"/>
  <c r="Q45"/>
  <c r="M45"/>
  <c r="S45" s="1"/>
  <c r="Q44"/>
  <c r="M44"/>
  <c r="Q43"/>
  <c r="M43"/>
  <c r="S43" s="1"/>
  <c r="Q42"/>
  <c r="S42" s="1"/>
  <c r="Q41"/>
  <c r="S41" s="1"/>
  <c r="M41"/>
  <c r="S40"/>
  <c r="Q40"/>
  <c r="Q39"/>
  <c r="M39"/>
  <c r="Q38"/>
  <c r="S38" s="1"/>
  <c r="M38"/>
  <c r="Q37"/>
  <c r="M37"/>
  <c r="Q36"/>
  <c r="S36" s="1"/>
  <c r="M36"/>
  <c r="Q35"/>
  <c r="M35"/>
  <c r="Q34"/>
  <c r="S34" s="1"/>
  <c r="M34"/>
  <c r="S33"/>
  <c r="Q33"/>
  <c r="Q32"/>
  <c r="O32"/>
  <c r="M32"/>
  <c r="M31"/>
  <c r="S31" s="1"/>
  <c r="Q30"/>
  <c r="S30" s="1"/>
  <c r="Q29"/>
  <c r="M29"/>
  <c r="S29" s="1"/>
  <c r="Q28"/>
  <c r="M28"/>
  <c r="Q27"/>
  <c r="M27"/>
  <c r="S27" s="1"/>
  <c r="Q26"/>
  <c r="M26"/>
  <c r="Q25"/>
  <c r="M25"/>
  <c r="S25" s="1"/>
  <c r="Q24"/>
  <c r="M24"/>
  <c r="S53" i="7"/>
  <c r="S52"/>
  <c r="Q51"/>
  <c r="M51"/>
  <c r="S51" s="1"/>
  <c r="E51"/>
  <c r="S50"/>
  <c r="M49"/>
  <c r="S49" s="1"/>
  <c r="M48"/>
  <c r="S48" s="1"/>
  <c r="M47"/>
  <c r="S47" s="1"/>
  <c r="M46"/>
  <c r="S46" s="1"/>
  <c r="M45"/>
  <c r="S45" s="1"/>
  <c r="M44"/>
  <c r="S44" s="1"/>
  <c r="M43"/>
  <c r="S43" s="1"/>
  <c r="S42"/>
  <c r="S41"/>
  <c r="S40"/>
  <c r="M39"/>
  <c r="S39" s="1"/>
  <c r="M38"/>
  <c r="S38" s="1"/>
  <c r="M37"/>
  <c r="S37" s="1"/>
  <c r="M36"/>
  <c r="S36" s="1"/>
  <c r="S35"/>
  <c r="M35"/>
  <c r="S34"/>
  <c r="S33"/>
  <c r="S32"/>
  <c r="M32"/>
  <c r="S31"/>
  <c r="M31"/>
  <c r="S30"/>
  <c r="M29"/>
  <c r="S29" s="1"/>
  <c r="M28"/>
  <c r="S28" s="1"/>
  <c r="E28"/>
  <c r="S27"/>
  <c r="E27"/>
  <c r="S26"/>
  <c r="M25"/>
  <c r="S25" s="1"/>
  <c r="M24"/>
  <c r="S24" s="1"/>
  <c r="AA53" i="8"/>
  <c r="W53"/>
  <c r="AA52"/>
  <c r="K52"/>
  <c r="I52"/>
  <c r="E52"/>
  <c r="AA51"/>
  <c r="M51"/>
  <c r="W51" s="1"/>
  <c r="AA50"/>
  <c r="E50"/>
  <c r="W50" s="1"/>
  <c r="AA49"/>
  <c r="W49"/>
  <c r="AA48"/>
  <c r="W48"/>
  <c r="AA47"/>
  <c r="W47"/>
  <c r="AA46"/>
  <c r="W46"/>
  <c r="AA45"/>
  <c r="W45"/>
  <c r="AA44"/>
  <c r="W44"/>
  <c r="AA43"/>
  <c r="W43"/>
  <c r="AA42"/>
  <c r="W42"/>
  <c r="AA41"/>
  <c r="W41"/>
  <c r="AA40"/>
  <c r="W40"/>
  <c r="E40"/>
  <c r="AA39"/>
  <c r="W39"/>
  <c r="AA38"/>
  <c r="W38"/>
  <c r="AA37"/>
  <c r="W37"/>
  <c r="AA36"/>
  <c r="W36"/>
  <c r="AA35"/>
  <c r="E35"/>
  <c r="W35" s="1"/>
  <c r="AA34"/>
  <c r="W34"/>
  <c r="AA33"/>
  <c r="Q33"/>
  <c r="E33"/>
  <c r="AA32"/>
  <c r="S32"/>
  <c r="Q32"/>
  <c r="E32"/>
  <c r="AA31"/>
  <c r="W31"/>
  <c r="AA30"/>
  <c r="W30"/>
  <c r="AA29"/>
  <c r="W29"/>
  <c r="AA28"/>
  <c r="I28"/>
  <c r="E28"/>
  <c r="AA27"/>
  <c r="Q27"/>
  <c r="W27" s="1"/>
  <c r="AA26"/>
  <c r="W26"/>
  <c r="AA25"/>
  <c r="W25"/>
  <c r="AA24"/>
  <c r="W24"/>
  <c r="U53" i="9"/>
  <c r="M53"/>
  <c r="K53"/>
  <c r="AA53" s="1"/>
  <c r="M52"/>
  <c r="K52"/>
  <c r="AC52" s="1"/>
  <c r="K51"/>
  <c r="AC51" s="1"/>
  <c r="M50"/>
  <c r="K50"/>
  <c r="K49"/>
  <c r="AA49" s="1"/>
  <c r="K48"/>
  <c r="AC48" s="1"/>
  <c r="AC47"/>
  <c r="AA47"/>
  <c r="U46"/>
  <c r="K46"/>
  <c r="U45"/>
  <c r="M45"/>
  <c r="K45"/>
  <c r="AC44"/>
  <c r="AA44"/>
  <c r="S43"/>
  <c r="K43"/>
  <c r="AC43" s="1"/>
  <c r="M42"/>
  <c r="K42"/>
  <c r="AC42" s="1"/>
  <c r="M41"/>
  <c r="K41"/>
  <c r="AC41" s="1"/>
  <c r="O40"/>
  <c r="M40"/>
  <c r="K40"/>
  <c r="U39"/>
  <c r="AA39" s="1"/>
  <c r="K38"/>
  <c r="AC38" s="1"/>
  <c r="AC37"/>
  <c r="AA37"/>
  <c r="M36"/>
  <c r="K36"/>
  <c r="M35"/>
  <c r="K35"/>
  <c r="M34"/>
  <c r="K34"/>
  <c r="U33"/>
  <c r="M33"/>
  <c r="K33"/>
  <c r="AA33" s="1"/>
  <c r="O32"/>
  <c r="M32"/>
  <c r="K32"/>
  <c r="K31"/>
  <c r="AA31" s="1"/>
  <c r="U30"/>
  <c r="K30"/>
  <c r="AC30" s="1"/>
  <c r="K29"/>
  <c r="AC29" s="1"/>
  <c r="AA28"/>
  <c r="O28"/>
  <c r="AC28" s="1"/>
  <c r="AC27"/>
  <c r="AA27"/>
  <c r="U26"/>
  <c r="AC26" s="1"/>
  <c r="K25"/>
  <c r="AC25" s="1"/>
  <c r="K24"/>
  <c r="AC24" s="1"/>
  <c r="U53" i="10"/>
  <c r="Y53" s="1"/>
  <c r="M53"/>
  <c r="G53"/>
  <c r="E53" s="1"/>
  <c r="U52"/>
  <c r="Y52" s="1"/>
  <c r="M52"/>
  <c r="G52"/>
  <c r="E52" s="1"/>
  <c r="U51"/>
  <c r="Y51" s="1"/>
  <c r="M51"/>
  <c r="E51"/>
  <c r="U50"/>
  <c r="Y50" s="1"/>
  <c r="M50"/>
  <c r="G50"/>
  <c r="E50" s="1"/>
  <c r="U49"/>
  <c r="Y49" s="1"/>
  <c r="M49"/>
  <c r="G49"/>
  <c r="E49" s="1"/>
  <c r="U48"/>
  <c r="Y48" s="1"/>
  <c r="M48"/>
  <c r="G48"/>
  <c r="E48" s="1"/>
  <c r="U47"/>
  <c r="Y47" s="1"/>
  <c r="M47"/>
  <c r="G47"/>
  <c r="E47" s="1"/>
  <c r="U46"/>
  <c r="Y46" s="1"/>
  <c r="M46"/>
  <c r="G46"/>
  <c r="E46" s="1"/>
  <c r="U45"/>
  <c r="Y45" s="1"/>
  <c r="M45"/>
  <c r="G45"/>
  <c r="E45" s="1"/>
  <c r="U44"/>
  <c r="Y44" s="1"/>
  <c r="M44"/>
  <c r="E44"/>
  <c r="U43"/>
  <c r="Y43" s="1"/>
  <c r="M43"/>
  <c r="G43"/>
  <c r="E43" s="1"/>
  <c r="U42"/>
  <c r="Y42" s="1"/>
  <c r="M42"/>
  <c r="G42"/>
  <c r="E42" s="1"/>
  <c r="U41"/>
  <c r="Y41" s="1"/>
  <c r="M41"/>
  <c r="G41"/>
  <c r="E41" s="1"/>
  <c r="U40"/>
  <c r="Y40" s="1"/>
  <c r="M40"/>
  <c r="G40"/>
  <c r="E40" s="1"/>
  <c r="U39"/>
  <c r="Y39" s="1"/>
  <c r="M39"/>
  <c r="E39"/>
  <c r="U38"/>
  <c r="Y38" s="1"/>
  <c r="M38"/>
  <c r="G38"/>
  <c r="E38" s="1"/>
  <c r="U37"/>
  <c r="Y37" s="1"/>
  <c r="M37"/>
  <c r="G37"/>
  <c r="E37" s="1"/>
  <c r="U36"/>
  <c r="Y36" s="1"/>
  <c r="M36"/>
  <c r="G36"/>
  <c r="E36" s="1"/>
  <c r="U35"/>
  <c r="Y35" s="1"/>
  <c r="M35"/>
  <c r="G35"/>
  <c r="E35" s="1"/>
  <c r="U34"/>
  <c r="Y34" s="1"/>
  <c r="M34"/>
  <c r="E34"/>
  <c r="U33"/>
  <c r="Y33" s="1"/>
  <c r="M33"/>
  <c r="G33"/>
  <c r="E33" s="1"/>
  <c r="U32"/>
  <c r="Y32" s="1"/>
  <c r="M32"/>
  <c r="G32"/>
  <c r="E32" s="1"/>
  <c r="U31"/>
  <c r="Y31" s="1"/>
  <c r="M31"/>
  <c r="G31"/>
  <c r="E31" s="1"/>
  <c r="Y30"/>
  <c r="M30"/>
  <c r="E30"/>
  <c r="U29"/>
  <c r="Y29" s="1"/>
  <c r="M29"/>
  <c r="E29"/>
  <c r="U28"/>
  <c r="Y28" s="1"/>
  <c r="M28"/>
  <c r="G28"/>
  <c r="E28" s="1"/>
  <c r="U27"/>
  <c r="Y27" s="1"/>
  <c r="M27"/>
  <c r="G27"/>
  <c r="E27" s="1"/>
  <c r="U26"/>
  <c r="Y26" s="1"/>
  <c r="M26"/>
  <c r="G26"/>
  <c r="E26" s="1"/>
  <c r="U25"/>
  <c r="Y25" s="1"/>
  <c r="M25"/>
  <c r="G25"/>
  <c r="E25" s="1"/>
  <c r="U24"/>
  <c r="Y24" s="1"/>
  <c r="G24"/>
  <c r="AH32" i="5" l="1"/>
  <c r="AH33"/>
  <c r="AH51"/>
  <c r="AH28"/>
  <c r="AH52"/>
  <c r="AC26" i="2"/>
  <c r="AC33"/>
  <c r="S24" i="3"/>
  <c r="S26"/>
  <c r="S28"/>
  <c r="S32"/>
  <c r="S35"/>
  <c r="S37"/>
  <c r="S39"/>
  <c r="S44"/>
  <c r="S46"/>
  <c r="S48"/>
  <c r="S50"/>
  <c r="S51"/>
  <c r="W28" i="8"/>
  <c r="W32"/>
  <c r="W52"/>
  <c r="W33"/>
  <c r="AA34" i="9"/>
  <c r="AA46"/>
  <c r="AA25"/>
  <c r="AC32"/>
  <c r="AA35"/>
  <c r="AA36"/>
  <c r="AC40"/>
  <c r="AA50"/>
  <c r="AA45"/>
  <c r="AY41" i="14"/>
  <c r="AY31"/>
  <c r="AY32"/>
  <c r="AY24"/>
  <c r="AY26"/>
  <c r="AY27"/>
  <c r="AY29"/>
  <c r="AY33"/>
  <c r="AY34"/>
  <c r="AY37"/>
  <c r="AY38"/>
  <c r="AY39"/>
  <c r="AY45"/>
  <c r="AY46"/>
  <c r="AY47"/>
  <c r="AY48"/>
  <c r="AY49"/>
  <c r="AY50"/>
  <c r="AY51"/>
  <c r="AY53"/>
  <c r="AZ51" i="6"/>
  <c r="AZ49"/>
  <c r="AZ29"/>
  <c r="AZ30"/>
  <c r="AZ33"/>
  <c r="AZ39"/>
  <c r="AZ40"/>
  <c r="AZ41"/>
  <c r="AZ42"/>
  <c r="AZ45"/>
  <c r="AZ48"/>
  <c r="AZ52"/>
  <c r="AZ54"/>
  <c r="AA24" i="9"/>
  <c r="AA26"/>
  <c r="AA29"/>
  <c r="AA30"/>
  <c r="AC31"/>
  <c r="AA32"/>
  <c r="AC33"/>
  <c r="AC34"/>
  <c r="AC35"/>
  <c r="AC36"/>
  <c r="AA38"/>
  <c r="AC39"/>
  <c r="AA40"/>
  <c r="AA41"/>
  <c r="AA42"/>
  <c r="AA43"/>
  <c r="AC45"/>
  <c r="AC46"/>
  <c r="AA48"/>
  <c r="AC49"/>
  <c r="AC50"/>
  <c r="AA51"/>
  <c r="AA52"/>
  <c r="AC53"/>
  <c r="Q65" i="12" l="1"/>
  <c r="S65" s="1"/>
  <c r="Q64"/>
  <c r="O64"/>
  <c r="G64"/>
  <c r="S64" s="1"/>
  <c r="S63"/>
  <c r="S62"/>
  <c r="S61"/>
  <c r="S60"/>
  <c r="K59"/>
  <c r="S59" s="1"/>
  <c r="S58"/>
  <c r="I57"/>
  <c r="E57"/>
  <c r="Q56"/>
  <c r="S56" s="1"/>
  <c r="S55"/>
  <c r="Q54"/>
  <c r="G54"/>
  <c r="BM63" i="15"/>
  <c r="AE63"/>
  <c r="AI63" s="1"/>
  <c r="AS63" s="1"/>
  <c r="W63"/>
  <c r="K63"/>
  <c r="E63"/>
  <c r="AY63" s="1"/>
  <c r="BM62"/>
  <c r="AI62"/>
  <c r="AS62" s="1"/>
  <c r="W62"/>
  <c r="K62"/>
  <c r="E62"/>
  <c r="BM61"/>
  <c r="AI61"/>
  <c r="AS61" s="1"/>
  <c r="AE61"/>
  <c r="W61"/>
  <c r="K61"/>
  <c r="E61"/>
  <c r="AY61" s="1"/>
  <c r="BM60"/>
  <c r="AI60"/>
  <c r="AS60" s="1"/>
  <c r="W60"/>
  <c r="K60"/>
  <c r="AY60" s="1"/>
  <c r="E60"/>
  <c r="BM61" i="13"/>
  <c r="AE61"/>
  <c r="AI61" s="1"/>
  <c r="AS61" s="1"/>
  <c r="W61"/>
  <c r="K61"/>
  <c r="E61"/>
  <c r="AY61" s="1"/>
  <c r="BM60"/>
  <c r="AS60"/>
  <c r="AI60"/>
  <c r="W60"/>
  <c r="K60"/>
  <c r="E60"/>
  <c r="AY60" s="1"/>
  <c r="BM59"/>
  <c r="AI59"/>
  <c r="AS59" s="1"/>
  <c r="W59"/>
  <c r="K59"/>
  <c r="AY59" s="1"/>
  <c r="E59"/>
  <c r="BM58"/>
  <c r="AS58"/>
  <c r="AI58"/>
  <c r="W58"/>
  <c r="K58"/>
  <c r="E58"/>
  <c r="AY58" s="1"/>
  <c r="BM57"/>
  <c r="AI57"/>
  <c r="AS57" s="1"/>
  <c r="AE57"/>
  <c r="W57"/>
  <c r="K57"/>
  <c r="E57"/>
  <c r="AY57" s="1"/>
  <c r="BM56"/>
  <c r="AE56"/>
  <c r="AI56" s="1"/>
  <c r="AS56" s="1"/>
  <c r="Y56"/>
  <c r="BA56" s="1"/>
  <c r="W56"/>
  <c r="K56"/>
  <c r="E56"/>
  <c r="AY56" s="1"/>
  <c r="BG55"/>
  <c r="BM55" s="1"/>
  <c r="AE55"/>
  <c r="AI55" s="1"/>
  <c r="AS55" s="1"/>
  <c r="W55"/>
  <c r="K55"/>
  <c r="E55"/>
  <c r="AY55" s="1"/>
  <c r="BM64" i="14"/>
  <c r="AE64"/>
  <c r="AI64" s="1"/>
  <c r="AS64" s="1"/>
  <c r="W64"/>
  <c r="K64"/>
  <c r="AY64" s="1"/>
  <c r="BE63"/>
  <c r="BM63" s="1"/>
  <c r="AE63"/>
  <c r="AI63" s="1"/>
  <c r="AS63" s="1"/>
  <c r="W63"/>
  <c r="K63"/>
  <c r="AY63" s="1"/>
  <c r="BI62"/>
  <c r="BM62" s="1"/>
  <c r="AE62"/>
  <c r="AI62" s="1"/>
  <c r="AS62" s="1"/>
  <c r="W62"/>
  <c r="K62"/>
  <c r="AY62" s="1"/>
  <c r="BM61"/>
  <c r="AY61"/>
  <c r="AI61"/>
  <c r="AS61" s="1"/>
  <c r="AE61"/>
  <c r="W61"/>
  <c r="K61"/>
  <c r="BM60"/>
  <c r="AE60"/>
  <c r="AI60" s="1"/>
  <c r="AS60" s="1"/>
  <c r="W60"/>
  <c r="K60"/>
  <c r="AY60" s="1"/>
  <c r="BM59"/>
  <c r="AY59"/>
  <c r="AI59"/>
  <c r="AS59" s="1"/>
  <c r="AE59"/>
  <c r="W59"/>
  <c r="K59"/>
  <c r="BM58"/>
  <c r="BE58"/>
  <c r="BA58"/>
  <c r="AE58"/>
  <c r="AI58" s="1"/>
  <c r="AS58" s="1"/>
  <c r="Y58"/>
  <c r="W58"/>
  <c r="K58"/>
  <c r="AY58" s="1"/>
  <c r="BG57"/>
  <c r="BE57"/>
  <c r="BM57" s="1"/>
  <c r="AE57"/>
  <c r="AI57" s="1"/>
  <c r="AS57" s="1"/>
  <c r="W57"/>
  <c r="K57"/>
  <c r="AY57" s="1"/>
  <c r="BI56"/>
  <c r="BM56" s="1"/>
  <c r="AE56"/>
  <c r="AI56" s="1"/>
  <c r="AS56" s="1"/>
  <c r="W56"/>
  <c r="K56"/>
  <c r="AY56" s="1"/>
  <c r="BL66" i="6"/>
  <c r="BJ66"/>
  <c r="BN66" s="1"/>
  <c r="AF66"/>
  <c r="AJ66" s="1"/>
  <c r="AT66" s="1"/>
  <c r="W66"/>
  <c r="K66"/>
  <c r="E66"/>
  <c r="AZ66" s="1"/>
  <c r="BL65"/>
  <c r="BF65"/>
  <c r="BN65" s="1"/>
  <c r="AF65"/>
  <c r="AJ65" s="1"/>
  <c r="AT65" s="1"/>
  <c r="W65"/>
  <c r="K65"/>
  <c r="E65"/>
  <c r="AZ65" s="1"/>
  <c r="BN64"/>
  <c r="BL64"/>
  <c r="AJ64"/>
  <c r="AT64" s="1"/>
  <c r="AF64"/>
  <c r="W64"/>
  <c r="S64"/>
  <c r="K64"/>
  <c r="E64"/>
  <c r="AZ64" s="1"/>
  <c r="BN63"/>
  <c r="AF63"/>
  <c r="AJ63" s="1"/>
  <c r="AT63" s="1"/>
  <c r="W63"/>
  <c r="K63"/>
  <c r="E63"/>
  <c r="AZ63" s="1"/>
  <c r="BN62"/>
  <c r="AF62"/>
  <c r="AJ62" s="1"/>
  <c r="AT62" s="1"/>
  <c r="W62"/>
  <c r="K62"/>
  <c r="E62"/>
  <c r="AZ62" s="1"/>
  <c r="BN61"/>
  <c r="BJ61"/>
  <c r="AJ61"/>
  <c r="AT61" s="1"/>
  <c r="AF61"/>
  <c r="W61"/>
  <c r="K61"/>
  <c r="E61"/>
  <c r="AZ61" s="1"/>
  <c r="BN60"/>
  <c r="AF60"/>
  <c r="AJ60" s="1"/>
  <c r="AT60" s="1"/>
  <c r="Z60"/>
  <c r="BB60" s="1"/>
  <c r="W60"/>
  <c r="K60"/>
  <c r="E60"/>
  <c r="AZ60" s="1"/>
  <c r="BN59"/>
  <c r="BF59"/>
  <c r="AJ59"/>
  <c r="AT59" s="1"/>
  <c r="AF59"/>
  <c r="W59"/>
  <c r="K59"/>
  <c r="E59"/>
  <c r="AZ59" s="1"/>
  <c r="BN58"/>
  <c r="AJ58"/>
  <c r="AT58" s="1"/>
  <c r="AF58"/>
  <c r="W58"/>
  <c r="K58"/>
  <c r="E58"/>
  <c r="BN57"/>
  <c r="AJ57"/>
  <c r="AT57" s="1"/>
  <c r="W57"/>
  <c r="K57"/>
  <c r="E57"/>
  <c r="BN56"/>
  <c r="AF56"/>
  <c r="AJ56" s="1"/>
  <c r="AT56" s="1"/>
  <c r="S56"/>
  <c r="W56" s="1"/>
  <c r="K56"/>
  <c r="E56"/>
  <c r="AH65" i="5"/>
  <c r="AL64"/>
  <c r="AB64"/>
  <c r="Q64"/>
  <c r="AH64" s="1"/>
  <c r="I64"/>
  <c r="AP63"/>
  <c r="AH63"/>
  <c r="AH62"/>
  <c r="I61"/>
  <c r="AH61" s="1"/>
  <c r="AH60"/>
  <c r="AL59"/>
  <c r="AB59"/>
  <c r="AH59" s="1"/>
  <c r="AH58"/>
  <c r="AL57"/>
  <c r="G57"/>
  <c r="AH57" s="1"/>
  <c r="AH56"/>
  <c r="AH55"/>
  <c r="AL54"/>
  <c r="AF54"/>
  <c r="Q54"/>
  <c r="I54"/>
  <c r="G54"/>
  <c r="AH54" s="1"/>
  <c r="W65" i="4"/>
  <c r="S65"/>
  <c r="W64"/>
  <c r="Q64"/>
  <c r="S64" s="1"/>
  <c r="W63"/>
  <c r="S63"/>
  <c r="Q63"/>
  <c r="S62"/>
  <c r="Q62"/>
  <c r="S61"/>
  <c r="Q61"/>
  <c r="W60"/>
  <c r="Q60"/>
  <c r="S60" s="1"/>
  <c r="W59"/>
  <c r="Q59"/>
  <c r="S59" s="1"/>
  <c r="Q58"/>
  <c r="S58" s="1"/>
  <c r="W57"/>
  <c r="Q57"/>
  <c r="S57" s="1"/>
  <c r="W56"/>
  <c r="S56"/>
  <c r="Q56"/>
  <c r="S55"/>
  <c r="Q54"/>
  <c r="M54"/>
  <c r="S54" s="1"/>
  <c r="AC65" i="2"/>
  <c r="Q64"/>
  <c r="O64"/>
  <c r="I64"/>
  <c r="AC64" s="1"/>
  <c r="AK63"/>
  <c r="AC63"/>
  <c r="AC62"/>
  <c r="AC61"/>
  <c r="AC60"/>
  <c r="AC59"/>
  <c r="W59"/>
  <c r="AC58"/>
  <c r="G57"/>
  <c r="AC57" s="1"/>
  <c r="AC56"/>
  <c r="AC55"/>
  <c r="Q54"/>
  <c r="I54"/>
  <c r="G54"/>
  <c r="AC54" s="1"/>
  <c r="W65" i="1"/>
  <c r="S65"/>
  <c r="Q64"/>
  <c r="S64" s="1"/>
  <c r="Q63"/>
  <c r="S63" s="1"/>
  <c r="Q62"/>
  <c r="S62" s="1"/>
  <c r="Q61"/>
  <c r="S61" s="1"/>
  <c r="Q60"/>
  <c r="S60" s="1"/>
  <c r="W59"/>
  <c r="S59"/>
  <c r="Q58"/>
  <c r="S58" s="1"/>
  <c r="Q57"/>
  <c r="S57" s="1"/>
  <c r="W56"/>
  <c r="Q56"/>
  <c r="S56" s="1"/>
  <c r="S55"/>
  <c r="W54"/>
  <c r="S54"/>
  <c r="Q65" i="3"/>
  <c r="S65" s="1"/>
  <c r="Q64"/>
  <c r="O64"/>
  <c r="M64"/>
  <c r="E64"/>
  <c r="Q63"/>
  <c r="M63"/>
  <c r="S63" s="1"/>
  <c r="E63"/>
  <c r="Q62"/>
  <c r="M62"/>
  <c r="Q61"/>
  <c r="S61" s="1"/>
  <c r="M61"/>
  <c r="Q60"/>
  <c r="M60"/>
  <c r="Q59"/>
  <c r="S59" s="1"/>
  <c r="M59"/>
  <c r="Q58"/>
  <c r="M58"/>
  <c r="E58"/>
  <c r="Q57"/>
  <c r="M57"/>
  <c r="S57" s="1"/>
  <c r="E57"/>
  <c r="Q56"/>
  <c r="M56"/>
  <c r="S55"/>
  <c r="Q54"/>
  <c r="M54"/>
  <c r="S54" s="1"/>
  <c r="E54"/>
  <c r="S65" i="7"/>
  <c r="M64"/>
  <c r="S64" s="1"/>
  <c r="M63"/>
  <c r="S63" s="1"/>
  <c r="M62"/>
  <c r="S62" s="1"/>
  <c r="E62"/>
  <c r="M61"/>
  <c r="S61" s="1"/>
  <c r="S60"/>
  <c r="S59"/>
  <c r="M58"/>
  <c r="S58" s="1"/>
  <c r="E58"/>
  <c r="Q57"/>
  <c r="S57" s="1"/>
  <c r="M56"/>
  <c r="S56" s="1"/>
  <c r="S55"/>
  <c r="Q54"/>
  <c r="M54"/>
  <c r="AA65" i="8"/>
  <c r="W65"/>
  <c r="AA64"/>
  <c r="S64"/>
  <c r="K64"/>
  <c r="I64"/>
  <c r="AA63"/>
  <c r="W63"/>
  <c r="AA62"/>
  <c r="W62"/>
  <c r="AA61"/>
  <c r="K61"/>
  <c r="W61" s="1"/>
  <c r="AA60"/>
  <c r="W60"/>
  <c r="AA59"/>
  <c r="W59"/>
  <c r="AA58"/>
  <c r="W58"/>
  <c r="AA57"/>
  <c r="E57"/>
  <c r="W57" s="1"/>
  <c r="AA56"/>
  <c r="W56"/>
  <c r="AA55"/>
  <c r="W55"/>
  <c r="AA54"/>
  <c r="S54"/>
  <c r="K54"/>
  <c r="E54"/>
  <c r="K65" i="9"/>
  <c r="AC65" s="1"/>
  <c r="K64"/>
  <c r="AC64" s="1"/>
  <c r="M63"/>
  <c r="K63"/>
  <c r="M62"/>
  <c r="K62"/>
  <c r="O61"/>
  <c r="M61"/>
  <c r="K61"/>
  <c r="U60"/>
  <c r="K60"/>
  <c r="M59"/>
  <c r="K59"/>
  <c r="K58"/>
  <c r="AC58" s="1"/>
  <c r="O57"/>
  <c r="AC57" s="1"/>
  <c r="M56"/>
  <c r="K56"/>
  <c r="AC55"/>
  <c r="AA55"/>
  <c r="Q54"/>
  <c r="AC54" s="1"/>
  <c r="U65" i="10"/>
  <c r="Y65" s="1"/>
  <c r="AB65" s="1"/>
  <c r="M65"/>
  <c r="G65"/>
  <c r="E65" s="1"/>
  <c r="U64"/>
  <c r="Y64" s="1"/>
  <c r="AB64" s="1"/>
  <c r="M64"/>
  <c r="E64"/>
  <c r="U63"/>
  <c r="Y63" s="1"/>
  <c r="AB63" s="1"/>
  <c r="O63"/>
  <c r="M63" s="1"/>
  <c r="G63"/>
  <c r="E63" s="1"/>
  <c r="U62"/>
  <c r="Y62" s="1"/>
  <c r="AB62" s="1"/>
  <c r="M62"/>
  <c r="E62"/>
  <c r="U61"/>
  <c r="Y61" s="1"/>
  <c r="AB61" s="1"/>
  <c r="M61"/>
  <c r="E61"/>
  <c r="U60"/>
  <c r="Y60" s="1"/>
  <c r="AB60" s="1"/>
  <c r="M60"/>
  <c r="G60"/>
  <c r="E60" s="1"/>
  <c r="U59"/>
  <c r="Y59" s="1"/>
  <c r="AB59" s="1"/>
  <c r="M59"/>
  <c r="G59"/>
  <c r="E59" s="1"/>
  <c r="U58"/>
  <c r="Y58" s="1"/>
  <c r="AB58" s="1"/>
  <c r="M58"/>
  <c r="E58"/>
  <c r="U57"/>
  <c r="Y57" s="1"/>
  <c r="AB57" s="1"/>
  <c r="O57"/>
  <c r="M57" s="1"/>
  <c r="G57"/>
  <c r="E57" s="1"/>
  <c r="U56"/>
  <c r="Y56" s="1"/>
  <c r="AB56" s="1"/>
  <c r="M56"/>
  <c r="G56"/>
  <c r="E56" s="1"/>
  <c r="U55"/>
  <c r="Y55" s="1"/>
  <c r="AB55" s="1"/>
  <c r="M55"/>
  <c r="G55"/>
  <c r="E55" s="1"/>
  <c r="U54"/>
  <c r="Y54" s="1"/>
  <c r="AB54" s="1"/>
  <c r="M54"/>
  <c r="E54"/>
  <c r="S54" i="12" l="1"/>
  <c r="S57"/>
  <c r="AC59" i="9"/>
  <c r="AC60"/>
  <c r="AA61"/>
  <c r="AA62"/>
  <c r="AA63"/>
  <c r="AA65"/>
  <c r="S54" i="7"/>
  <c r="S56" i="3"/>
  <c r="S58"/>
  <c r="S60"/>
  <c r="S62"/>
  <c r="S64"/>
  <c r="W64" i="8"/>
  <c r="W54"/>
  <c r="AA56" i="9"/>
  <c r="AC56"/>
  <c r="AA57"/>
  <c r="AA59"/>
  <c r="AA60"/>
  <c r="AC61"/>
  <c r="AZ56" i="6"/>
  <c r="AZ57"/>
  <c r="AZ58"/>
  <c r="AY62" i="15"/>
  <c r="AA54" i="9"/>
  <c r="AA58"/>
  <c r="AC62"/>
  <c r="AC63"/>
  <c r="AA64"/>
  <c r="Q66" i="4" l="1"/>
  <c r="I66" i="2"/>
  <c r="Q66" i="1"/>
  <c r="Q66" i="3"/>
  <c r="M66"/>
  <c r="E66"/>
  <c r="M66" i="7"/>
  <c r="E66"/>
  <c r="K66" i="8"/>
  <c r="K66" i="9"/>
  <c r="M66"/>
  <c r="BM65" i="15"/>
  <c r="BE67" i="14"/>
  <c r="G67" i="12"/>
  <c r="E67"/>
  <c r="AI65" i="15"/>
  <c r="AE65"/>
  <c r="AE67" i="14"/>
  <c r="AF69" i="6"/>
  <c r="G67" i="5"/>
  <c r="W67" i="4"/>
  <c r="Q67"/>
  <c r="G67" i="2"/>
  <c r="Q67" i="1"/>
  <c r="Q67" i="3"/>
  <c r="M67"/>
  <c r="M67" i="7"/>
  <c r="O67" i="9"/>
  <c r="M67"/>
  <c r="K67"/>
  <c r="G67" i="10"/>
  <c r="BJ70" i="6"/>
  <c r="AE68" i="14"/>
  <c r="AF70" i="6"/>
  <c r="W68" i="4"/>
  <c r="Q68" i="3"/>
  <c r="M68"/>
  <c r="M68" i="9"/>
  <c r="K68"/>
  <c r="U68" i="10"/>
  <c r="G68"/>
  <c r="BE67" i="13"/>
  <c r="BF71" i="6"/>
  <c r="AE67" i="13"/>
  <c r="S67"/>
  <c r="AS69" i="14"/>
  <c r="AE69"/>
  <c r="AF71" i="6"/>
  <c r="S71"/>
  <c r="Q70" i="3"/>
  <c r="M70"/>
  <c r="E70"/>
  <c r="M70" i="9"/>
  <c r="K70"/>
  <c r="G70" i="10"/>
  <c r="Q71" i="12"/>
  <c r="AE70" i="14"/>
  <c r="AF72" i="6"/>
  <c r="W71" i="4"/>
  <c r="Q71" i="3"/>
  <c r="M71"/>
  <c r="E71"/>
  <c r="M71" i="7"/>
  <c r="O71" i="9"/>
  <c r="M71"/>
  <c r="K71"/>
  <c r="G71" i="10"/>
  <c r="AE74" i="14"/>
  <c r="Q75" i="4"/>
  <c r="I75"/>
  <c r="Q75" i="1"/>
  <c r="Q75" i="3"/>
  <c r="O75" i="9"/>
  <c r="K75"/>
  <c r="G75" i="10"/>
  <c r="K72" i="12"/>
  <c r="BJ73" i="6"/>
  <c r="BF73"/>
  <c r="AE71" i="14"/>
  <c r="AF73" i="6"/>
  <c r="Q14" i="3"/>
  <c r="M14"/>
  <c r="W72" i="4"/>
  <c r="Q72"/>
  <c r="Q72" i="1"/>
  <c r="Q72" i="3"/>
  <c r="M72"/>
  <c r="M72" i="9"/>
  <c r="K72"/>
  <c r="U72" i="10"/>
  <c r="G72"/>
  <c r="AF74" i="6"/>
  <c r="AE72" i="14"/>
  <c r="W73" i="4"/>
  <c r="Q73"/>
  <c r="Q73" i="1"/>
  <c r="Q73" i="3"/>
  <c r="E73"/>
  <c r="K73" i="9"/>
  <c r="U73" i="10"/>
  <c r="G73"/>
  <c r="K74" i="12"/>
  <c r="BI73" i="14"/>
  <c r="BJ75" i="6"/>
  <c r="AE73" i="14"/>
  <c r="AF75" i="6"/>
  <c r="W74" i="4"/>
  <c r="Q74"/>
  <c r="W74" i="1"/>
  <c r="Q74"/>
  <c r="Q74" i="3"/>
  <c r="M74"/>
  <c r="E74"/>
  <c r="M74" i="7"/>
  <c r="K74" i="9"/>
  <c r="U74" i="10"/>
  <c r="G76" i="12"/>
  <c r="AE75" i="14"/>
  <c r="AF77" i="6"/>
  <c r="W76" i="4"/>
  <c r="Q76"/>
  <c r="Q76" i="1"/>
  <c r="Q76" i="3"/>
  <c r="M76"/>
  <c r="E76"/>
  <c r="M76" i="7"/>
  <c r="U76" i="9"/>
  <c r="K76"/>
  <c r="U76" i="10"/>
  <c r="G76"/>
  <c r="AE73" i="15"/>
  <c r="AE76" i="14"/>
  <c r="AF78" i="6"/>
  <c r="W73" i="15"/>
  <c r="W77" i="4"/>
  <c r="Q77"/>
  <c r="Q77" i="1"/>
  <c r="Q77" i="3"/>
  <c r="M77"/>
  <c r="E77"/>
  <c r="E77" i="7"/>
  <c r="O77" i="9"/>
  <c r="G77" i="10"/>
  <c r="AE74" i="15"/>
  <c r="AE77" i="14"/>
  <c r="AF79" i="6"/>
  <c r="W78" i="4"/>
  <c r="Q78"/>
  <c r="Q78" i="3"/>
  <c r="M78"/>
  <c r="M78" i="7"/>
  <c r="K78" i="9"/>
  <c r="BI78" i="14"/>
  <c r="BF80" i="6"/>
  <c r="BE78" i="14"/>
  <c r="Q79" i="12"/>
  <c r="AE78" i="14"/>
  <c r="AF80" i="6"/>
  <c r="AL79" i="5"/>
  <c r="AD79"/>
  <c r="W79" i="4"/>
  <c r="Q79"/>
  <c r="Q79" i="1"/>
  <c r="Q79" i="3"/>
  <c r="M79"/>
  <c r="E79"/>
  <c r="M79" i="7"/>
  <c r="E79"/>
  <c r="K79" i="9"/>
  <c r="G79" i="10"/>
  <c r="BI79" i="14"/>
  <c r="BG79"/>
  <c r="BE79"/>
  <c r="BL81" i="6"/>
  <c r="BF81"/>
  <c r="E80" i="12"/>
  <c r="AE76" i="15"/>
  <c r="AE79" i="14"/>
  <c r="AF81" i="6"/>
  <c r="I76" i="15"/>
  <c r="W80" i="4"/>
  <c r="Q80" i="3"/>
  <c r="M80" i="9"/>
  <c r="K80"/>
  <c r="G80" i="10"/>
  <c r="AF82" i="6"/>
  <c r="AE80" i="14"/>
  <c r="AI77" i="15"/>
  <c r="AE77"/>
  <c r="W81" i="4"/>
  <c r="Q81" i="3"/>
  <c r="U81" i="9"/>
  <c r="K81"/>
  <c r="U81" i="10"/>
  <c r="G81"/>
  <c r="W82" i="4"/>
  <c r="Q82"/>
  <c r="Q82" i="1"/>
  <c r="Q82" i="3"/>
  <c r="M82"/>
  <c r="E82"/>
  <c r="M82" i="7"/>
  <c r="E82"/>
  <c r="M82" i="9"/>
  <c r="K82"/>
  <c r="E83" i="12"/>
  <c r="K83"/>
  <c r="BK82" i="14"/>
  <c r="W83" i="4"/>
  <c r="Q83" i="3"/>
  <c r="M83"/>
  <c r="M83" i="7"/>
  <c r="M83" i="9"/>
  <c r="K83"/>
  <c r="U83" i="10"/>
  <c r="G83"/>
  <c r="Q84" i="12"/>
  <c r="AF85" i="6"/>
  <c r="S85"/>
  <c r="AP84" i="5"/>
  <c r="AL84"/>
  <c r="AD84"/>
  <c r="W84" i="4"/>
  <c r="Q84"/>
  <c r="AG84" i="2"/>
  <c r="Y84"/>
  <c r="W84" i="1"/>
  <c r="Q84"/>
  <c r="M84" i="3"/>
  <c r="Q84"/>
  <c r="E84"/>
  <c r="M84" i="7"/>
  <c r="E84"/>
  <c r="K84" i="9"/>
  <c r="K85" i="12"/>
  <c r="W85" i="4"/>
  <c r="Q85" i="3"/>
  <c r="U85" i="9"/>
  <c r="K85"/>
  <c r="U85" i="10"/>
  <c r="G85"/>
  <c r="AE85" i="14"/>
  <c r="AF87" i="6"/>
  <c r="W86" i="4"/>
  <c r="Q86"/>
  <c r="Q86" i="1"/>
  <c r="Q86" i="3"/>
  <c r="M86"/>
  <c r="E86"/>
  <c r="E86" i="7"/>
  <c r="U86" i="9"/>
  <c r="K86"/>
  <c r="BJ88" i="6"/>
  <c r="I87" i="12"/>
  <c r="AE83" i="15"/>
  <c r="AE86" i="14"/>
  <c r="AF88" i="6"/>
  <c r="S88"/>
  <c r="AL87" i="5"/>
  <c r="AD87"/>
  <c r="G87"/>
  <c r="W87" i="4"/>
  <c r="G87" i="2"/>
  <c r="Q87" i="3"/>
  <c r="M87"/>
  <c r="E87" i="8"/>
  <c r="K87" i="9"/>
  <c r="G87" i="10"/>
  <c r="AF89" i="6"/>
  <c r="AE87" i="14"/>
  <c r="E87"/>
  <c r="I88" i="5"/>
  <c r="W88" i="4"/>
  <c r="Q88"/>
  <c r="I88" i="2"/>
  <c r="W88" i="1"/>
  <c r="Q88"/>
  <c r="Q88" i="3"/>
  <c r="M88"/>
  <c r="M88" i="7"/>
  <c r="K88" i="8"/>
  <c r="K88" i="9"/>
  <c r="BL90" i="6"/>
  <c r="BF90"/>
  <c r="BE89" i="14"/>
  <c r="AE89"/>
  <c r="E89"/>
  <c r="AF90" i="6"/>
  <c r="W89" i="4"/>
  <c r="Q89"/>
  <c r="I89"/>
  <c r="W89" i="1"/>
  <c r="Q89"/>
  <c r="Q89" i="3"/>
  <c r="M89"/>
  <c r="E89"/>
  <c r="U89" i="9"/>
  <c r="O89"/>
  <c r="K89"/>
  <c r="Q90" i="12"/>
  <c r="AE86" i="13"/>
  <c r="AE90" i="14"/>
  <c r="AF91" i="6"/>
  <c r="G90" i="5"/>
  <c r="W90" i="4"/>
  <c r="Q90"/>
  <c r="G90" i="2"/>
  <c r="Q90" i="1"/>
  <c r="Q90" i="3"/>
  <c r="M90"/>
  <c r="M90" i="7"/>
  <c r="E90" i="8"/>
  <c r="U90" i="9"/>
  <c r="M90"/>
  <c r="K90"/>
  <c r="G90" i="10"/>
  <c r="W91" i="4"/>
  <c r="Q91"/>
  <c r="Q91" i="1"/>
  <c r="Q91" i="3"/>
  <c r="K91" i="9"/>
  <c r="U91"/>
  <c r="M91"/>
  <c r="G91" i="10"/>
  <c r="AF93" i="6"/>
  <c r="AE92" i="14"/>
  <c r="W92" i="4"/>
  <c r="Q92" i="3"/>
  <c r="M92"/>
  <c r="K92" i="9"/>
  <c r="U92" i="10"/>
  <c r="G92"/>
  <c r="Q93" i="12"/>
  <c r="BF95" i="6"/>
  <c r="AE93" i="14"/>
  <c r="AT95" i="6"/>
  <c r="AF95"/>
  <c r="Q93" i="4"/>
  <c r="Q93" i="1"/>
  <c r="M93" i="3"/>
  <c r="Q93"/>
  <c r="M93" i="7"/>
  <c r="M93" i="9"/>
  <c r="K93"/>
  <c r="G93" i="10"/>
  <c r="Q97" i="12"/>
  <c r="G97"/>
  <c r="BF99" i="6"/>
  <c r="AE97" i="14"/>
  <c r="AF99" i="6"/>
  <c r="AL97" i="5"/>
  <c r="AD97"/>
  <c r="E97"/>
  <c r="W97" i="4"/>
  <c r="Q97"/>
  <c r="I97"/>
  <c r="W97" i="1"/>
  <c r="Q97"/>
  <c r="Q97" i="3"/>
  <c r="M97"/>
  <c r="E97"/>
  <c r="Q97" i="8"/>
  <c r="O97" i="9"/>
  <c r="K97"/>
  <c r="Q96" i="12"/>
  <c r="M96"/>
  <c r="G96"/>
  <c r="AE96" i="14"/>
  <c r="AF98" i="6"/>
  <c r="Q96" i="4"/>
  <c r="Q96" i="1"/>
  <c r="Q96" i="3"/>
  <c r="M96"/>
  <c r="E96"/>
  <c r="M96" i="7"/>
  <c r="K96" i="9"/>
  <c r="W95" i="4"/>
  <c r="Q95"/>
  <c r="W95" i="1"/>
  <c r="Q95"/>
  <c r="Q95" i="3"/>
  <c r="M95"/>
  <c r="E95"/>
  <c r="M95" i="9"/>
  <c r="K95"/>
  <c r="M95" i="10"/>
  <c r="G95"/>
  <c r="W94" i="4"/>
  <c r="Q94"/>
  <c r="Q94" i="1"/>
  <c r="Q94" i="3"/>
  <c r="M94"/>
  <c r="M94" i="7"/>
  <c r="K94" i="9"/>
  <c r="K105" i="12"/>
  <c r="AE105" i="14"/>
  <c r="AD105" i="5"/>
  <c r="G105"/>
  <c r="W105" i="4"/>
  <c r="W105" i="1"/>
  <c r="Q105" i="3"/>
  <c r="M105"/>
  <c r="M105" i="7"/>
  <c r="E105" i="8"/>
  <c r="M105" i="9"/>
  <c r="K105"/>
  <c r="G105" i="10"/>
  <c r="BL143" i="6"/>
  <c r="BF143"/>
  <c r="BE135" i="15"/>
  <c r="O143" i="12"/>
  <c r="AE135" i="15"/>
  <c r="AE139" i="14"/>
  <c r="BM106"/>
  <c r="BE106"/>
  <c r="AY106"/>
  <c r="AI106"/>
  <c r="AS106" s="1"/>
  <c r="AE106"/>
  <c r="W106"/>
  <c r="K106"/>
  <c r="AF143" i="6"/>
  <c r="AL143" i="5"/>
  <c r="AF143"/>
  <c r="W143" i="4"/>
  <c r="Q143"/>
  <c r="S143" i="1"/>
  <c r="Q143"/>
  <c r="Q143" i="3"/>
  <c r="M143"/>
  <c r="E143"/>
  <c r="M143" i="7"/>
  <c r="E143"/>
  <c r="O143" i="9"/>
  <c r="G143" i="10"/>
  <c r="S214" i="12"/>
  <c r="W214" s="1"/>
  <c r="S213"/>
  <c r="W213" s="1"/>
  <c r="S212"/>
  <c r="W212" s="1"/>
  <c r="S211"/>
  <c r="W211" s="1"/>
  <c r="Q210"/>
  <c r="S210" s="1"/>
  <c r="W210" s="1"/>
  <c r="S209"/>
  <c r="W209" s="1"/>
  <c r="S208"/>
  <c r="W208" s="1"/>
  <c r="S207"/>
  <c r="W207" s="1"/>
  <c r="U206"/>
  <c r="O206"/>
  <c r="K206"/>
  <c r="I206"/>
  <c r="E206"/>
  <c r="W205"/>
  <c r="S205"/>
  <c r="W204"/>
  <c r="S204"/>
  <c r="Q203"/>
  <c r="S203" s="1"/>
  <c r="W203" s="1"/>
  <c r="Q202"/>
  <c r="K202"/>
  <c r="S202" s="1"/>
  <c r="W202" s="1"/>
  <c r="E201"/>
  <c r="S201" s="1"/>
  <c r="W201" s="1"/>
  <c r="G200"/>
  <c r="E200"/>
  <c r="U199"/>
  <c r="E199"/>
  <c r="S199" s="1"/>
  <c r="I198"/>
  <c r="S198" s="1"/>
  <c r="W198" s="1"/>
  <c r="S197"/>
  <c r="W197" s="1"/>
  <c r="S196"/>
  <c r="W196" s="1"/>
  <c r="S194"/>
  <c r="W194" s="1"/>
  <c r="S193"/>
  <c r="W193" s="1"/>
  <c r="S192"/>
  <c r="W192" s="1"/>
  <c r="S191"/>
  <c r="W191" s="1"/>
  <c r="S190"/>
  <c r="W190" s="1"/>
  <c r="S189"/>
  <c r="W189" s="1"/>
  <c r="S188"/>
  <c r="W188" s="1"/>
  <c r="S187"/>
  <c r="W187" s="1"/>
  <c r="S186"/>
  <c r="W186" s="1"/>
  <c r="S185"/>
  <c r="W185" s="1"/>
  <c r="G184"/>
  <c r="S184" s="1"/>
  <c r="W184" s="1"/>
  <c r="U183"/>
  <c r="S183"/>
  <c r="S182"/>
  <c r="W182" s="1"/>
  <c r="S181"/>
  <c r="W181" s="1"/>
  <c r="Q180"/>
  <c r="G180"/>
  <c r="S179"/>
  <c r="W179" s="1"/>
  <c r="S178"/>
  <c r="W178" s="1"/>
  <c r="S177"/>
  <c r="W177" s="1"/>
  <c r="S176"/>
  <c r="W176" s="1"/>
  <c r="K175"/>
  <c r="S175" s="1"/>
  <c r="W175" s="1"/>
  <c r="S174"/>
  <c r="W174" s="1"/>
  <c r="Q173"/>
  <c r="S173" s="1"/>
  <c r="W173" s="1"/>
  <c r="S172"/>
  <c r="W172" s="1"/>
  <c r="S171"/>
  <c r="W171" s="1"/>
  <c r="Q170"/>
  <c r="K170"/>
  <c r="M169"/>
  <c r="S169" s="1"/>
  <c r="W169" s="1"/>
  <c r="S168"/>
  <c r="W168" s="1"/>
  <c r="S167"/>
  <c r="W167" s="1"/>
  <c r="S166"/>
  <c r="W166" s="1"/>
  <c r="S165"/>
  <c r="W165" s="1"/>
  <c r="Q164"/>
  <c r="S164" s="1"/>
  <c r="W164" s="1"/>
  <c r="S163"/>
  <c r="W163" s="1"/>
  <c r="K162"/>
  <c r="S162" s="1"/>
  <c r="W162" s="1"/>
  <c r="Q161"/>
  <c r="S161" s="1"/>
  <c r="W161" s="1"/>
  <c r="S160"/>
  <c r="W160" s="1"/>
  <c r="K159"/>
  <c r="S159" s="1"/>
  <c r="W159" s="1"/>
  <c r="S158"/>
  <c r="W158" s="1"/>
  <c r="S157"/>
  <c r="W157" s="1"/>
  <c r="S156"/>
  <c r="W156" s="1"/>
  <c r="S155"/>
  <c r="W155" s="1"/>
  <c r="S154"/>
  <c r="W154" s="1"/>
  <c r="E153"/>
  <c r="S153" s="1"/>
  <c r="W153" s="1"/>
  <c r="S152"/>
  <c r="W152" s="1"/>
  <c r="S151"/>
  <c r="W151" s="1"/>
  <c r="E150"/>
  <c r="S150" s="1"/>
  <c r="W150" s="1"/>
  <c r="S149"/>
  <c r="W149" s="1"/>
  <c r="S148"/>
  <c r="W148" s="1"/>
  <c r="I147"/>
  <c r="S147" s="1"/>
  <c r="W147" s="1"/>
  <c r="S146"/>
  <c r="W146" s="1"/>
  <c r="E145"/>
  <c r="S145" s="1"/>
  <c r="W145" s="1"/>
  <c r="BM163" i="15"/>
  <c r="AE163"/>
  <c r="AI163" s="1"/>
  <c r="AS163" s="1"/>
  <c r="W163"/>
  <c r="K163"/>
  <c r="E163"/>
  <c r="AY163" s="1"/>
  <c r="BM162"/>
  <c r="AI162"/>
  <c r="AS162" s="1"/>
  <c r="W162"/>
  <c r="K162"/>
  <c r="E162"/>
  <c r="BM161"/>
  <c r="AI161"/>
  <c r="AS161" s="1"/>
  <c r="W161"/>
  <c r="K161"/>
  <c r="AY161" s="1"/>
  <c r="E161"/>
  <c r="BM160"/>
  <c r="AI160"/>
  <c r="AS160" s="1"/>
  <c r="W160"/>
  <c r="K160"/>
  <c r="E160"/>
  <c r="BM159"/>
  <c r="AI159"/>
  <c r="AS159" s="1"/>
  <c r="W159"/>
  <c r="K159"/>
  <c r="E159"/>
  <c r="BM158"/>
  <c r="AI158"/>
  <c r="AS158" s="1"/>
  <c r="W158"/>
  <c r="K158"/>
  <c r="E158"/>
  <c r="BM157"/>
  <c r="AI157"/>
  <c r="AS157" s="1"/>
  <c r="W157"/>
  <c r="K157"/>
  <c r="AY157" s="1"/>
  <c r="E157"/>
  <c r="BM156"/>
  <c r="AI156"/>
  <c r="AS156" s="1"/>
  <c r="W156"/>
  <c r="K156"/>
  <c r="E156"/>
  <c r="BM155"/>
  <c r="AE155"/>
  <c r="AI155" s="1"/>
  <c r="AS155" s="1"/>
  <c r="W155"/>
  <c r="K155"/>
  <c r="E155"/>
  <c r="BM154"/>
  <c r="AI154"/>
  <c r="AS154" s="1"/>
  <c r="W154"/>
  <c r="K154"/>
  <c r="E154"/>
  <c r="BM153"/>
  <c r="AI153"/>
  <c r="AS153" s="1"/>
  <c r="W153"/>
  <c r="K153"/>
  <c r="E153"/>
  <c r="AY153" s="1"/>
  <c r="BM152"/>
  <c r="AI152"/>
  <c r="AS152" s="1"/>
  <c r="W152"/>
  <c r="K152"/>
  <c r="AY152" s="1"/>
  <c r="E152"/>
  <c r="BM151"/>
  <c r="AI151"/>
  <c r="AS151" s="1"/>
  <c r="W151"/>
  <c r="K151"/>
  <c r="E151"/>
  <c r="BM150"/>
  <c r="AI150"/>
  <c r="AS150" s="1"/>
  <c r="W150"/>
  <c r="K150"/>
  <c r="E150"/>
  <c r="BM149"/>
  <c r="AS149"/>
  <c r="AI149"/>
  <c r="W149"/>
  <c r="K149"/>
  <c r="E149"/>
  <c r="AY149" s="1"/>
  <c r="BM208" i="13"/>
  <c r="AI208"/>
  <c r="AS208" s="1"/>
  <c r="W208"/>
  <c r="E208"/>
  <c r="BM207"/>
  <c r="AI207"/>
  <c r="AS207" s="1"/>
  <c r="W207"/>
  <c r="K207"/>
  <c r="AY207" s="1"/>
  <c r="E207"/>
  <c r="BM206"/>
  <c r="AS206"/>
  <c r="AI206"/>
  <c r="W206"/>
  <c r="K206"/>
  <c r="E206"/>
  <c r="AY206" s="1"/>
  <c r="BM205"/>
  <c r="AI205"/>
  <c r="AS205" s="1"/>
  <c r="W205"/>
  <c r="K205"/>
  <c r="AY205" s="1"/>
  <c r="E205"/>
  <c r="BM204"/>
  <c r="AS204"/>
  <c r="W204"/>
  <c r="K204"/>
  <c r="E204"/>
  <c r="AY204" s="1"/>
  <c r="BM203"/>
  <c r="AS203"/>
  <c r="AI203"/>
  <c r="W203"/>
  <c r="K203"/>
  <c r="E203"/>
  <c r="AY203" s="1"/>
  <c r="BM202"/>
  <c r="AI202"/>
  <c r="AS202" s="1"/>
  <c r="W202"/>
  <c r="K202"/>
  <c r="AY202" s="1"/>
  <c r="E202"/>
  <c r="BM201"/>
  <c r="AS201"/>
  <c r="AI201"/>
  <c r="W201"/>
  <c r="K201"/>
  <c r="E201"/>
  <c r="AY201" s="1"/>
  <c r="BM200"/>
  <c r="AI200"/>
  <c r="AS200" s="1"/>
  <c r="AE200"/>
  <c r="W200"/>
  <c r="M200"/>
  <c r="K200"/>
  <c r="AY200" s="1"/>
  <c r="E200"/>
  <c r="BM199"/>
  <c r="AE199"/>
  <c r="AI199" s="1"/>
  <c r="AS199" s="1"/>
  <c r="W199"/>
  <c r="K199"/>
  <c r="E199"/>
  <c r="AY199" s="1"/>
  <c r="BM198"/>
  <c r="AS198"/>
  <c r="AI198"/>
  <c r="W198"/>
  <c r="K198"/>
  <c r="E198"/>
  <c r="AY198" s="1"/>
  <c r="BM197"/>
  <c r="AI197"/>
  <c r="AS197" s="1"/>
  <c r="W197"/>
  <c r="K197"/>
  <c r="AY197" s="1"/>
  <c r="E197"/>
  <c r="BM196"/>
  <c r="AS196"/>
  <c r="AI196"/>
  <c r="W196"/>
  <c r="K196"/>
  <c r="E196"/>
  <c r="AY196" s="1"/>
  <c r="BM195"/>
  <c r="AI195"/>
  <c r="AS195" s="1"/>
  <c r="W195"/>
  <c r="K195"/>
  <c r="AY195" s="1"/>
  <c r="E195"/>
  <c r="BM194"/>
  <c r="AS194"/>
  <c r="AI194"/>
  <c r="W194"/>
  <c r="K194"/>
  <c r="E194"/>
  <c r="AY194" s="1"/>
  <c r="BM193"/>
  <c r="AS193"/>
  <c r="W193"/>
  <c r="K193"/>
  <c r="E193"/>
  <c r="AY193" s="1"/>
  <c r="BM192"/>
  <c r="AI192"/>
  <c r="AS192" s="1"/>
  <c r="W192"/>
  <c r="K192"/>
  <c r="AY192" s="1"/>
  <c r="E192"/>
  <c r="BM191"/>
  <c r="AS191"/>
  <c r="AI191"/>
  <c r="W191"/>
  <c r="K191"/>
  <c r="E191"/>
  <c r="AY191" s="1"/>
  <c r="BM190"/>
  <c r="AI190"/>
  <c r="AS190" s="1"/>
  <c r="W190"/>
  <c r="K190"/>
  <c r="E190"/>
  <c r="AI189"/>
  <c r="AS189" s="1"/>
  <c r="W189"/>
  <c r="K189"/>
  <c r="AY189" s="1"/>
  <c r="E189"/>
  <c r="BM188"/>
  <c r="AS188"/>
  <c r="AI188"/>
  <c r="W188"/>
  <c r="K188"/>
  <c r="E188"/>
  <c r="AY188" s="1"/>
  <c r="BM187"/>
  <c r="AI187"/>
  <c r="AS187" s="1"/>
  <c r="W187"/>
  <c r="K187"/>
  <c r="AY187" s="1"/>
  <c r="E187"/>
  <c r="BM186"/>
  <c r="AS186"/>
  <c r="AI186"/>
  <c r="W186"/>
  <c r="K186"/>
  <c r="E186"/>
  <c r="AY186" s="1"/>
  <c r="BM185"/>
  <c r="AI185"/>
  <c r="AS185" s="1"/>
  <c r="W185"/>
  <c r="K185"/>
  <c r="AY185" s="1"/>
  <c r="E185"/>
  <c r="BM184"/>
  <c r="AS184"/>
  <c r="AI184"/>
  <c r="W184"/>
  <c r="K184"/>
  <c r="E184"/>
  <c r="AY184" s="1"/>
  <c r="BM183"/>
  <c r="AI183"/>
  <c r="AS183" s="1"/>
  <c r="W183"/>
  <c r="K183"/>
  <c r="AY183" s="1"/>
  <c r="E183"/>
  <c r="BM182"/>
  <c r="AS182"/>
  <c r="AI182"/>
  <c r="W182"/>
  <c r="K182"/>
  <c r="E182"/>
  <c r="AY182" s="1"/>
  <c r="BM181"/>
  <c r="AI181"/>
  <c r="AS181" s="1"/>
  <c r="W181"/>
  <c r="K181"/>
  <c r="AY181" s="1"/>
  <c r="E181"/>
  <c r="BM180"/>
  <c r="AS180"/>
  <c r="AI180"/>
  <c r="W180"/>
  <c r="K180"/>
  <c r="E180"/>
  <c r="AY180" s="1"/>
  <c r="BM179"/>
  <c r="AI179"/>
  <c r="AS179" s="1"/>
  <c r="W179"/>
  <c r="K179"/>
  <c r="AY179" s="1"/>
  <c r="E179"/>
  <c r="BM178"/>
  <c r="AS178"/>
  <c r="AI178"/>
  <c r="W178"/>
  <c r="K178"/>
  <c r="E178"/>
  <c r="AY178" s="1"/>
  <c r="BM177"/>
  <c r="AI177"/>
  <c r="AS177" s="1"/>
  <c r="W177"/>
  <c r="K177"/>
  <c r="AY177" s="1"/>
  <c r="E177"/>
  <c r="BM176"/>
  <c r="AS176"/>
  <c r="AI176"/>
  <c r="W176"/>
  <c r="K176"/>
  <c r="E176"/>
  <c r="AY176" s="1"/>
  <c r="BM175"/>
  <c r="AI175"/>
  <c r="AS175" s="1"/>
  <c r="W175"/>
  <c r="K175"/>
  <c r="AY175" s="1"/>
  <c r="E175"/>
  <c r="BM174"/>
  <c r="AS174"/>
  <c r="AI174"/>
  <c r="W174"/>
  <c r="K174"/>
  <c r="E174"/>
  <c r="AY174" s="1"/>
  <c r="BM173"/>
  <c r="AI173"/>
  <c r="AS173" s="1"/>
  <c r="W173"/>
  <c r="K173"/>
  <c r="AY173" s="1"/>
  <c r="E173"/>
  <c r="BM172"/>
  <c r="AE172"/>
  <c r="AI172" s="1"/>
  <c r="AS172" s="1"/>
  <c r="W172"/>
  <c r="K172"/>
  <c r="E172"/>
  <c r="AY172" s="1"/>
  <c r="BM171"/>
  <c r="AS171"/>
  <c r="AI171"/>
  <c r="W171"/>
  <c r="K171"/>
  <c r="E171"/>
  <c r="AY171" s="1"/>
  <c r="BM170"/>
  <c r="AI170"/>
  <c r="AS170" s="1"/>
  <c r="W170"/>
  <c r="K170"/>
  <c r="AY170" s="1"/>
  <c r="E170"/>
  <c r="BM169"/>
  <c r="AS169"/>
  <c r="AI169"/>
  <c r="W169"/>
  <c r="K169"/>
  <c r="E169"/>
  <c r="AY169" s="1"/>
  <c r="BM168"/>
  <c r="AI168"/>
  <c r="AS168" s="1"/>
  <c r="W168"/>
  <c r="K168"/>
  <c r="AY168" s="1"/>
  <c r="E168"/>
  <c r="BM167"/>
  <c r="AS167"/>
  <c r="AI167"/>
  <c r="W167"/>
  <c r="K167"/>
  <c r="E167"/>
  <c r="AY167" s="1"/>
  <c r="BM166"/>
  <c r="AI166"/>
  <c r="AS166" s="1"/>
  <c r="W166"/>
  <c r="K166"/>
  <c r="AY166" s="1"/>
  <c r="E166"/>
  <c r="BM165"/>
  <c r="AE165"/>
  <c r="AI165" s="1"/>
  <c r="AS165" s="1"/>
  <c r="W165"/>
  <c r="K165"/>
  <c r="E165"/>
  <c r="AY165" s="1"/>
  <c r="BM164"/>
  <c r="AS164"/>
  <c r="AI164"/>
  <c r="W164"/>
  <c r="K164"/>
  <c r="E164"/>
  <c r="AY164" s="1"/>
  <c r="BM163"/>
  <c r="AI163"/>
  <c r="AS163" s="1"/>
  <c r="AE163"/>
  <c r="W163"/>
  <c r="S163"/>
  <c r="K163"/>
  <c r="AY163" s="1"/>
  <c r="E163"/>
  <c r="BM162"/>
  <c r="AS162"/>
  <c r="AI162"/>
  <c r="W162"/>
  <c r="K162"/>
  <c r="E162"/>
  <c r="AY162" s="1"/>
  <c r="BM161"/>
  <c r="AI161"/>
  <c r="AS161" s="1"/>
  <c r="W161"/>
  <c r="K161"/>
  <c r="AY161" s="1"/>
  <c r="E161"/>
  <c r="BM160"/>
  <c r="AS160"/>
  <c r="AI160"/>
  <c r="W160"/>
  <c r="K160"/>
  <c r="E160"/>
  <c r="AY160" s="1"/>
  <c r="BM159"/>
  <c r="AI159"/>
  <c r="AS159" s="1"/>
  <c r="W159"/>
  <c r="K159"/>
  <c r="AY159" s="1"/>
  <c r="E159"/>
  <c r="BM158"/>
  <c r="AS158"/>
  <c r="AI158"/>
  <c r="W158"/>
  <c r="K158"/>
  <c r="E158"/>
  <c r="AY158" s="1"/>
  <c r="BM157"/>
  <c r="AI157"/>
  <c r="AS157" s="1"/>
  <c r="W157"/>
  <c r="K157"/>
  <c r="AY157" s="1"/>
  <c r="E157"/>
  <c r="BM156"/>
  <c r="AS156"/>
  <c r="AI156"/>
  <c r="W156"/>
  <c r="K156"/>
  <c r="E156"/>
  <c r="AY156" s="1"/>
  <c r="BM155"/>
  <c r="AI155"/>
  <c r="AS155" s="1"/>
  <c r="W155"/>
  <c r="K155"/>
  <c r="AY155" s="1"/>
  <c r="E155"/>
  <c r="BM154"/>
  <c r="AS154"/>
  <c r="AI154"/>
  <c r="W154"/>
  <c r="K154"/>
  <c r="E154"/>
  <c r="AY154" s="1"/>
  <c r="BM153"/>
  <c r="AI153"/>
  <c r="AS153" s="1"/>
  <c r="W153"/>
  <c r="K153"/>
  <c r="AY153" s="1"/>
  <c r="E153"/>
  <c r="BM152"/>
  <c r="AS152"/>
  <c r="AI152"/>
  <c r="W152"/>
  <c r="K152"/>
  <c r="E152"/>
  <c r="AY152" s="1"/>
  <c r="BM151"/>
  <c r="AI151"/>
  <c r="AS151" s="1"/>
  <c r="W151"/>
  <c r="K151"/>
  <c r="AY151" s="1"/>
  <c r="E151"/>
  <c r="BM150"/>
  <c r="AS150"/>
  <c r="AI150"/>
  <c r="W150"/>
  <c r="K150"/>
  <c r="E150"/>
  <c r="AY150" s="1"/>
  <c r="BM149"/>
  <c r="AI149"/>
  <c r="AS149" s="1"/>
  <c r="AE149"/>
  <c r="W149"/>
  <c r="K149"/>
  <c r="E149"/>
  <c r="AY149" s="1"/>
  <c r="BM148"/>
  <c r="AI148"/>
  <c r="AS148" s="1"/>
  <c r="W148"/>
  <c r="K148"/>
  <c r="AY148" s="1"/>
  <c r="E148"/>
  <c r="BM147"/>
  <c r="AS147"/>
  <c r="AI147"/>
  <c r="W147"/>
  <c r="K147"/>
  <c r="E147"/>
  <c r="AY147" s="1"/>
  <c r="BM146"/>
  <c r="AI146"/>
  <c r="AS146" s="1"/>
  <c r="W146"/>
  <c r="K146"/>
  <c r="AY146" s="1"/>
  <c r="E146"/>
  <c r="BM145"/>
  <c r="AS145"/>
  <c r="AI145"/>
  <c r="W145"/>
  <c r="K145"/>
  <c r="E145"/>
  <c r="AY145" s="1"/>
  <c r="BM144"/>
  <c r="AI144"/>
  <c r="AS144" s="1"/>
  <c r="AE144"/>
  <c r="W144"/>
  <c r="K144"/>
  <c r="E144"/>
  <c r="AY144" s="1"/>
  <c r="E209"/>
  <c r="K209"/>
  <c r="W209"/>
  <c r="AI209"/>
  <c r="AS209" s="1"/>
  <c r="AY209"/>
  <c r="BM209"/>
  <c r="E210"/>
  <c r="AY210" s="1"/>
  <c r="K210"/>
  <c r="W210"/>
  <c r="AI210"/>
  <c r="AS210"/>
  <c r="BM210"/>
  <c r="E211"/>
  <c r="K211"/>
  <c r="W211"/>
  <c r="AI211"/>
  <c r="AS211" s="1"/>
  <c r="AY211"/>
  <c r="BM211"/>
  <c r="E212"/>
  <c r="AY212" s="1"/>
  <c r="K212"/>
  <c r="W212"/>
  <c r="AI212"/>
  <c r="AS212"/>
  <c r="BM212"/>
  <c r="E213"/>
  <c r="K213"/>
  <c r="W213"/>
  <c r="AI213"/>
  <c r="AS213" s="1"/>
  <c r="AY213"/>
  <c r="BM213"/>
  <c r="E214"/>
  <c r="AY214" s="1"/>
  <c r="K214"/>
  <c r="W214"/>
  <c r="AI214"/>
  <c r="AS214"/>
  <c r="BM214"/>
  <c r="E215"/>
  <c r="K215"/>
  <c r="AY215" s="1"/>
  <c r="AI215"/>
  <c r="AS215"/>
  <c r="BM215"/>
  <c r="E216"/>
  <c r="K216"/>
  <c r="W216"/>
  <c r="AI216"/>
  <c r="AS216" s="1"/>
  <c r="AY216"/>
  <c r="BM216"/>
  <c r="E217"/>
  <c r="AY217" s="1"/>
  <c r="K217"/>
  <c r="W217"/>
  <c r="AI217"/>
  <c r="AS217"/>
  <c r="BM217"/>
  <c r="E218"/>
  <c r="K218"/>
  <c r="W218"/>
  <c r="AI218"/>
  <c r="AS218" s="1"/>
  <c r="AY218"/>
  <c r="BM218"/>
  <c r="E219"/>
  <c r="AY219" s="1"/>
  <c r="K219"/>
  <c r="W219"/>
  <c r="AI219"/>
  <c r="AS219"/>
  <c r="BM219"/>
  <c r="E220"/>
  <c r="K220"/>
  <c r="W220"/>
  <c r="AI220"/>
  <c r="AS220" s="1"/>
  <c r="AY220"/>
  <c r="BM220"/>
  <c r="E221"/>
  <c r="AY221" s="1"/>
  <c r="K221"/>
  <c r="W221"/>
  <c r="AI221"/>
  <c r="AS221"/>
  <c r="BM221"/>
  <c r="E222"/>
  <c r="K222"/>
  <c r="W222"/>
  <c r="AI222"/>
  <c r="AS222" s="1"/>
  <c r="AY222"/>
  <c r="BM222"/>
  <c r="E223"/>
  <c r="AY223" s="1"/>
  <c r="K223"/>
  <c r="W223"/>
  <c r="AI223"/>
  <c r="AS223"/>
  <c r="BM223"/>
  <c r="E224"/>
  <c r="K224"/>
  <c r="AY224" s="1"/>
  <c r="W224"/>
  <c r="AE224"/>
  <c r="AI224" s="1"/>
  <c r="AS224" s="1"/>
  <c r="BM224"/>
  <c r="E225"/>
  <c r="K225"/>
  <c r="AY225" s="1"/>
  <c r="W225"/>
  <c r="AE225"/>
  <c r="AI225" s="1"/>
  <c r="AS225" s="1"/>
  <c r="BM225"/>
  <c r="E226"/>
  <c r="K226"/>
  <c r="W226"/>
  <c r="AI226"/>
  <c r="AS226" s="1"/>
  <c r="AY226"/>
  <c r="BM226"/>
  <c r="E227"/>
  <c r="AY227" s="1"/>
  <c r="K227"/>
  <c r="W227"/>
  <c r="AI227"/>
  <c r="AS227"/>
  <c r="BM227"/>
  <c r="E228"/>
  <c r="K228"/>
  <c r="W228"/>
  <c r="AI228"/>
  <c r="AS228" s="1"/>
  <c r="AY228"/>
  <c r="BM228"/>
  <c r="E229"/>
  <c r="K229"/>
  <c r="AI229"/>
  <c r="AS229" s="1"/>
  <c r="AY229"/>
  <c r="BM229"/>
  <c r="E230"/>
  <c r="K230"/>
  <c r="W230"/>
  <c r="AS230"/>
  <c r="AY230"/>
  <c r="E231"/>
  <c r="K231"/>
  <c r="W231"/>
  <c r="AI231"/>
  <c r="AS231" s="1"/>
  <c r="AY231"/>
  <c r="BM231"/>
  <c r="E232"/>
  <c r="AY232" s="1"/>
  <c r="K232"/>
  <c r="W232"/>
  <c r="AI232"/>
  <c r="AS232"/>
  <c r="BM232"/>
  <c r="E233"/>
  <c r="K233"/>
  <c r="AY233" s="1"/>
  <c r="W233"/>
  <c r="AE233"/>
  <c r="AI233" s="1"/>
  <c r="AS233" s="1"/>
  <c r="BE233"/>
  <c r="BM233" s="1"/>
  <c r="E234"/>
  <c r="AY234" s="1"/>
  <c r="K234"/>
  <c r="W234"/>
  <c r="AI234"/>
  <c r="AS234"/>
  <c r="BM234"/>
  <c r="E235"/>
  <c r="K235"/>
  <c r="AY235" s="1"/>
  <c r="W235"/>
  <c r="AS235"/>
  <c r="BM235"/>
  <c r="E236"/>
  <c r="K236"/>
  <c r="W236"/>
  <c r="AI236"/>
  <c r="AS236" s="1"/>
  <c r="AY236"/>
  <c r="BM236"/>
  <c r="E237"/>
  <c r="AY237" s="1"/>
  <c r="K237"/>
  <c r="W237"/>
  <c r="AI237"/>
  <c r="AS237"/>
  <c r="BM237"/>
  <c r="E238"/>
  <c r="K238"/>
  <c r="W238"/>
  <c r="AI238"/>
  <c r="AS238" s="1"/>
  <c r="AY238"/>
  <c r="BM238"/>
  <c r="E239"/>
  <c r="AY239" s="1"/>
  <c r="K239"/>
  <c r="W239"/>
  <c r="AI239"/>
  <c r="AS239"/>
  <c r="BM239"/>
  <c r="E240"/>
  <c r="K240"/>
  <c r="AY240" s="1"/>
  <c r="W240"/>
  <c r="AI240"/>
  <c r="BM240"/>
  <c r="BM209" i="14"/>
  <c r="AE209"/>
  <c r="AI209" s="1"/>
  <c r="AS209" s="1"/>
  <c r="W209"/>
  <c r="K209"/>
  <c r="AY209" s="1"/>
  <c r="BK208"/>
  <c r="BM208" s="1"/>
  <c r="AE208"/>
  <c r="AI208" s="1"/>
  <c r="AS208" s="1"/>
  <c r="W208"/>
  <c r="K208"/>
  <c r="AY208" s="1"/>
  <c r="BM207"/>
  <c r="AI207"/>
  <c r="AS207" s="1"/>
  <c r="W207"/>
  <c r="K207"/>
  <c r="AY207" s="1"/>
  <c r="BM206"/>
  <c r="AI206"/>
  <c r="AS206" s="1"/>
  <c r="W206"/>
  <c r="K206"/>
  <c r="AY206" s="1"/>
  <c r="BM205"/>
  <c r="AE205"/>
  <c r="AI205" s="1"/>
  <c r="AS205" s="1"/>
  <c r="W205"/>
  <c r="K205"/>
  <c r="AY205" s="1"/>
  <c r="BM204"/>
  <c r="AE204"/>
  <c r="AI204" s="1"/>
  <c r="AS204" s="1"/>
  <c r="S204"/>
  <c r="W204" s="1"/>
  <c r="M204"/>
  <c r="K204" s="1"/>
  <c r="E204"/>
  <c r="BM203"/>
  <c r="AE203"/>
  <c r="AI203" s="1"/>
  <c r="AS203" s="1"/>
  <c r="W203"/>
  <c r="K203"/>
  <c r="AY203" s="1"/>
  <c r="BM202"/>
  <c r="AI202"/>
  <c r="AS202" s="1"/>
  <c r="W202"/>
  <c r="K202"/>
  <c r="AY202" s="1"/>
  <c r="BK201"/>
  <c r="BI201"/>
  <c r="BM201" s="1"/>
  <c r="AI201"/>
  <c r="AS201" s="1"/>
  <c r="AE201"/>
  <c r="W201"/>
  <c r="K201"/>
  <c r="AY201" s="1"/>
  <c r="BM200"/>
  <c r="AI200"/>
  <c r="AS200" s="1"/>
  <c r="W200"/>
  <c r="K200"/>
  <c r="AY200" s="1"/>
  <c r="BK199"/>
  <c r="BM199" s="1"/>
  <c r="AQ199"/>
  <c r="AE199"/>
  <c r="AI199" s="1"/>
  <c r="AS199" s="1"/>
  <c r="W199"/>
  <c r="K199"/>
  <c r="AY199" s="1"/>
  <c r="BM198"/>
  <c r="AI198"/>
  <c r="AS198" s="1"/>
  <c r="W198"/>
  <c r="K198"/>
  <c r="AY198" s="1"/>
  <c r="BM197"/>
  <c r="AI197"/>
  <c r="AS197" s="1"/>
  <c r="W197"/>
  <c r="K197"/>
  <c r="AY197" s="1"/>
  <c r="BM196"/>
  <c r="AI196"/>
  <c r="AS196" s="1"/>
  <c r="W196"/>
  <c r="K196"/>
  <c r="AY196" s="1"/>
  <c r="BM195"/>
  <c r="AE195"/>
  <c r="AI195" s="1"/>
  <c r="AS195" s="1"/>
  <c r="W195"/>
  <c r="K195"/>
  <c r="AY195" s="1"/>
  <c r="BM194"/>
  <c r="AE194"/>
  <c r="AI194" s="1"/>
  <c r="AS194" s="1"/>
  <c r="W194"/>
  <c r="K194"/>
  <c r="AY194" s="1"/>
  <c r="BM193"/>
  <c r="AE193"/>
  <c r="AI193" s="1"/>
  <c r="AS193" s="1"/>
  <c r="W193"/>
  <c r="K193"/>
  <c r="G193"/>
  <c r="E193"/>
  <c r="AY193" s="1"/>
  <c r="BM192"/>
  <c r="AS192"/>
  <c r="AI192"/>
  <c r="W192"/>
  <c r="K192"/>
  <c r="AY192" s="1"/>
  <c r="BM191"/>
  <c r="AI191"/>
  <c r="AS191" s="1"/>
  <c r="W191"/>
  <c r="K191"/>
  <c r="AY191" s="1"/>
  <c r="BM190"/>
  <c r="AS190"/>
  <c r="AI190"/>
  <c r="W190"/>
  <c r="K190"/>
  <c r="AY190" s="1"/>
  <c r="BM189"/>
  <c r="AE189"/>
  <c r="AI189" s="1"/>
  <c r="AS189" s="1"/>
  <c r="W189"/>
  <c r="K189"/>
  <c r="AY189" s="1"/>
  <c r="BM188"/>
  <c r="AI188"/>
  <c r="AS188" s="1"/>
  <c r="AE188"/>
  <c r="W188"/>
  <c r="K188"/>
  <c r="AY188" s="1"/>
  <c r="BM187"/>
  <c r="AE187"/>
  <c r="AI187" s="1"/>
  <c r="AS187" s="1"/>
  <c r="W187"/>
  <c r="K187"/>
  <c r="AY187" s="1"/>
  <c r="BM186"/>
  <c r="AI186"/>
  <c r="AS186" s="1"/>
  <c r="AE186"/>
  <c r="W186"/>
  <c r="K186"/>
  <c r="AY186" s="1"/>
  <c r="BM185"/>
  <c r="AI185"/>
  <c r="AS185" s="1"/>
  <c r="W185"/>
  <c r="K185"/>
  <c r="AY185" s="1"/>
  <c r="BM184"/>
  <c r="AE184"/>
  <c r="AI184" s="1"/>
  <c r="AS184" s="1"/>
  <c r="W184"/>
  <c r="K184"/>
  <c r="AY184" s="1"/>
  <c r="BM183"/>
  <c r="AI183"/>
  <c r="AS183" s="1"/>
  <c r="W183"/>
  <c r="K183"/>
  <c r="AY183" s="1"/>
  <c r="BE182"/>
  <c r="BM182" s="1"/>
  <c r="AQ182"/>
  <c r="AE182"/>
  <c r="AI182" s="1"/>
  <c r="AS182" s="1"/>
  <c r="W182"/>
  <c r="K182"/>
  <c r="AY182" s="1"/>
  <c r="BM181"/>
  <c r="AS181"/>
  <c r="AI181"/>
  <c r="W181"/>
  <c r="K181"/>
  <c r="AY181" s="1"/>
  <c r="BM180"/>
  <c r="BK180"/>
  <c r="AE180"/>
  <c r="AI180" s="1"/>
  <c r="AS180" s="1"/>
  <c r="W180"/>
  <c r="K180"/>
  <c r="AY180" s="1"/>
  <c r="BM179"/>
  <c r="AS179"/>
  <c r="AI179"/>
  <c r="W179"/>
  <c r="K179"/>
  <c r="AY179" s="1"/>
  <c r="BM178"/>
  <c r="AE178"/>
  <c r="AI178" s="1"/>
  <c r="AS178" s="1"/>
  <c r="W178"/>
  <c r="K178"/>
  <c r="AY178" s="1"/>
  <c r="BM177"/>
  <c r="AI177"/>
  <c r="AS177" s="1"/>
  <c r="AE177"/>
  <c r="W177"/>
  <c r="K177"/>
  <c r="AY177" s="1"/>
  <c r="BM176"/>
  <c r="AE176"/>
  <c r="AI176" s="1"/>
  <c r="AS176" s="1"/>
  <c r="W176"/>
  <c r="K176"/>
  <c r="AY176" s="1"/>
  <c r="BE175"/>
  <c r="BM175" s="1"/>
  <c r="AE175"/>
  <c r="AI175" s="1"/>
  <c r="AS175" s="1"/>
  <c r="W175"/>
  <c r="K175"/>
  <c r="AY175" s="1"/>
  <c r="BM173"/>
  <c r="AE173"/>
  <c r="AI173" s="1"/>
  <c r="AS173" s="1"/>
  <c r="W173"/>
  <c r="M173"/>
  <c r="K173" s="1"/>
  <c r="AY173" s="1"/>
  <c r="BM172"/>
  <c r="AI172"/>
  <c r="AS172" s="1"/>
  <c r="W172"/>
  <c r="K172"/>
  <c r="AY172" s="1"/>
  <c r="BM171"/>
  <c r="AE171"/>
  <c r="AI171" s="1"/>
  <c r="AS171" s="1"/>
  <c r="W171"/>
  <c r="K171"/>
  <c r="AY171" s="1"/>
  <c r="BM170"/>
  <c r="AI170"/>
  <c r="AS170" s="1"/>
  <c r="W170"/>
  <c r="K170"/>
  <c r="AY170" s="1"/>
  <c r="BM169"/>
  <c r="AI169"/>
  <c r="AS169" s="1"/>
  <c r="W169"/>
  <c r="K169"/>
  <c r="AY169" s="1"/>
  <c r="BM168"/>
  <c r="AE168"/>
  <c r="AI168" s="1"/>
  <c r="AS168" s="1"/>
  <c r="W168"/>
  <c r="K168"/>
  <c r="AY168" s="1"/>
  <c r="I168"/>
  <c r="BM167"/>
  <c r="AY167"/>
  <c r="AE167"/>
  <c r="AI167" s="1"/>
  <c r="AS167" s="1"/>
  <c r="W167"/>
  <c r="I167"/>
  <c r="BM166"/>
  <c r="AE166"/>
  <c r="AI166" s="1"/>
  <c r="AS166" s="1"/>
  <c r="W166"/>
  <c r="K166"/>
  <c r="AY166" s="1"/>
  <c r="I166"/>
  <c r="BM165"/>
  <c r="AI165"/>
  <c r="AS165" s="1"/>
  <c r="AE165"/>
  <c r="W165"/>
  <c r="K165"/>
  <c r="AY165" s="1"/>
  <c r="I165"/>
  <c r="BM164"/>
  <c r="AY164"/>
  <c r="AE164"/>
  <c r="AI164" s="1"/>
  <c r="AS164" s="1"/>
  <c r="W164"/>
  <c r="I164"/>
  <c r="BM163"/>
  <c r="AS163"/>
  <c r="AI163"/>
  <c r="W163"/>
  <c r="K163"/>
  <c r="AY163" s="1"/>
  <c r="I163"/>
  <c r="BM162"/>
  <c r="AI162"/>
  <c r="AS162" s="1"/>
  <c r="AE162"/>
  <c r="W162"/>
  <c r="M162"/>
  <c r="K162"/>
  <c r="AY162" s="1"/>
  <c r="I162"/>
  <c r="BM161"/>
  <c r="AE161"/>
  <c r="AI161" s="1"/>
  <c r="AS161" s="1"/>
  <c r="W161"/>
  <c r="K161"/>
  <c r="AY161" s="1"/>
  <c r="I161"/>
  <c r="BM160"/>
  <c r="AI160"/>
  <c r="AS160" s="1"/>
  <c r="W160"/>
  <c r="K160"/>
  <c r="AY160" s="1"/>
  <c r="I160"/>
  <c r="BI159"/>
  <c r="BM159" s="1"/>
  <c r="AE159"/>
  <c r="AI159" s="1"/>
  <c r="AS159" s="1"/>
  <c r="W159"/>
  <c r="K159"/>
  <c r="AY159" s="1"/>
  <c r="I159"/>
  <c r="BM158"/>
  <c r="AI158"/>
  <c r="AS158" s="1"/>
  <c r="W158"/>
  <c r="K158"/>
  <c r="AY158" s="1"/>
  <c r="I158"/>
  <c r="BM157"/>
  <c r="AI157"/>
  <c r="AS157" s="1"/>
  <c r="W157"/>
  <c r="K157"/>
  <c r="AY157" s="1"/>
  <c r="I157"/>
  <c r="BM156"/>
  <c r="AI156"/>
  <c r="AS156" s="1"/>
  <c r="W156"/>
  <c r="K156"/>
  <c r="AY156" s="1"/>
  <c r="I156"/>
  <c r="BE155"/>
  <c r="BM155" s="1"/>
  <c r="AE155"/>
  <c r="AI155" s="1"/>
  <c r="AS155" s="1"/>
  <c r="W155"/>
  <c r="K155"/>
  <c r="AY155" s="1"/>
  <c r="I155"/>
  <c r="BK154"/>
  <c r="BI154"/>
  <c r="BM154" s="1"/>
  <c r="AE154"/>
  <c r="AI154" s="1"/>
  <c r="AS154" s="1"/>
  <c r="W154"/>
  <c r="K154"/>
  <c r="AY154" s="1"/>
  <c r="I154"/>
  <c r="BM153"/>
  <c r="AE153"/>
  <c r="AI153" s="1"/>
  <c r="AS153" s="1"/>
  <c r="W153"/>
  <c r="K153"/>
  <c r="AY153" s="1"/>
  <c r="I153"/>
  <c r="BM152"/>
  <c r="AE152"/>
  <c r="AI152" s="1"/>
  <c r="AS152" s="1"/>
  <c r="W152"/>
  <c r="K152"/>
  <c r="AY152" s="1"/>
  <c r="I152"/>
  <c r="BM151"/>
  <c r="BI151"/>
  <c r="AE151"/>
  <c r="AI151" s="1"/>
  <c r="AS151" s="1"/>
  <c r="W151"/>
  <c r="K151"/>
  <c r="AY151" s="1"/>
  <c r="I151"/>
  <c r="BI150"/>
  <c r="BM150" s="1"/>
  <c r="AE150"/>
  <c r="AI150" s="1"/>
  <c r="AS150" s="1"/>
  <c r="W150"/>
  <c r="K150"/>
  <c r="AY150" s="1"/>
  <c r="I150"/>
  <c r="BM149"/>
  <c r="AE149"/>
  <c r="AI149" s="1"/>
  <c r="AS149" s="1"/>
  <c r="W149"/>
  <c r="M149"/>
  <c r="K149" s="1"/>
  <c r="G149"/>
  <c r="E149"/>
  <c r="AY149" s="1"/>
  <c r="BM148"/>
  <c r="AI148"/>
  <c r="AS148" s="1"/>
  <c r="W148"/>
  <c r="K148"/>
  <c r="AY148" s="1"/>
  <c r="I148"/>
  <c r="BM147"/>
  <c r="BI147"/>
  <c r="AE147"/>
  <c r="AI147" s="1"/>
  <c r="AS147" s="1"/>
  <c r="W147"/>
  <c r="K147"/>
  <c r="AY147" s="1"/>
  <c r="I147"/>
  <c r="BM146"/>
  <c r="AI146"/>
  <c r="AS146" s="1"/>
  <c r="W146"/>
  <c r="K146"/>
  <c r="AY146" s="1"/>
  <c r="I146"/>
  <c r="BM145"/>
  <c r="AE145"/>
  <c r="AI145" s="1"/>
  <c r="AS145" s="1"/>
  <c r="W145"/>
  <c r="K145"/>
  <c r="AY145" s="1"/>
  <c r="I145"/>
  <c r="BM144"/>
  <c r="AI144"/>
  <c r="AS144" s="1"/>
  <c r="W144"/>
  <c r="K144"/>
  <c r="AY144" s="1"/>
  <c r="I144"/>
  <c r="BM143"/>
  <c r="AI143"/>
  <c r="AS143" s="1"/>
  <c r="W143"/>
  <c r="K143"/>
  <c r="AY143" s="1"/>
  <c r="I143"/>
  <c r="BM142"/>
  <c r="AE142"/>
  <c r="AI142" s="1"/>
  <c r="AS142" s="1"/>
  <c r="W142"/>
  <c r="K142"/>
  <c r="AY142" s="1"/>
  <c r="I142"/>
  <c r="BN213" i="6"/>
  <c r="AF213"/>
  <c r="AJ213" s="1"/>
  <c r="AT213" s="1"/>
  <c r="W213"/>
  <c r="K213"/>
  <c r="E213"/>
  <c r="BN212"/>
  <c r="AJ212"/>
  <c r="AT212" s="1"/>
  <c r="W212"/>
  <c r="K212"/>
  <c r="E212"/>
  <c r="AZ212" s="1"/>
  <c r="BN211"/>
  <c r="AJ211"/>
  <c r="AT211" s="1"/>
  <c r="W211"/>
  <c r="K211"/>
  <c r="AZ211" s="1"/>
  <c r="E211"/>
  <c r="BN210"/>
  <c r="BL210"/>
  <c r="AL210"/>
  <c r="AF210"/>
  <c r="AJ210" s="1"/>
  <c r="W210"/>
  <c r="K210"/>
  <c r="E210"/>
  <c r="BN209"/>
  <c r="AJ209"/>
  <c r="AT209" s="1"/>
  <c r="W209"/>
  <c r="K209"/>
  <c r="E209"/>
  <c r="AZ209" s="1"/>
  <c r="BN208"/>
  <c r="AJ208"/>
  <c r="AT208" s="1"/>
  <c r="AF208"/>
  <c r="W208"/>
  <c r="E208"/>
  <c r="AZ208" s="1"/>
  <c r="BN207"/>
  <c r="AJ207"/>
  <c r="AT207" s="1"/>
  <c r="AF207"/>
  <c r="W207"/>
  <c r="K207"/>
  <c r="E207"/>
  <c r="AZ207" s="1"/>
  <c r="BN206"/>
  <c r="AJ206"/>
  <c r="AT206" s="1"/>
  <c r="W206"/>
  <c r="K206"/>
  <c r="AZ206" s="1"/>
  <c r="E206"/>
  <c r="BN205"/>
  <c r="AF205"/>
  <c r="AJ205" s="1"/>
  <c r="AT205" s="1"/>
  <c r="W205"/>
  <c r="K205"/>
  <c r="E205"/>
  <c r="AZ205" s="1"/>
  <c r="BN204"/>
  <c r="AT204"/>
  <c r="AJ204"/>
  <c r="W204"/>
  <c r="K204"/>
  <c r="E204"/>
  <c r="AZ204" s="1"/>
  <c r="BN203"/>
  <c r="AR203"/>
  <c r="AF203"/>
  <c r="AJ203" s="1"/>
  <c r="W203"/>
  <c r="K203"/>
  <c r="E203"/>
  <c r="BN202"/>
  <c r="AJ202"/>
  <c r="AT202" s="1"/>
  <c r="W202"/>
  <c r="K202"/>
  <c r="E202"/>
  <c r="AZ202" s="1"/>
  <c r="BN201"/>
  <c r="AT201"/>
  <c r="AF201"/>
  <c r="W201"/>
  <c r="K201"/>
  <c r="E201"/>
  <c r="BN200"/>
  <c r="AJ200"/>
  <c r="AT200" s="1"/>
  <c r="W200"/>
  <c r="K200"/>
  <c r="E200"/>
  <c r="AZ200" s="1"/>
  <c r="BL199"/>
  <c r="BF199"/>
  <c r="BN199" s="1"/>
  <c r="AJ199"/>
  <c r="AT199" s="1"/>
  <c r="AF199"/>
  <c r="W199"/>
  <c r="E199"/>
  <c r="AZ199" s="1"/>
  <c r="BN198"/>
  <c r="BJ198"/>
  <c r="AJ198"/>
  <c r="AT198" s="1"/>
  <c r="AF198"/>
  <c r="W198"/>
  <c r="K198"/>
  <c r="E198"/>
  <c r="AZ198" s="1"/>
  <c r="BL197"/>
  <c r="BN197" s="1"/>
  <c r="AF197"/>
  <c r="AJ197" s="1"/>
  <c r="AT197" s="1"/>
  <c r="W197"/>
  <c r="K197"/>
  <c r="E197"/>
  <c r="BN196"/>
  <c r="AJ196"/>
  <c r="AT196" s="1"/>
  <c r="W196"/>
  <c r="K196"/>
  <c r="E196"/>
  <c r="BN195"/>
  <c r="AJ195"/>
  <c r="AT195" s="1"/>
  <c r="W195"/>
  <c r="K195"/>
  <c r="E195"/>
  <c r="BN194"/>
  <c r="AT194"/>
  <c r="AJ194"/>
  <c r="W194"/>
  <c r="K194"/>
  <c r="E194"/>
  <c r="AZ194" s="1"/>
  <c r="BL193"/>
  <c r="BN193" s="1"/>
  <c r="AF193"/>
  <c r="AJ193" s="1"/>
  <c r="AT193" s="1"/>
  <c r="W193"/>
  <c r="K193"/>
  <c r="E193"/>
  <c r="BN192"/>
  <c r="AL192"/>
  <c r="AJ192"/>
  <c r="AT192" s="1"/>
  <c r="AF192"/>
  <c r="W192"/>
  <c r="K192"/>
  <c r="E192"/>
  <c r="AZ192" s="1"/>
  <c r="BJ191"/>
  <c r="BN191" s="1"/>
  <c r="AF191"/>
  <c r="AJ191" s="1"/>
  <c r="AT191" s="1"/>
  <c r="W191"/>
  <c r="K191"/>
  <c r="E191"/>
  <c r="BN190"/>
  <c r="AJ190"/>
  <c r="AT190" s="1"/>
  <c r="W190"/>
  <c r="K190"/>
  <c r="E190"/>
  <c r="AZ190" s="1"/>
  <c r="BN189"/>
  <c r="AJ189"/>
  <c r="AT189" s="1"/>
  <c r="W189"/>
  <c r="K189"/>
  <c r="AZ189" s="1"/>
  <c r="E189"/>
  <c r="BN188"/>
  <c r="AF188"/>
  <c r="AJ188" s="1"/>
  <c r="AT188" s="1"/>
  <c r="W188"/>
  <c r="K188"/>
  <c r="E188"/>
  <c r="AZ188" s="1"/>
  <c r="BN187"/>
  <c r="AT187"/>
  <c r="AJ187"/>
  <c r="W187"/>
  <c r="K187"/>
  <c r="E187"/>
  <c r="AZ187" s="1"/>
  <c r="BJ186"/>
  <c r="BF186"/>
  <c r="BN186" s="1"/>
  <c r="AR186"/>
  <c r="AF186"/>
  <c r="AJ186" s="1"/>
  <c r="AT186" s="1"/>
  <c r="W186"/>
  <c r="K186"/>
  <c r="AZ186" s="1"/>
  <c r="E186"/>
  <c r="BN184"/>
  <c r="AJ184"/>
  <c r="AT184" s="1"/>
  <c r="W184"/>
  <c r="K184"/>
  <c r="E184"/>
  <c r="BN183"/>
  <c r="AF183"/>
  <c r="AJ183" s="1"/>
  <c r="AT183" s="1"/>
  <c r="S183"/>
  <c r="W183" s="1"/>
  <c r="K183"/>
  <c r="E183"/>
  <c r="BN182"/>
  <c r="AT182"/>
  <c r="AJ182"/>
  <c r="W182"/>
  <c r="K182"/>
  <c r="E182"/>
  <c r="AZ182" s="1"/>
  <c r="BL181"/>
  <c r="BJ181"/>
  <c r="BN181" s="1"/>
  <c r="AF181"/>
  <c r="AJ181" s="1"/>
  <c r="AT181" s="1"/>
  <c r="W181"/>
  <c r="K181"/>
  <c r="E181"/>
  <c r="BJ180"/>
  <c r="BN180" s="1"/>
  <c r="AF180"/>
  <c r="AJ180" s="1"/>
  <c r="AT180" s="1"/>
  <c r="W180"/>
  <c r="K180"/>
  <c r="E180"/>
  <c r="AZ180" s="1"/>
  <c r="BJ179"/>
  <c r="BN179" s="1"/>
  <c r="AJ179"/>
  <c r="AT179" s="1"/>
  <c r="AF179"/>
  <c r="W179"/>
  <c r="E179"/>
  <c r="AZ179" s="1"/>
  <c r="BL178"/>
  <c r="BF178"/>
  <c r="AF178"/>
  <c r="AJ178" s="1"/>
  <c r="AT178" s="1"/>
  <c r="W178"/>
  <c r="E178"/>
  <c r="AZ178" s="1"/>
  <c r="BN177"/>
  <c r="AJ177"/>
  <c r="AT177" s="1"/>
  <c r="AF177"/>
  <c r="W177"/>
  <c r="M177"/>
  <c r="E177"/>
  <c r="AZ177" s="1"/>
  <c r="BN176"/>
  <c r="AJ176"/>
  <c r="AT176" s="1"/>
  <c r="W176"/>
  <c r="K176"/>
  <c r="AZ176" s="1"/>
  <c r="E176"/>
  <c r="BN175"/>
  <c r="AF175"/>
  <c r="AJ175" s="1"/>
  <c r="AT175" s="1"/>
  <c r="W175"/>
  <c r="E175"/>
  <c r="AZ175" s="1"/>
  <c r="BN174"/>
  <c r="AJ174"/>
  <c r="AT174" s="1"/>
  <c r="W174"/>
  <c r="K174"/>
  <c r="E174"/>
  <c r="BN173"/>
  <c r="AT173"/>
  <c r="AJ173"/>
  <c r="W173"/>
  <c r="K173"/>
  <c r="E173"/>
  <c r="AZ173" s="1"/>
  <c r="BL172"/>
  <c r="BJ172"/>
  <c r="BN172" s="1"/>
  <c r="AJ172"/>
  <c r="AT172" s="1"/>
  <c r="AF172"/>
  <c r="W172"/>
  <c r="E172"/>
  <c r="AZ172" s="1"/>
  <c r="BN171"/>
  <c r="AF171"/>
  <c r="AJ171" s="1"/>
  <c r="AT171" s="1"/>
  <c r="W171"/>
  <c r="E171"/>
  <c r="AZ171" s="1"/>
  <c r="BL170"/>
  <c r="BJ170"/>
  <c r="AJ170"/>
  <c r="AT170" s="1"/>
  <c r="AF170"/>
  <c r="W170"/>
  <c r="S170"/>
  <c r="E170"/>
  <c r="AZ170" s="1"/>
  <c r="BN169"/>
  <c r="AF169"/>
  <c r="AJ169" s="1"/>
  <c r="AT169" s="1"/>
  <c r="W169"/>
  <c r="E169"/>
  <c r="AZ169" s="1"/>
  <c r="BN168"/>
  <c r="AF168"/>
  <c r="AJ168" s="1"/>
  <c r="AT168" s="1"/>
  <c r="W168"/>
  <c r="K168"/>
  <c r="E168"/>
  <c r="BN167"/>
  <c r="AJ167"/>
  <c r="AT167" s="1"/>
  <c r="W167"/>
  <c r="K167"/>
  <c r="E167"/>
  <c r="BL166"/>
  <c r="BN166" s="1"/>
  <c r="AF166"/>
  <c r="AJ166" s="1"/>
  <c r="AT166" s="1"/>
  <c r="W166"/>
  <c r="E166"/>
  <c r="AZ166" s="1"/>
  <c r="BN165"/>
  <c r="AJ165"/>
  <c r="AT165" s="1"/>
  <c r="AF165"/>
  <c r="W165"/>
  <c r="E165"/>
  <c r="AZ165" s="1"/>
  <c r="BN164"/>
  <c r="AJ164"/>
  <c r="AT164" s="1"/>
  <c r="W164"/>
  <c r="K164"/>
  <c r="E164"/>
  <c r="BL163"/>
  <c r="BJ163"/>
  <c r="AJ163"/>
  <c r="AT163" s="1"/>
  <c r="AF163"/>
  <c r="W163"/>
  <c r="K163"/>
  <c r="E163"/>
  <c r="AZ163" s="1"/>
  <c r="BN162"/>
  <c r="AJ162"/>
  <c r="AT162" s="1"/>
  <c r="W162"/>
  <c r="K162"/>
  <c r="AZ162" s="1"/>
  <c r="E162"/>
  <c r="BN161"/>
  <c r="AJ161"/>
  <c r="AT161" s="1"/>
  <c r="W161"/>
  <c r="K161"/>
  <c r="E161"/>
  <c r="BN160"/>
  <c r="AJ160"/>
  <c r="AT160" s="1"/>
  <c r="AF160"/>
  <c r="W160"/>
  <c r="E160"/>
  <c r="AZ160" s="1"/>
  <c r="BJ159"/>
  <c r="BF159"/>
  <c r="AF159"/>
  <c r="AJ159" s="1"/>
  <c r="AT159" s="1"/>
  <c r="W159"/>
  <c r="K159"/>
  <c r="E159"/>
  <c r="BN158"/>
  <c r="AJ158"/>
  <c r="AT158" s="1"/>
  <c r="W158"/>
  <c r="K158"/>
  <c r="E158"/>
  <c r="BJ157"/>
  <c r="BN157" s="1"/>
  <c r="AF157"/>
  <c r="AJ157" s="1"/>
  <c r="AT157" s="1"/>
  <c r="W157"/>
  <c r="K157"/>
  <c r="E157"/>
  <c r="AZ157" s="1"/>
  <c r="BN156"/>
  <c r="AF156"/>
  <c r="AJ156" s="1"/>
  <c r="AT156" s="1"/>
  <c r="W156"/>
  <c r="K156"/>
  <c r="E156"/>
  <c r="BL155"/>
  <c r="BJ155"/>
  <c r="AF155"/>
  <c r="AJ155" s="1"/>
  <c r="AT155" s="1"/>
  <c r="W155"/>
  <c r="K155"/>
  <c r="E155"/>
  <c r="BL154"/>
  <c r="BJ154"/>
  <c r="AF154"/>
  <c r="AJ154" s="1"/>
  <c r="AT154" s="1"/>
  <c r="W154"/>
  <c r="K154"/>
  <c r="E154"/>
  <c r="BN153"/>
  <c r="AF153"/>
  <c r="AJ153" s="1"/>
  <c r="AT153" s="1"/>
  <c r="W153"/>
  <c r="M153"/>
  <c r="K153" s="1"/>
  <c r="G153"/>
  <c r="E153" s="1"/>
  <c r="BN152"/>
  <c r="AT152"/>
  <c r="AJ152"/>
  <c r="W152"/>
  <c r="K152"/>
  <c r="E152"/>
  <c r="AZ152" s="1"/>
  <c r="BL151"/>
  <c r="BJ151"/>
  <c r="BN151" s="1"/>
  <c r="AF151"/>
  <c r="AJ151" s="1"/>
  <c r="AT151" s="1"/>
  <c r="W151"/>
  <c r="K151"/>
  <c r="E151"/>
  <c r="BN150"/>
  <c r="AF150"/>
  <c r="AJ150" s="1"/>
  <c r="AT150" s="1"/>
  <c r="W150"/>
  <c r="K150"/>
  <c r="E150"/>
  <c r="BN149"/>
  <c r="AF149"/>
  <c r="AJ149" s="1"/>
  <c r="AT149" s="1"/>
  <c r="W149"/>
  <c r="K149"/>
  <c r="E149"/>
  <c r="BN148"/>
  <c r="AJ148"/>
  <c r="AT148" s="1"/>
  <c r="W148"/>
  <c r="K148"/>
  <c r="E148"/>
  <c r="BN147"/>
  <c r="AT147"/>
  <c r="AJ147"/>
  <c r="W147"/>
  <c r="K147"/>
  <c r="E147"/>
  <c r="AZ147" s="1"/>
  <c r="BN146"/>
  <c r="AJ146"/>
  <c r="AT146" s="1"/>
  <c r="W146"/>
  <c r="K146"/>
  <c r="AZ146" s="1"/>
  <c r="E146"/>
  <c r="BN145"/>
  <c r="BL145"/>
  <c r="AJ145"/>
  <c r="AT145" s="1"/>
  <c r="AF145"/>
  <c r="W145"/>
  <c r="K145"/>
  <c r="E145"/>
  <c r="AZ145" s="1"/>
  <c r="AR214" i="5"/>
  <c r="AL214"/>
  <c r="AH214"/>
  <c r="AR213"/>
  <c r="AH213"/>
  <c r="AR212"/>
  <c r="AH212"/>
  <c r="AR211"/>
  <c r="AH211"/>
  <c r="AR210"/>
  <c r="AH210"/>
  <c r="AR209"/>
  <c r="AH209"/>
  <c r="AR208"/>
  <c r="AH208"/>
  <c r="AR207"/>
  <c r="AH207"/>
  <c r="AR206"/>
  <c r="AH206"/>
  <c r="AR205"/>
  <c r="AL205"/>
  <c r="AH205"/>
  <c r="AR204"/>
  <c r="AL204"/>
  <c r="AH204"/>
  <c r="AR203"/>
  <c r="Q203"/>
  <c r="G203"/>
  <c r="E203"/>
  <c r="AR202"/>
  <c r="AL202"/>
  <c r="G202"/>
  <c r="AH202" s="1"/>
  <c r="AR201"/>
  <c r="AH201"/>
  <c r="AR200"/>
  <c r="I200"/>
  <c r="G200"/>
  <c r="AR199"/>
  <c r="AD199"/>
  <c r="AH199" s="1"/>
  <c r="AR198"/>
  <c r="AB198"/>
  <c r="AH198" s="1"/>
  <c r="AR197"/>
  <c r="AH197"/>
  <c r="AR196"/>
  <c r="O196"/>
  <c r="I196"/>
  <c r="G196"/>
  <c r="E196"/>
  <c r="AH196" s="1"/>
  <c r="AR194"/>
  <c r="AH194"/>
  <c r="AR193"/>
  <c r="AD193"/>
  <c r="G193"/>
  <c r="E193"/>
  <c r="AR192"/>
  <c r="AH192"/>
  <c r="AR191"/>
  <c r="AH191"/>
  <c r="AR190"/>
  <c r="AH190"/>
  <c r="AR189"/>
  <c r="AH189"/>
  <c r="AR188"/>
  <c r="AH188"/>
  <c r="AR187"/>
  <c r="AH187"/>
  <c r="AR186"/>
  <c r="AH186"/>
  <c r="AR185"/>
  <c r="AH185"/>
  <c r="AR184"/>
  <c r="Q184"/>
  <c r="G184"/>
  <c r="AH184" s="1"/>
  <c r="AR183"/>
  <c r="AD183"/>
  <c r="AH183" s="1"/>
  <c r="AR182"/>
  <c r="AH182"/>
  <c r="AR181"/>
  <c r="AB181"/>
  <c r="G181"/>
  <c r="AR180"/>
  <c r="AH180"/>
  <c r="AR179"/>
  <c r="AL179"/>
  <c r="AB179"/>
  <c r="AH179" s="1"/>
  <c r="AR178"/>
  <c r="AH178"/>
  <c r="AR177"/>
  <c r="AH177"/>
  <c r="G177"/>
  <c r="AR176"/>
  <c r="AH176"/>
  <c r="AR175"/>
  <c r="AD175"/>
  <c r="AH175" s="1"/>
  <c r="AR174"/>
  <c r="AH174"/>
  <c r="AR173"/>
  <c r="AH173"/>
  <c r="AR172"/>
  <c r="AH172"/>
  <c r="AR171"/>
  <c r="G171"/>
  <c r="AH171" s="1"/>
  <c r="AR170"/>
  <c r="AH170"/>
  <c r="AR169"/>
  <c r="AH169"/>
  <c r="AR168"/>
  <c r="AH168"/>
  <c r="AR167"/>
  <c r="AH167"/>
  <c r="AR166"/>
  <c r="AH166"/>
  <c r="AR165"/>
  <c r="AH165"/>
  <c r="AR164"/>
  <c r="AH164"/>
  <c r="AR163"/>
  <c r="AH163"/>
  <c r="AR162"/>
  <c r="AH162"/>
  <c r="AR161"/>
  <c r="AH161"/>
  <c r="AR160"/>
  <c r="AH160"/>
  <c r="AR159"/>
  <c r="AD159"/>
  <c r="AH159" s="1"/>
  <c r="AR158"/>
  <c r="AL158"/>
  <c r="G158"/>
  <c r="AH158" s="1"/>
  <c r="AR157"/>
  <c r="AH157"/>
  <c r="AD157"/>
  <c r="AR156"/>
  <c r="AH156"/>
  <c r="AR155"/>
  <c r="AH155"/>
  <c r="AR154"/>
  <c r="AH154"/>
  <c r="AR153"/>
  <c r="AH153"/>
  <c r="AR152"/>
  <c r="AH152"/>
  <c r="AR151"/>
  <c r="AH151"/>
  <c r="AR150"/>
  <c r="AH150"/>
  <c r="AR149"/>
  <c r="AH149"/>
  <c r="AR148"/>
  <c r="AH148"/>
  <c r="AR147"/>
  <c r="S147"/>
  <c r="AH147" s="1"/>
  <c r="AR146"/>
  <c r="AL146"/>
  <c r="AH146"/>
  <c r="AR145"/>
  <c r="AH145"/>
  <c r="W214" i="4"/>
  <c r="S214"/>
  <c r="W213"/>
  <c r="S213"/>
  <c r="S212"/>
  <c r="W211"/>
  <c r="S211"/>
  <c r="Q210"/>
  <c r="S210" s="1"/>
  <c r="Q209"/>
  <c r="S209" s="1"/>
  <c r="W208"/>
  <c r="Q208"/>
  <c r="S208" s="1"/>
  <c r="W207"/>
  <c r="S207"/>
  <c r="W206"/>
  <c r="Q206"/>
  <c r="I206"/>
  <c r="W205"/>
  <c r="Q205"/>
  <c r="S205" s="1"/>
  <c r="W204"/>
  <c r="S204"/>
  <c r="W203"/>
  <c r="Q203"/>
  <c r="S203" s="1"/>
  <c r="W202"/>
  <c r="Q202"/>
  <c r="S202" s="1"/>
  <c r="W201"/>
  <c r="S201"/>
  <c r="W200"/>
  <c r="S200"/>
  <c r="W199"/>
  <c r="S199"/>
  <c r="W198"/>
  <c r="S198"/>
  <c r="W197"/>
  <c r="S197"/>
  <c r="W196"/>
  <c r="S196"/>
  <c r="Q196"/>
  <c r="W194"/>
  <c r="S194"/>
  <c r="W193"/>
  <c r="Q193"/>
  <c r="I193"/>
  <c r="S193" s="1"/>
  <c r="W192"/>
  <c r="S192"/>
  <c r="S191"/>
  <c r="W190"/>
  <c r="S190"/>
  <c r="Q189"/>
  <c r="S189" s="1"/>
  <c r="W188"/>
  <c r="S188"/>
  <c r="S187"/>
  <c r="S186"/>
  <c r="W185"/>
  <c r="S185"/>
  <c r="W184"/>
  <c r="S184"/>
  <c r="Q184"/>
  <c r="W183"/>
  <c r="M183"/>
  <c r="S183" s="1"/>
  <c r="Q182"/>
  <c r="S182" s="1"/>
  <c r="W181"/>
  <c r="Q181"/>
  <c r="I181"/>
  <c r="W180"/>
  <c r="M180"/>
  <c r="S180" s="1"/>
  <c r="W179"/>
  <c r="Q179"/>
  <c r="I179"/>
  <c r="S178"/>
  <c r="W177"/>
  <c r="Q177"/>
  <c r="I177"/>
  <c r="W176"/>
  <c r="Q176"/>
  <c r="S176" s="1"/>
  <c r="W175"/>
  <c r="S175"/>
  <c r="S174"/>
  <c r="W173"/>
  <c r="S173"/>
  <c r="W172"/>
  <c r="Q172"/>
  <c r="S172" s="1"/>
  <c r="S171"/>
  <c r="W170"/>
  <c r="S170"/>
  <c r="W169"/>
  <c r="S169"/>
  <c r="W167"/>
  <c r="S167"/>
  <c r="S166"/>
  <c r="S165"/>
  <c r="W164"/>
  <c r="S164"/>
  <c r="Q164"/>
  <c r="S163"/>
  <c r="Q163"/>
  <c r="W162"/>
  <c r="S162"/>
  <c r="W161"/>
  <c r="Q161"/>
  <c r="S161" s="1"/>
  <c r="W160"/>
  <c r="S160"/>
  <c r="W159"/>
  <c r="S159"/>
  <c r="W158"/>
  <c r="Q158"/>
  <c r="S158" s="1"/>
  <c r="W157"/>
  <c r="Q157"/>
  <c r="S157" s="1"/>
  <c r="W156"/>
  <c r="S156"/>
  <c r="W155"/>
  <c r="Q155"/>
  <c r="S155" s="1"/>
  <c r="Q154"/>
  <c r="S154" s="1"/>
  <c r="W153"/>
  <c r="Q153"/>
  <c r="S153" s="1"/>
  <c r="S152"/>
  <c r="W151"/>
  <c r="Q151"/>
  <c r="S151" s="1"/>
  <c r="W150"/>
  <c r="S150"/>
  <c r="W149"/>
  <c r="Q149"/>
  <c r="S149" s="1"/>
  <c r="W148"/>
  <c r="S148"/>
  <c r="W147"/>
  <c r="Q147"/>
  <c r="S147" s="1"/>
  <c r="W146"/>
  <c r="Q146"/>
  <c r="S146" s="1"/>
  <c r="W145"/>
  <c r="S145"/>
  <c r="AM214" i="2"/>
  <c r="AC214"/>
  <c r="AM213"/>
  <c r="AC213"/>
  <c r="AM212"/>
  <c r="AC212"/>
  <c r="AM211"/>
  <c r="AC211"/>
  <c r="AM210"/>
  <c r="AC210"/>
  <c r="AM209"/>
  <c r="AC209"/>
  <c r="AM208"/>
  <c r="AC208"/>
  <c r="AM207"/>
  <c r="Q207"/>
  <c r="AC207" s="1"/>
  <c r="AM206"/>
  <c r="AC206"/>
  <c r="AM205"/>
  <c r="AC205"/>
  <c r="AG204"/>
  <c r="AM204" s="1"/>
  <c r="AC204"/>
  <c r="AM203"/>
  <c r="Q203"/>
  <c r="G203"/>
  <c r="E203"/>
  <c r="AM202"/>
  <c r="G202"/>
  <c r="AC202" s="1"/>
  <c r="AM201"/>
  <c r="AC201"/>
  <c r="AM200"/>
  <c r="I200"/>
  <c r="G200"/>
  <c r="AM199"/>
  <c r="AC199"/>
  <c r="AM198"/>
  <c r="W198"/>
  <c r="AC198" s="1"/>
  <c r="AM197"/>
  <c r="AC197"/>
  <c r="AM196"/>
  <c r="O196"/>
  <c r="I196"/>
  <c r="G196"/>
  <c r="E196"/>
  <c r="AM194"/>
  <c r="AC194"/>
  <c r="AM193"/>
  <c r="G193"/>
  <c r="E193"/>
  <c r="AM192"/>
  <c r="AC192"/>
  <c r="AM191"/>
  <c r="AC191"/>
  <c r="AM190"/>
  <c r="AC190"/>
  <c r="AM189"/>
  <c r="AC189"/>
  <c r="AM188"/>
  <c r="AC188"/>
  <c r="AM187"/>
  <c r="AC187"/>
  <c r="AM186"/>
  <c r="AC186"/>
  <c r="AM185"/>
  <c r="AC185"/>
  <c r="AM184"/>
  <c r="G184"/>
  <c r="AC184" s="1"/>
  <c r="AM183"/>
  <c r="AC183"/>
  <c r="AM182"/>
  <c r="AC182"/>
  <c r="AM181"/>
  <c r="AC181"/>
  <c r="AM180"/>
  <c r="AC180"/>
  <c r="AM179"/>
  <c r="AC179"/>
  <c r="AM178"/>
  <c r="AC178"/>
  <c r="AM177"/>
  <c r="AC177"/>
  <c r="AM176"/>
  <c r="AC176"/>
  <c r="AM175"/>
  <c r="AC175"/>
  <c r="AM174"/>
  <c r="AC174"/>
  <c r="AM173"/>
  <c r="AC173"/>
  <c r="AM172"/>
  <c r="AC172"/>
  <c r="AM171"/>
  <c r="G171"/>
  <c r="AC171" s="1"/>
  <c r="AM170"/>
  <c r="AC170"/>
  <c r="AM169"/>
  <c r="AC169"/>
  <c r="AM168"/>
  <c r="AC168"/>
  <c r="AM167"/>
  <c r="AC167"/>
  <c r="AM166"/>
  <c r="AC166"/>
  <c r="AM165"/>
  <c r="AC165"/>
  <c r="AM164"/>
  <c r="AC164"/>
  <c r="AM163"/>
  <c r="AC163"/>
  <c r="AM162"/>
  <c r="AC162"/>
  <c r="AM161"/>
  <c r="AC161"/>
  <c r="AM160"/>
  <c r="AC160"/>
  <c r="AM159"/>
  <c r="AC159"/>
  <c r="AM158"/>
  <c r="AG158"/>
  <c r="AC158"/>
  <c r="AM157"/>
  <c r="AC157"/>
  <c r="AM156"/>
  <c r="AC156"/>
  <c r="AM155"/>
  <c r="AC155"/>
  <c r="AM154"/>
  <c r="AC154"/>
  <c r="AM153"/>
  <c r="AC153"/>
  <c r="AM152"/>
  <c r="AC152"/>
  <c r="AM151"/>
  <c r="AC151"/>
  <c r="AM150"/>
  <c r="AC150"/>
  <c r="AG149"/>
  <c r="AM149" s="1"/>
  <c r="AC149"/>
  <c r="AM148"/>
  <c r="AC148"/>
  <c r="AM147"/>
  <c r="AC147"/>
  <c r="AM146"/>
  <c r="AC146"/>
  <c r="AM145"/>
  <c r="AC145"/>
  <c r="S214" i="1"/>
  <c r="S213"/>
  <c r="S212"/>
  <c r="S211"/>
  <c r="S210"/>
  <c r="Q209"/>
  <c r="S209" s="1"/>
  <c r="S208"/>
  <c r="Q208"/>
  <c r="S207"/>
  <c r="Q206"/>
  <c r="I206"/>
  <c r="W205"/>
  <c r="Q205"/>
  <c r="S205" s="1"/>
  <c r="W204"/>
  <c r="S204"/>
  <c r="Q203"/>
  <c r="S203" s="1"/>
  <c r="Q202"/>
  <c r="S202" s="1"/>
  <c r="S201"/>
  <c r="S200"/>
  <c r="S199"/>
  <c r="S198"/>
  <c r="S197"/>
  <c r="S196"/>
  <c r="Q196"/>
  <c r="W194"/>
  <c r="S194"/>
  <c r="Q193"/>
  <c r="I193"/>
  <c r="W192"/>
  <c r="S192"/>
  <c r="Q191"/>
  <c r="S191" s="1"/>
  <c r="S190"/>
  <c r="S189"/>
  <c r="S188"/>
  <c r="S187"/>
  <c r="S186"/>
  <c r="W185"/>
  <c r="S185"/>
  <c r="S184"/>
  <c r="S183"/>
  <c r="S182"/>
  <c r="Q181"/>
  <c r="S181" s="1"/>
  <c r="S180"/>
  <c r="S179"/>
  <c r="S178"/>
  <c r="Q177"/>
  <c r="I177"/>
  <c r="S177" s="1"/>
  <c r="S176"/>
  <c r="S175"/>
  <c r="S174"/>
  <c r="W173"/>
  <c r="Q173"/>
  <c r="S173" s="1"/>
  <c r="W172"/>
  <c r="Q172"/>
  <c r="S172" s="1"/>
  <c r="S171"/>
  <c r="S170"/>
  <c r="W169"/>
  <c r="S169"/>
  <c r="S168"/>
  <c r="S167"/>
  <c r="S166"/>
  <c r="S165"/>
  <c r="Q164"/>
  <c r="S164" s="1"/>
  <c r="S163"/>
  <c r="Q162"/>
  <c r="S162" s="1"/>
  <c r="W161"/>
  <c r="Q161"/>
  <c r="S161" s="1"/>
  <c r="S160"/>
  <c r="W159"/>
  <c r="S159"/>
  <c r="Q158"/>
  <c r="S158" s="1"/>
  <c r="Q157"/>
  <c r="S157" s="1"/>
  <c r="W156"/>
  <c r="S156"/>
  <c r="W155"/>
  <c r="Q155"/>
  <c r="S155" s="1"/>
  <c r="Q154"/>
  <c r="S154" s="1"/>
  <c r="S153"/>
  <c r="Q153"/>
  <c r="S152"/>
  <c r="W151"/>
  <c r="S151"/>
  <c r="S150"/>
  <c r="S149"/>
  <c r="Q149"/>
  <c r="S148"/>
  <c r="Q147"/>
  <c r="S147" s="1"/>
  <c r="Q146"/>
  <c r="S146" s="1"/>
  <c r="W145"/>
  <c r="S145"/>
  <c r="Q145"/>
  <c r="Q214" i="3"/>
  <c r="M214"/>
  <c r="S214" s="1"/>
  <c r="E214"/>
  <c r="S213"/>
  <c r="M213"/>
  <c r="S212"/>
  <c r="Q211"/>
  <c r="M211"/>
  <c r="E211"/>
  <c r="Q210"/>
  <c r="M210"/>
  <c r="Q209"/>
  <c r="M209"/>
  <c r="E209"/>
  <c r="Q208"/>
  <c r="M208"/>
  <c r="E208"/>
  <c r="Q207"/>
  <c r="M207"/>
  <c r="E207"/>
  <c r="Q206"/>
  <c r="M206"/>
  <c r="E206"/>
  <c r="Q205"/>
  <c r="O205"/>
  <c r="M205"/>
  <c r="E205"/>
  <c r="Q204"/>
  <c r="M204"/>
  <c r="E204"/>
  <c r="Q203"/>
  <c r="M203"/>
  <c r="E203"/>
  <c r="Q202"/>
  <c r="M202"/>
  <c r="E202"/>
  <c r="Q201"/>
  <c r="S201" s="1"/>
  <c r="M201"/>
  <c r="E201"/>
  <c r="Q200"/>
  <c r="M200"/>
  <c r="E200"/>
  <c r="Q199"/>
  <c r="S199" s="1"/>
  <c r="M199"/>
  <c r="Q198"/>
  <c r="M198"/>
  <c r="E198"/>
  <c r="Q197"/>
  <c r="M197"/>
  <c r="S197" s="1"/>
  <c r="E197"/>
  <c r="Q196"/>
  <c r="M196"/>
  <c r="Q194"/>
  <c r="S194" s="1"/>
  <c r="M194"/>
  <c r="Q193"/>
  <c r="M193"/>
  <c r="E193"/>
  <c r="Q192"/>
  <c r="M192"/>
  <c r="S192" s="1"/>
  <c r="Q191"/>
  <c r="M191"/>
  <c r="Q190"/>
  <c r="M190"/>
  <c r="S190" s="1"/>
  <c r="E190"/>
  <c r="S189"/>
  <c r="Q189"/>
  <c r="Q188"/>
  <c r="O188"/>
  <c r="E188"/>
  <c r="S187"/>
  <c r="Q186"/>
  <c r="S186" s="1"/>
  <c r="M186"/>
  <c r="E186"/>
  <c r="Q185"/>
  <c r="M185"/>
  <c r="Q184"/>
  <c r="M184"/>
  <c r="S184" s="1"/>
  <c r="E184"/>
  <c r="Q183"/>
  <c r="M183"/>
  <c r="Q182"/>
  <c r="S182" s="1"/>
  <c r="M182"/>
  <c r="Q181"/>
  <c r="M181"/>
  <c r="E181"/>
  <c r="Q180"/>
  <c r="M180"/>
  <c r="S180" s="1"/>
  <c r="E180"/>
  <c r="Q179"/>
  <c r="M179"/>
  <c r="E179"/>
  <c r="Q178"/>
  <c r="M178"/>
  <c r="S178" s="1"/>
  <c r="E178"/>
  <c r="Q177"/>
  <c r="M177"/>
  <c r="Q176"/>
  <c r="S176" s="1"/>
  <c r="M176"/>
  <c r="E176"/>
  <c r="Q175"/>
  <c r="M175"/>
  <c r="E175"/>
  <c r="S174"/>
  <c r="Q173"/>
  <c r="M173"/>
  <c r="S173" s="1"/>
  <c r="E173"/>
  <c r="Q172"/>
  <c r="M172"/>
  <c r="Q171"/>
  <c r="S171" s="1"/>
  <c r="Q170"/>
  <c r="M170"/>
  <c r="E170"/>
  <c r="Q169"/>
  <c r="S169" s="1"/>
  <c r="M169"/>
  <c r="E169"/>
  <c r="S168"/>
  <c r="Q167"/>
  <c r="M167"/>
  <c r="E167"/>
  <c r="Q166"/>
  <c r="M166"/>
  <c r="S166" s="1"/>
  <c r="E166"/>
  <c r="S165"/>
  <c r="Q164"/>
  <c r="M164"/>
  <c r="E164"/>
  <c r="Q163"/>
  <c r="S163" s="1"/>
  <c r="E163"/>
  <c r="Q162"/>
  <c r="M162"/>
  <c r="E162"/>
  <c r="Q161"/>
  <c r="M161"/>
  <c r="S161" s="1"/>
  <c r="Q160"/>
  <c r="M160"/>
  <c r="Q159"/>
  <c r="S159" s="1"/>
  <c r="E159"/>
  <c r="Q158"/>
  <c r="S158" s="1"/>
  <c r="E158"/>
  <c r="Q157"/>
  <c r="M157"/>
  <c r="Q156"/>
  <c r="M156"/>
  <c r="E156"/>
  <c r="Q155"/>
  <c r="M155"/>
  <c r="E155"/>
  <c r="Q154"/>
  <c r="S154" s="1"/>
  <c r="Q153"/>
  <c r="M153"/>
  <c r="E153"/>
  <c r="S152"/>
  <c r="Q151"/>
  <c r="M151"/>
  <c r="Q150"/>
  <c r="S150" s="1"/>
  <c r="Q149"/>
  <c r="M149"/>
  <c r="E149"/>
  <c r="Q148"/>
  <c r="S148" s="1"/>
  <c r="Q147"/>
  <c r="M147"/>
  <c r="Q146"/>
  <c r="M146"/>
  <c r="E146"/>
  <c r="Q145"/>
  <c r="S145" s="1"/>
  <c r="E145"/>
  <c r="M214" i="7"/>
  <c r="S214" s="1"/>
  <c r="U214" s="1"/>
  <c r="E214"/>
  <c r="M213"/>
  <c r="S213" s="1"/>
  <c r="S212"/>
  <c r="V212" s="1"/>
  <c r="M211"/>
  <c r="S211" s="1"/>
  <c r="U211" s="1"/>
  <c r="E211"/>
  <c r="M210"/>
  <c r="S210" s="1"/>
  <c r="M209"/>
  <c r="S209" s="1"/>
  <c r="M208"/>
  <c r="S208" s="1"/>
  <c r="M207"/>
  <c r="S207" s="1"/>
  <c r="M206"/>
  <c r="S206" s="1"/>
  <c r="E206"/>
  <c r="O205"/>
  <c r="M205"/>
  <c r="E205"/>
  <c r="M204"/>
  <c r="S204" s="1"/>
  <c r="U204" s="1"/>
  <c r="S203"/>
  <c r="U203" s="1"/>
  <c r="E203"/>
  <c r="S202"/>
  <c r="U202" s="1"/>
  <c r="M202"/>
  <c r="E202"/>
  <c r="S201"/>
  <c r="V201" s="1"/>
  <c r="E201"/>
  <c r="M200"/>
  <c r="S200" s="1"/>
  <c r="E200"/>
  <c r="M199"/>
  <c r="S199" s="1"/>
  <c r="U199" s="1"/>
  <c r="M198"/>
  <c r="S198" s="1"/>
  <c r="U198" s="1"/>
  <c r="M197"/>
  <c r="S197" s="1"/>
  <c r="U197" s="1"/>
  <c r="S196"/>
  <c r="U196" s="1"/>
  <c r="M194"/>
  <c r="S194" s="1"/>
  <c r="M193"/>
  <c r="S193" s="1"/>
  <c r="E193"/>
  <c r="M192"/>
  <c r="S192" s="1"/>
  <c r="U192" s="1"/>
  <c r="S191"/>
  <c r="U191" s="1"/>
  <c r="M190"/>
  <c r="S190" s="1"/>
  <c r="S189"/>
  <c r="V189" s="1"/>
  <c r="O188"/>
  <c r="S188" s="1"/>
  <c r="U188" s="1"/>
  <c r="S187"/>
  <c r="U187" s="1"/>
  <c r="M186"/>
  <c r="S186" s="1"/>
  <c r="E186"/>
  <c r="M185"/>
  <c r="S185" s="1"/>
  <c r="U185" s="1"/>
  <c r="M184"/>
  <c r="S184" s="1"/>
  <c r="U184" s="1"/>
  <c r="M183"/>
  <c r="S183" s="1"/>
  <c r="U183" s="1"/>
  <c r="M182"/>
  <c r="S182" s="1"/>
  <c r="U182" s="1"/>
  <c r="M181"/>
  <c r="S181" s="1"/>
  <c r="U181" s="1"/>
  <c r="M180"/>
  <c r="S180" s="1"/>
  <c r="U180" s="1"/>
  <c r="E180"/>
  <c r="M179"/>
  <c r="S179" s="1"/>
  <c r="E179"/>
  <c r="S178"/>
  <c r="U178" s="1"/>
  <c r="M178"/>
  <c r="E178"/>
  <c r="M177"/>
  <c r="S177" s="1"/>
  <c r="U176"/>
  <c r="S176"/>
  <c r="V176" s="1"/>
  <c r="S175"/>
  <c r="U175" s="1"/>
  <c r="M175"/>
  <c r="S174"/>
  <c r="U174" s="1"/>
  <c r="M173"/>
  <c r="S173" s="1"/>
  <c r="E173"/>
  <c r="M172"/>
  <c r="S172" s="1"/>
  <c r="U172" s="1"/>
  <c r="S171"/>
  <c r="U171" s="1"/>
  <c r="M170"/>
  <c r="S170" s="1"/>
  <c r="E170"/>
  <c r="M169"/>
  <c r="S169" s="1"/>
  <c r="U169" s="1"/>
  <c r="S168"/>
  <c r="U168" s="1"/>
  <c r="M167"/>
  <c r="S167" s="1"/>
  <c r="E167"/>
  <c r="M166"/>
  <c r="S166" s="1"/>
  <c r="U166" s="1"/>
  <c r="E166"/>
  <c r="S165"/>
  <c r="V165" s="1"/>
  <c r="S164"/>
  <c r="U164" s="1"/>
  <c r="E164"/>
  <c r="S163"/>
  <c r="U163" s="1"/>
  <c r="E163"/>
  <c r="M162"/>
  <c r="S162" s="1"/>
  <c r="U162" s="1"/>
  <c r="E162"/>
  <c r="M161"/>
  <c r="S161" s="1"/>
  <c r="M160"/>
  <c r="S160" s="1"/>
  <c r="S159"/>
  <c r="V159" s="1"/>
  <c r="E159"/>
  <c r="S158"/>
  <c r="V158" s="1"/>
  <c r="E158"/>
  <c r="M157"/>
  <c r="S157" s="1"/>
  <c r="M156"/>
  <c r="S156" s="1"/>
  <c r="E156"/>
  <c r="M155"/>
  <c r="S155" s="1"/>
  <c r="U155" s="1"/>
  <c r="S154"/>
  <c r="U154" s="1"/>
  <c r="S153"/>
  <c r="V153" s="1"/>
  <c r="S152"/>
  <c r="U152" s="1"/>
  <c r="M151"/>
  <c r="S151" s="1"/>
  <c r="S150"/>
  <c r="V150" s="1"/>
  <c r="M149"/>
  <c r="S149" s="1"/>
  <c r="U149" s="1"/>
  <c r="E149"/>
  <c r="S148"/>
  <c r="V148" s="1"/>
  <c r="M147"/>
  <c r="S147" s="1"/>
  <c r="U147" s="1"/>
  <c r="M146"/>
  <c r="S146" s="1"/>
  <c r="U146" s="1"/>
  <c r="E146"/>
  <c r="S145"/>
  <c r="V145" s="1"/>
  <c r="AA214" i="8"/>
  <c r="W214"/>
  <c r="AA213"/>
  <c r="W213"/>
  <c r="AA212"/>
  <c r="W212"/>
  <c r="AA211"/>
  <c r="W211"/>
  <c r="AA210"/>
  <c r="W210"/>
  <c r="AA209"/>
  <c r="W209"/>
  <c r="AA208"/>
  <c r="W208"/>
  <c r="AA207"/>
  <c r="W207"/>
  <c r="AA206"/>
  <c r="W206"/>
  <c r="AA205"/>
  <c r="W205"/>
  <c r="AA204"/>
  <c r="W204"/>
  <c r="AA203"/>
  <c r="S203"/>
  <c r="Q203"/>
  <c r="E203"/>
  <c r="AA202"/>
  <c r="Y202"/>
  <c r="E202"/>
  <c r="W202" s="1"/>
  <c r="AA201"/>
  <c r="W201"/>
  <c r="AA200"/>
  <c r="Q200"/>
  <c r="K200"/>
  <c r="E200"/>
  <c r="AA199"/>
  <c r="W199"/>
  <c r="AA198"/>
  <c r="W198"/>
  <c r="AA197"/>
  <c r="W197"/>
  <c r="AA196"/>
  <c r="Q196"/>
  <c r="I196"/>
  <c r="E196"/>
  <c r="AA194"/>
  <c r="W194"/>
  <c r="AA193"/>
  <c r="Q193"/>
  <c r="E193"/>
  <c r="AA192"/>
  <c r="W192"/>
  <c r="AA191"/>
  <c r="W191"/>
  <c r="AA190"/>
  <c r="W190"/>
  <c r="AA189"/>
  <c r="W189"/>
  <c r="AA188"/>
  <c r="W188"/>
  <c r="AA187"/>
  <c r="W187"/>
  <c r="AA186"/>
  <c r="W186"/>
  <c r="AA185"/>
  <c r="W185"/>
  <c r="AA184"/>
  <c r="E184"/>
  <c r="W184" s="1"/>
  <c r="AA183"/>
  <c r="W183"/>
  <c r="AA182"/>
  <c r="W182"/>
  <c r="AA181"/>
  <c r="E181"/>
  <c r="W181" s="1"/>
  <c r="AA180"/>
  <c r="W180"/>
  <c r="AA179"/>
  <c r="W179"/>
  <c r="AA178"/>
  <c r="W178"/>
  <c r="AA177"/>
  <c r="E177"/>
  <c r="W177" s="1"/>
  <c r="AA176"/>
  <c r="W176"/>
  <c r="AA175"/>
  <c r="W175"/>
  <c r="AA174"/>
  <c r="W174"/>
  <c r="AA173"/>
  <c r="W173"/>
  <c r="AA172"/>
  <c r="W172"/>
  <c r="AA171"/>
  <c r="E171"/>
  <c r="W171" s="1"/>
  <c r="AA170"/>
  <c r="W170"/>
  <c r="AA169"/>
  <c r="W169"/>
  <c r="AA168"/>
  <c r="W168"/>
  <c r="AA167"/>
  <c r="W167"/>
  <c r="AA166"/>
  <c r="W166"/>
  <c r="AA165"/>
  <c r="W165"/>
  <c r="AA164"/>
  <c r="W164"/>
  <c r="AA163"/>
  <c r="W163"/>
  <c r="AA162"/>
  <c r="W162"/>
  <c r="AA161"/>
  <c r="W161"/>
  <c r="AA160"/>
  <c r="W160"/>
  <c r="AA159"/>
  <c r="W159"/>
  <c r="AA158"/>
  <c r="E158"/>
  <c r="W158" s="1"/>
  <c r="AA157"/>
  <c r="W157"/>
  <c r="AA156"/>
  <c r="W156"/>
  <c r="AA155"/>
  <c r="W155"/>
  <c r="AA154"/>
  <c r="W154"/>
  <c r="AA153"/>
  <c r="W153"/>
  <c r="AA152"/>
  <c r="W152"/>
  <c r="AA151"/>
  <c r="W151"/>
  <c r="AA150"/>
  <c r="W150"/>
  <c r="AA149"/>
  <c r="W149"/>
  <c r="AA148"/>
  <c r="W148"/>
  <c r="AA147"/>
  <c r="W147"/>
  <c r="AA146"/>
  <c r="W146"/>
  <c r="AA145"/>
  <c r="W145"/>
  <c r="K214" i="9"/>
  <c r="AA214" s="1"/>
  <c r="O213"/>
  <c r="M213"/>
  <c r="K213"/>
  <c r="AC212"/>
  <c r="AA212"/>
  <c r="K211"/>
  <c r="AA211" s="1"/>
  <c r="U210"/>
  <c r="M210"/>
  <c r="K210"/>
  <c r="M209"/>
  <c r="K209"/>
  <c r="K208"/>
  <c r="AA208" s="1"/>
  <c r="AC207"/>
  <c r="AA207"/>
  <c r="Q206"/>
  <c r="AC206" s="1"/>
  <c r="AC205"/>
  <c r="AA205"/>
  <c r="O204"/>
  <c r="AA204" s="1"/>
  <c r="K203"/>
  <c r="AC203" s="1"/>
  <c r="M202"/>
  <c r="K202"/>
  <c r="AC201"/>
  <c r="AA201"/>
  <c r="K200"/>
  <c r="AA200" s="1"/>
  <c r="M199"/>
  <c r="K199"/>
  <c r="M198"/>
  <c r="K198"/>
  <c r="AC197"/>
  <c r="AA197"/>
  <c r="K196"/>
  <c r="AC196" s="1"/>
  <c r="K194"/>
  <c r="AA194" s="1"/>
  <c r="O193"/>
  <c r="M193"/>
  <c r="K193"/>
  <c r="K192"/>
  <c r="AA192" s="1"/>
  <c r="AC191"/>
  <c r="AA191"/>
  <c r="M190"/>
  <c r="K190"/>
  <c r="K189"/>
  <c r="AC189" s="1"/>
  <c r="M188"/>
  <c r="K188"/>
  <c r="AC187"/>
  <c r="AA187"/>
  <c r="K186"/>
  <c r="AA186" s="1"/>
  <c r="K185"/>
  <c r="AC185" s="1"/>
  <c r="M184"/>
  <c r="AA184" s="1"/>
  <c r="AC183"/>
  <c r="AA183"/>
  <c r="K182"/>
  <c r="AC182" s="1"/>
  <c r="S181"/>
  <c r="O181"/>
  <c r="K181"/>
  <c r="O180"/>
  <c r="AC180" s="1"/>
  <c r="U179"/>
  <c r="O179"/>
  <c r="K179"/>
  <c r="AC178"/>
  <c r="AA178"/>
  <c r="O177"/>
  <c r="K177"/>
  <c r="K176"/>
  <c r="AC176" s="1"/>
  <c r="K175"/>
  <c r="AA175" s="1"/>
  <c r="AC174"/>
  <c r="AA174"/>
  <c r="AC173"/>
  <c r="AA173"/>
  <c r="AC172"/>
  <c r="AA172"/>
  <c r="M171"/>
  <c r="AC171" s="1"/>
  <c r="AC170"/>
  <c r="AA170"/>
  <c r="S169"/>
  <c r="M169"/>
  <c r="K169"/>
  <c r="AA169" s="1"/>
  <c r="AC168"/>
  <c r="AA168"/>
  <c r="AC167"/>
  <c r="AA167"/>
  <c r="K166"/>
  <c r="AC166" s="1"/>
  <c r="AC165"/>
  <c r="AA165"/>
  <c r="K164"/>
  <c r="AA164" s="1"/>
  <c r="K163"/>
  <c r="AC163" s="1"/>
  <c r="AC162"/>
  <c r="AA162"/>
  <c r="K161"/>
  <c r="AA161" s="1"/>
  <c r="K160"/>
  <c r="AC160" s="1"/>
  <c r="M159"/>
  <c r="K159"/>
  <c r="AA159" s="1"/>
  <c r="M158"/>
  <c r="K158"/>
  <c r="AA158" s="1"/>
  <c r="M157"/>
  <c r="K157"/>
  <c r="AA157" s="1"/>
  <c r="K156"/>
  <c r="AA156" s="1"/>
  <c r="M155"/>
  <c r="K155"/>
  <c r="M154"/>
  <c r="K154"/>
  <c r="AA153"/>
  <c r="O153"/>
  <c r="AC153" s="1"/>
  <c r="AC152"/>
  <c r="AA152"/>
  <c r="AC151"/>
  <c r="AA151"/>
  <c r="M150"/>
  <c r="AC150" s="1"/>
  <c r="K150"/>
  <c r="K149"/>
  <c r="AA149" s="1"/>
  <c r="U148"/>
  <c r="S148"/>
  <c r="AA148" s="1"/>
  <c r="K148"/>
  <c r="U147"/>
  <c r="AC147" s="1"/>
  <c r="K147"/>
  <c r="AC146"/>
  <c r="AA146"/>
  <c r="O145"/>
  <c r="AA145" s="1"/>
  <c r="U214" i="10"/>
  <c r="Y214" s="1"/>
  <c r="AB214" s="1"/>
  <c r="M214"/>
  <c r="G214"/>
  <c r="E214" s="1"/>
  <c r="U213"/>
  <c r="Y213" s="1"/>
  <c r="AB213" s="1"/>
  <c r="M213"/>
  <c r="G213"/>
  <c r="E213" s="1"/>
  <c r="Y212"/>
  <c r="AB212" s="1"/>
  <c r="M212"/>
  <c r="E212"/>
  <c r="U211"/>
  <c r="Y211" s="1"/>
  <c r="AB211" s="1"/>
  <c r="M211"/>
  <c r="E211"/>
  <c r="U210"/>
  <c r="Y210" s="1"/>
  <c r="AB210" s="1"/>
  <c r="M210"/>
  <c r="E210"/>
  <c r="U209"/>
  <c r="Y209" s="1"/>
  <c r="AB209" s="1"/>
  <c r="M209"/>
  <c r="E209"/>
  <c r="U208"/>
  <c r="Y208" s="1"/>
  <c r="AB208" s="1"/>
  <c r="M208"/>
  <c r="G208"/>
  <c r="E208" s="1"/>
  <c r="U207"/>
  <c r="Y207" s="1"/>
  <c r="AB207" s="1"/>
  <c r="M207"/>
  <c r="G207"/>
  <c r="E207" s="1"/>
  <c r="U206"/>
  <c r="Y206" s="1"/>
  <c r="AB206" s="1"/>
  <c r="M206"/>
  <c r="G206"/>
  <c r="E206" s="1"/>
  <c r="U205"/>
  <c r="Y205" s="1"/>
  <c r="AB205" s="1"/>
  <c r="M205"/>
  <c r="G205"/>
  <c r="E205" s="1"/>
  <c r="U204"/>
  <c r="Y204" s="1"/>
  <c r="AB204" s="1"/>
  <c r="M204"/>
  <c r="G204"/>
  <c r="E204" s="1"/>
  <c r="U203"/>
  <c r="Y203" s="1"/>
  <c r="AB203" s="1"/>
  <c r="M203"/>
  <c r="G203"/>
  <c r="E203" s="1"/>
  <c r="U202"/>
  <c r="Y202" s="1"/>
  <c r="AB202" s="1"/>
  <c r="M202"/>
  <c r="G202"/>
  <c r="E202" s="1"/>
  <c r="U201"/>
  <c r="Y201" s="1"/>
  <c r="AB201" s="1"/>
  <c r="M201"/>
  <c r="G201"/>
  <c r="E201" s="1"/>
  <c r="U200"/>
  <c r="Y200" s="1"/>
  <c r="AB200" s="1"/>
  <c r="M200"/>
  <c r="G200"/>
  <c r="E200" s="1"/>
  <c r="U199"/>
  <c r="Y199" s="1"/>
  <c r="AB199" s="1"/>
  <c r="M199"/>
  <c r="E199"/>
  <c r="U198"/>
  <c r="Y198" s="1"/>
  <c r="AB198" s="1"/>
  <c r="M198"/>
  <c r="G198"/>
  <c r="E198" s="1"/>
  <c r="U197"/>
  <c r="Y197" s="1"/>
  <c r="AB197" s="1"/>
  <c r="M197"/>
  <c r="G197"/>
  <c r="E197" s="1"/>
  <c r="U196"/>
  <c r="Y196" s="1"/>
  <c r="AB196" s="1"/>
  <c r="M196"/>
  <c r="G196"/>
  <c r="E196" s="1"/>
  <c r="U194"/>
  <c r="Y194" s="1"/>
  <c r="AB194" s="1"/>
  <c r="M194"/>
  <c r="G194"/>
  <c r="E194" s="1"/>
  <c r="U193"/>
  <c r="Y193" s="1"/>
  <c r="AB193" s="1"/>
  <c r="M193"/>
  <c r="G193"/>
  <c r="E193" s="1"/>
  <c r="U192"/>
  <c r="Y192" s="1"/>
  <c r="AB192" s="1"/>
  <c r="M192"/>
  <c r="G192"/>
  <c r="E192" s="1"/>
  <c r="U191"/>
  <c r="Y191" s="1"/>
  <c r="AB191" s="1"/>
  <c r="M191"/>
  <c r="G191"/>
  <c r="E191" s="1"/>
  <c r="U190"/>
  <c r="Y190" s="1"/>
  <c r="AB190" s="1"/>
  <c r="M190"/>
  <c r="G190"/>
  <c r="E190" s="1"/>
  <c r="U189"/>
  <c r="Y189" s="1"/>
  <c r="AB189" s="1"/>
  <c r="M189"/>
  <c r="G189"/>
  <c r="E189" s="1"/>
  <c r="U188"/>
  <c r="Y188" s="1"/>
  <c r="AB188" s="1"/>
  <c r="M188"/>
  <c r="G188"/>
  <c r="E188" s="1"/>
  <c r="Y187"/>
  <c r="AB187" s="1"/>
  <c r="M187"/>
  <c r="E187"/>
  <c r="U186"/>
  <c r="Y186" s="1"/>
  <c r="AB186" s="1"/>
  <c r="M186"/>
  <c r="G186"/>
  <c r="E186" s="1"/>
  <c r="U185"/>
  <c r="Y185" s="1"/>
  <c r="AB185" s="1"/>
  <c r="M185"/>
  <c r="G185"/>
  <c r="E185" s="1"/>
  <c r="U184"/>
  <c r="Y184" s="1"/>
  <c r="AB184" s="1"/>
  <c r="M184"/>
  <c r="G184"/>
  <c r="E184" s="1"/>
  <c r="U183"/>
  <c r="Y183" s="1"/>
  <c r="AB183" s="1"/>
  <c r="O183"/>
  <c r="M183" s="1"/>
  <c r="G183"/>
  <c r="E183" s="1"/>
  <c r="U182"/>
  <c r="Y182" s="1"/>
  <c r="AB182" s="1"/>
  <c r="M182"/>
  <c r="G182"/>
  <c r="E182" s="1"/>
  <c r="U181"/>
  <c r="Y181" s="1"/>
  <c r="AB181" s="1"/>
  <c r="M181"/>
  <c r="G181"/>
  <c r="E181" s="1"/>
  <c r="U180"/>
  <c r="Y180" s="1"/>
  <c r="AB180" s="1"/>
  <c r="M180"/>
  <c r="G180"/>
  <c r="E180" s="1"/>
  <c r="U179"/>
  <c r="Y179" s="1"/>
  <c r="AB179" s="1"/>
  <c r="M179"/>
  <c r="G179"/>
  <c r="E179" s="1"/>
  <c r="U178"/>
  <c r="Y178" s="1"/>
  <c r="AB178" s="1"/>
  <c r="M178"/>
  <c r="G178"/>
  <c r="E178" s="1"/>
  <c r="U177"/>
  <c r="Y177" s="1"/>
  <c r="AB177" s="1"/>
  <c r="M177"/>
  <c r="G177"/>
  <c r="E177" s="1"/>
  <c r="U176"/>
  <c r="Y176" s="1"/>
  <c r="AB176" s="1"/>
  <c r="M176"/>
  <c r="E176"/>
  <c r="U175"/>
  <c r="Y175" s="1"/>
  <c r="AB175" s="1"/>
  <c r="M175"/>
  <c r="G175"/>
  <c r="E175" s="1"/>
  <c r="Y174"/>
  <c r="AB174" s="1"/>
  <c r="M174"/>
  <c r="E174"/>
  <c r="U173"/>
  <c r="Y173" s="1"/>
  <c r="AB173" s="1"/>
  <c r="M173"/>
  <c r="G173"/>
  <c r="E173" s="1"/>
  <c r="U172"/>
  <c r="Y172" s="1"/>
  <c r="AB172" s="1"/>
  <c r="M172"/>
  <c r="G172"/>
  <c r="E172" s="1"/>
  <c r="U171"/>
  <c r="Y171" s="1"/>
  <c r="AB171" s="1"/>
  <c r="M171"/>
  <c r="G171"/>
  <c r="E171" s="1"/>
  <c r="U170"/>
  <c r="Y170" s="1"/>
  <c r="AB170" s="1"/>
  <c r="M170"/>
  <c r="G170"/>
  <c r="E170" s="1"/>
  <c r="U169"/>
  <c r="Y169" s="1"/>
  <c r="AB169" s="1"/>
  <c r="M169"/>
  <c r="E169"/>
  <c r="Y168"/>
  <c r="AB168" s="1"/>
  <c r="M168"/>
  <c r="E168"/>
  <c r="U167"/>
  <c r="Y167" s="1"/>
  <c r="AB167" s="1"/>
  <c r="M167"/>
  <c r="G167"/>
  <c r="E167" s="1"/>
  <c r="U166"/>
  <c r="Y166" s="1"/>
  <c r="AB166" s="1"/>
  <c r="M166"/>
  <c r="G166"/>
  <c r="E166" s="1"/>
  <c r="Y165"/>
  <c r="AB165" s="1"/>
  <c r="M165"/>
  <c r="E165"/>
  <c r="U164"/>
  <c r="Y164" s="1"/>
  <c r="AB164" s="1"/>
  <c r="M164"/>
  <c r="G164"/>
  <c r="E164" s="1"/>
  <c r="U163"/>
  <c r="Y163" s="1"/>
  <c r="AB163" s="1"/>
  <c r="M163"/>
  <c r="G163"/>
  <c r="E163" s="1"/>
  <c r="U162"/>
  <c r="Y162" s="1"/>
  <c r="AB162" s="1"/>
  <c r="M162"/>
  <c r="G162"/>
  <c r="E162" s="1"/>
  <c r="U161"/>
  <c r="Y161" s="1"/>
  <c r="AB161" s="1"/>
  <c r="M161"/>
  <c r="G161"/>
  <c r="E161" s="1"/>
  <c r="U160"/>
  <c r="Y160" s="1"/>
  <c r="AB160" s="1"/>
  <c r="M160"/>
  <c r="G160"/>
  <c r="E160" s="1"/>
  <c r="U159"/>
  <c r="Y159" s="1"/>
  <c r="AB159" s="1"/>
  <c r="M159"/>
  <c r="G159"/>
  <c r="E159" s="1"/>
  <c r="U158"/>
  <c r="Y158" s="1"/>
  <c r="AB158" s="1"/>
  <c r="M158"/>
  <c r="E158"/>
  <c r="U157"/>
  <c r="Y157" s="1"/>
  <c r="AB157" s="1"/>
  <c r="M157"/>
  <c r="E157"/>
  <c r="U156"/>
  <c r="Y156" s="1"/>
  <c r="AB156" s="1"/>
  <c r="M156"/>
  <c r="G156"/>
  <c r="E156" s="1"/>
  <c r="U155"/>
  <c r="Y155" s="1"/>
  <c r="AB155" s="1"/>
  <c r="M155"/>
  <c r="G155"/>
  <c r="E155" s="1"/>
  <c r="U154"/>
  <c r="Y154" s="1"/>
  <c r="AB154" s="1"/>
  <c r="M154"/>
  <c r="G154"/>
  <c r="E154" s="1"/>
  <c r="U153"/>
  <c r="Y153" s="1"/>
  <c r="AB153" s="1"/>
  <c r="M153"/>
  <c r="G153"/>
  <c r="E153" s="1"/>
  <c r="Y152"/>
  <c r="AB152" s="1"/>
  <c r="M152"/>
  <c r="E152"/>
  <c r="U151"/>
  <c r="Y151" s="1"/>
  <c r="AB151" s="1"/>
  <c r="M151"/>
  <c r="G151"/>
  <c r="E151" s="1"/>
  <c r="U150"/>
  <c r="Y150" s="1"/>
  <c r="AB150" s="1"/>
  <c r="M150"/>
  <c r="G150"/>
  <c r="E150" s="1"/>
  <c r="U149"/>
  <c r="Y149" s="1"/>
  <c r="AB149" s="1"/>
  <c r="M149"/>
  <c r="G149"/>
  <c r="E149" s="1"/>
  <c r="U148"/>
  <c r="Y148" s="1"/>
  <c r="AB148" s="1"/>
  <c r="M148"/>
  <c r="G148"/>
  <c r="E148" s="1"/>
  <c r="U147"/>
  <c r="Y147" s="1"/>
  <c r="AB147" s="1"/>
  <c r="M147"/>
  <c r="E147"/>
  <c r="U146"/>
  <c r="Y146" s="1"/>
  <c r="AB146" s="1"/>
  <c r="M146"/>
  <c r="G146"/>
  <c r="E146" s="1"/>
  <c r="U145"/>
  <c r="Y145" s="1"/>
  <c r="AB145" s="1"/>
  <c r="M145"/>
  <c r="G145"/>
  <c r="E145" s="1"/>
  <c r="S180" i="12" l="1"/>
  <c r="W180" s="1"/>
  <c r="W183"/>
  <c r="W199"/>
  <c r="S200"/>
  <c r="W200" s="1"/>
  <c r="AH200" i="5"/>
  <c r="AH193"/>
  <c r="S206" i="4"/>
  <c r="AC196" i="2"/>
  <c r="S193" i="1"/>
  <c r="S203" i="3"/>
  <c r="S205"/>
  <c r="S207"/>
  <c r="S209"/>
  <c r="S147"/>
  <c r="S149"/>
  <c r="S151"/>
  <c r="S156"/>
  <c r="U148" i="7"/>
  <c r="U189"/>
  <c r="U165"/>
  <c r="U158"/>
  <c r="W193" i="8"/>
  <c r="W196"/>
  <c r="W203"/>
  <c r="AA171" i="9"/>
  <c r="AA185"/>
  <c r="AA188"/>
  <c r="AA206"/>
  <c r="AA209"/>
  <c r="AC210"/>
  <c r="AA163"/>
  <c r="AC177"/>
  <c r="AA179"/>
  <c r="AA180"/>
  <c r="AC190"/>
  <c r="AA193"/>
  <c r="AA196"/>
  <c r="AA202"/>
  <c r="AA213"/>
  <c r="AY162" i="15"/>
  <c r="AY158"/>
  <c r="AY190" i="13"/>
  <c r="S170" i="12"/>
  <c r="W170" s="1"/>
  <c r="S206"/>
  <c r="W206" s="1"/>
  <c r="AY150" i="15"/>
  <c r="AY151"/>
  <c r="AY154"/>
  <c r="AY155"/>
  <c r="AY156"/>
  <c r="AY159"/>
  <c r="AY160"/>
  <c r="AY204" i="14"/>
  <c r="AZ148" i="6"/>
  <c r="AZ149"/>
  <c r="AZ150"/>
  <c r="AZ151"/>
  <c r="AZ154"/>
  <c r="BN154"/>
  <c r="AZ155"/>
  <c r="BN155"/>
  <c r="AZ156"/>
  <c r="AZ158"/>
  <c r="AZ159"/>
  <c r="BN159"/>
  <c r="AZ161"/>
  <c r="BN163"/>
  <c r="AZ164"/>
  <c r="AZ167"/>
  <c r="AZ168"/>
  <c r="BN170"/>
  <c r="AZ174"/>
  <c r="BN178"/>
  <c r="AZ181"/>
  <c r="AZ183"/>
  <c r="AZ184"/>
  <c r="AZ213"/>
  <c r="AZ191"/>
  <c r="AZ193"/>
  <c r="AZ195"/>
  <c r="AZ196"/>
  <c r="AZ197"/>
  <c r="AZ201"/>
  <c r="AZ203"/>
  <c r="AT203"/>
  <c r="AZ210"/>
  <c r="AT210"/>
  <c r="AH181" i="5"/>
  <c r="AH203"/>
  <c r="S177" i="4"/>
  <c r="S179"/>
  <c r="S181"/>
  <c r="AC193" i="2"/>
  <c r="AC200"/>
  <c r="AC203"/>
  <c r="S206" i="1"/>
  <c r="S211" i="3"/>
  <c r="S146"/>
  <c r="S153"/>
  <c r="S155"/>
  <c r="S157"/>
  <c r="S160"/>
  <c r="S162"/>
  <c r="S164"/>
  <c r="S167"/>
  <c r="S170"/>
  <c r="S172"/>
  <c r="S175"/>
  <c r="S177"/>
  <c r="S179"/>
  <c r="S181"/>
  <c r="S183"/>
  <c r="S185"/>
  <c r="S188"/>
  <c r="S191"/>
  <c r="S193"/>
  <c r="S196"/>
  <c r="S198"/>
  <c r="S200"/>
  <c r="S202"/>
  <c r="S204"/>
  <c r="S206"/>
  <c r="S208"/>
  <c r="S210"/>
  <c r="S205" i="7"/>
  <c r="U205" s="1"/>
  <c r="U212"/>
  <c r="U145"/>
  <c r="U150"/>
  <c r="U153"/>
  <c r="U159"/>
  <c r="U201"/>
  <c r="W200" i="8"/>
  <c r="AA147" i="9"/>
  <c r="AC148"/>
  <c r="AA150"/>
  <c r="AC154"/>
  <c r="AC155"/>
  <c r="AC157"/>
  <c r="AC158"/>
  <c r="AC159"/>
  <c r="AA160"/>
  <c r="AA166"/>
  <c r="AA176"/>
  <c r="AA181"/>
  <c r="AA182"/>
  <c r="AC188"/>
  <c r="AA189"/>
  <c r="AC193"/>
  <c r="AC198"/>
  <c r="AC199"/>
  <c r="AC202"/>
  <c r="AA203"/>
  <c r="AC209"/>
  <c r="AA210"/>
  <c r="AC213"/>
  <c r="I149" i="14"/>
  <c r="AZ153" i="6"/>
  <c r="V151" i="7"/>
  <c r="U151"/>
  <c r="V156"/>
  <c r="U156"/>
  <c r="V160"/>
  <c r="U160"/>
  <c r="V170"/>
  <c r="U170"/>
  <c r="V179"/>
  <c r="U179"/>
  <c r="V193"/>
  <c r="U193"/>
  <c r="V200"/>
  <c r="U200"/>
  <c r="V205"/>
  <c r="V207"/>
  <c r="U207"/>
  <c r="V209"/>
  <c r="U209"/>
  <c r="V157"/>
  <c r="U157"/>
  <c r="V161"/>
  <c r="U161"/>
  <c r="V167"/>
  <c r="U167"/>
  <c r="V173"/>
  <c r="U173"/>
  <c r="V177"/>
  <c r="U177"/>
  <c r="V186"/>
  <c r="U186"/>
  <c r="V190"/>
  <c r="U190"/>
  <c r="V194"/>
  <c r="U194"/>
  <c r="V206"/>
  <c r="U206"/>
  <c r="V208"/>
  <c r="U208"/>
  <c r="V210"/>
  <c r="U210"/>
  <c r="V213"/>
  <c r="U213"/>
  <c r="V147"/>
  <c r="V149"/>
  <c r="V152"/>
  <c r="V162"/>
  <c r="V164"/>
  <c r="V168"/>
  <c r="V169"/>
  <c r="V174"/>
  <c r="V180"/>
  <c r="V181"/>
  <c r="V182"/>
  <c r="V183"/>
  <c r="V184"/>
  <c r="V185"/>
  <c r="V187"/>
  <c r="V191"/>
  <c r="V192"/>
  <c r="V197"/>
  <c r="V198"/>
  <c r="V199"/>
  <c r="V202"/>
  <c r="V203"/>
  <c r="V204"/>
  <c r="V211"/>
  <c r="V146"/>
  <c r="V154"/>
  <c r="V155"/>
  <c r="V163"/>
  <c r="V166"/>
  <c r="V171"/>
  <c r="V172"/>
  <c r="V175"/>
  <c r="V178"/>
  <c r="V188"/>
  <c r="V196"/>
  <c r="V214"/>
  <c r="AC145" i="9"/>
  <c r="AC149"/>
  <c r="AA154"/>
  <c r="AA155"/>
  <c r="AC156"/>
  <c r="AC161"/>
  <c r="AC164"/>
  <c r="AC169"/>
  <c r="AC175"/>
  <c r="AA177"/>
  <c r="AC179"/>
  <c r="AC181"/>
  <c r="AC184"/>
  <c r="AC186"/>
  <c r="AA190"/>
  <c r="AC192"/>
  <c r="AC194"/>
  <c r="AA198"/>
  <c r="AA199"/>
  <c r="AC200"/>
  <c r="AC204"/>
  <c r="AC208"/>
  <c r="AC211"/>
  <c r="AC214"/>
  <c r="BL117" i="6" l="1"/>
  <c r="BH117"/>
  <c r="BG113" i="14"/>
  <c r="AE113"/>
  <c r="AF117" i="6"/>
  <c r="S117"/>
  <c r="G115" i="5"/>
  <c r="W115" i="4"/>
  <c r="Q115"/>
  <c r="G115" i="2"/>
  <c r="W115" i="1"/>
  <c r="Q115"/>
  <c r="Q115" i="3"/>
  <c r="M115"/>
  <c r="E115"/>
  <c r="E115" i="7"/>
  <c r="E115" i="8"/>
  <c r="K115" i="9"/>
  <c r="G115" i="10"/>
  <c r="BF144" i="6"/>
  <c r="AE140" i="14"/>
  <c r="AF144" i="6"/>
  <c r="Q144" i="4"/>
  <c r="Q144" i="1"/>
  <c r="Q144" i="3"/>
  <c r="S144" s="1"/>
  <c r="O144" i="9"/>
  <c r="G144" i="10"/>
  <c r="M142" i="12"/>
  <c r="I142" i="5"/>
  <c r="AL142"/>
  <c r="AD142"/>
  <c r="G142"/>
  <c r="W142" i="4"/>
  <c r="I142" i="2"/>
  <c r="G142"/>
  <c r="Q142" i="3"/>
  <c r="M142"/>
  <c r="M142" i="7"/>
  <c r="K142" i="8"/>
  <c r="E142"/>
  <c r="M142" i="9"/>
  <c r="K142"/>
  <c r="U142" i="10"/>
  <c r="G142"/>
  <c r="O141" i="12"/>
  <c r="AE137" i="14"/>
  <c r="AF141" i="6"/>
  <c r="AH141" i="5"/>
  <c r="Q141" i="3"/>
  <c r="M141"/>
  <c r="E141"/>
  <c r="M141" i="7"/>
  <c r="M141" i="9"/>
  <c r="K141"/>
  <c r="G141" i="10"/>
  <c r="Q140" i="12"/>
  <c r="W140" i="4"/>
  <c r="Q140"/>
  <c r="W140" i="1"/>
  <c r="Q140"/>
  <c r="Q140" i="3"/>
  <c r="M140"/>
  <c r="M140" i="7"/>
  <c r="K140" i="9"/>
  <c r="G140" i="10"/>
  <c r="AL139" i="5"/>
  <c r="G139"/>
  <c r="W139" i="4"/>
  <c r="Q139"/>
  <c r="G139" i="2"/>
  <c r="Q139" i="1"/>
  <c r="M139" i="3"/>
  <c r="Q139"/>
  <c r="M139" i="7"/>
  <c r="E139" i="8"/>
  <c r="O139" i="9"/>
  <c r="K139"/>
  <c r="G139" i="10"/>
  <c r="BF138" i="6"/>
  <c r="BE130" i="15"/>
  <c r="AJ138" i="6"/>
  <c r="Q138" i="4"/>
  <c r="Q138" i="1"/>
  <c r="Q138" i="3"/>
  <c r="M138"/>
  <c r="E138"/>
  <c r="M138" i="7"/>
  <c r="M138" i="9"/>
  <c r="K138"/>
  <c r="G138" i="10"/>
  <c r="I137" i="12"/>
  <c r="W137" i="4"/>
  <c r="Q137" i="3"/>
  <c r="M137"/>
  <c r="E137"/>
  <c r="M137" i="7"/>
  <c r="E137"/>
  <c r="K137" i="9"/>
  <c r="G137" i="10"/>
  <c r="Q136" i="12"/>
  <c r="AE132" i="14"/>
  <c r="AF136" i="6"/>
  <c r="W136" i="4"/>
  <c r="Q136"/>
  <c r="W136" i="1"/>
  <c r="Q136"/>
  <c r="Q136" i="3"/>
  <c r="M136"/>
  <c r="E136"/>
  <c r="M136" i="7"/>
  <c r="E136"/>
  <c r="G136" i="10"/>
  <c r="AE127" i="15"/>
  <c r="AE131" i="14"/>
  <c r="Q135" i="5"/>
  <c r="W135" i="4"/>
  <c r="Q135"/>
  <c r="Q135" i="1"/>
  <c r="Q135" i="3"/>
  <c r="M135"/>
  <c r="M135" i="7"/>
  <c r="M135" i="9"/>
  <c r="K135"/>
  <c r="G135" i="10"/>
  <c r="AE130" i="14"/>
  <c r="E134" i="6"/>
  <c r="W134" i="4"/>
  <c r="Q134" i="3"/>
  <c r="M134"/>
  <c r="E134"/>
  <c r="M134" i="7"/>
  <c r="U134" i="9"/>
  <c r="K134"/>
  <c r="G134" i="10"/>
  <c r="BG129" i="14"/>
  <c r="BH133" i="6"/>
  <c r="AE129" i="14"/>
  <c r="E129"/>
  <c r="AF133" i="6"/>
  <c r="AL133" i="5"/>
  <c r="G133"/>
  <c r="W133" i="4"/>
  <c r="Q133"/>
  <c r="I133"/>
  <c r="AG133" i="2"/>
  <c r="G133"/>
  <c r="Q133" i="1"/>
  <c r="Q133" i="3"/>
  <c r="G133" i="7"/>
  <c r="E133" i="8"/>
  <c r="O133" i="9"/>
  <c r="O132" i="12"/>
  <c r="BJ132" i="6"/>
  <c r="AE124" i="15"/>
  <c r="AF132" i="6"/>
  <c r="W132" i="4"/>
  <c r="Q132"/>
  <c r="Q132" i="1"/>
  <c r="Q132" i="3"/>
  <c r="M132"/>
  <c r="E132"/>
  <c r="M132" i="7"/>
  <c r="K132" i="9"/>
  <c r="U132" i="10"/>
  <c r="G132"/>
  <c r="M131" i="12"/>
  <c r="AE127" i="14"/>
  <c r="AK123" i="15"/>
  <c r="AE123"/>
  <c r="AC123"/>
  <c r="U123"/>
  <c r="Q123"/>
  <c r="O123"/>
  <c r="M123"/>
  <c r="I123"/>
  <c r="G123"/>
  <c r="AL131" i="5"/>
  <c r="M131"/>
  <c r="G131"/>
  <c r="E131"/>
  <c r="W131" i="4"/>
  <c r="Q131"/>
  <c r="G131" i="2"/>
  <c r="E131"/>
  <c r="Q131" i="1"/>
  <c r="Q131" i="3"/>
  <c r="M131"/>
  <c r="M131" i="7"/>
  <c r="M131" i="8"/>
  <c r="Q131"/>
  <c r="E131"/>
  <c r="M131" i="9"/>
  <c r="K131"/>
  <c r="G131" i="10"/>
  <c r="K129" i="12"/>
  <c r="BI126" i="14"/>
  <c r="BJ130" i="6"/>
  <c r="AF130"/>
  <c r="AE126" i="14"/>
  <c r="M129" i="5"/>
  <c r="AL129"/>
  <c r="AD129"/>
  <c r="G129"/>
  <c r="E129"/>
  <c r="W129" i="4"/>
  <c r="I129"/>
  <c r="G129" i="2"/>
  <c r="E129"/>
  <c r="O129" i="3"/>
  <c r="M129"/>
  <c r="E129"/>
  <c r="M129" i="7"/>
  <c r="E129"/>
  <c r="M129" i="8"/>
  <c r="Q129"/>
  <c r="K129"/>
  <c r="E129"/>
  <c r="U129" i="9"/>
  <c r="O129"/>
  <c r="M129"/>
  <c r="K129"/>
  <c r="G129" i="10"/>
  <c r="AE124" i="14"/>
  <c r="AF128" i="6"/>
  <c r="W127" i="4"/>
  <c r="Q127"/>
  <c r="Q127" i="1"/>
  <c r="Q127" i="3"/>
  <c r="M127"/>
  <c r="E127"/>
  <c r="M127" i="7"/>
  <c r="M127" i="9"/>
  <c r="K127"/>
  <c r="U127" i="10"/>
  <c r="Q126" i="1"/>
  <c r="Q126" i="4"/>
  <c r="Q126" i="3"/>
  <c r="E126"/>
  <c r="E126" i="7"/>
  <c r="G126" i="10"/>
  <c r="W125" i="4"/>
  <c r="Q125" i="3"/>
  <c r="M125"/>
  <c r="M125" i="7"/>
  <c r="M125" i="9"/>
  <c r="K125"/>
  <c r="U125" i="10"/>
  <c r="G125"/>
  <c r="W124" i="4"/>
  <c r="Q124" i="3"/>
  <c r="M124"/>
  <c r="E124"/>
  <c r="M124" i="7"/>
  <c r="E124"/>
  <c r="U124" i="10"/>
  <c r="BE121" i="14"/>
  <c r="AF125" i="6"/>
  <c r="AE121" i="14"/>
  <c r="M121"/>
  <c r="G121"/>
  <c r="E121" s="1"/>
  <c r="M125" i="6"/>
  <c r="G125"/>
  <c r="W123" i="4"/>
  <c r="Q123"/>
  <c r="Q123" i="1"/>
  <c r="Q123" i="3"/>
  <c r="M123"/>
  <c r="E123"/>
  <c r="U123" i="10"/>
  <c r="G123"/>
  <c r="O122" i="12"/>
  <c r="BF124" i="6"/>
  <c r="AE120" i="14"/>
  <c r="AF124" i="6"/>
  <c r="W122" i="4"/>
  <c r="Q122"/>
  <c r="Q122" i="1"/>
  <c r="Q122" i="3"/>
  <c r="U122" i="10"/>
  <c r="G122"/>
  <c r="Q121" i="12"/>
  <c r="BL123" i="6"/>
  <c r="AF123"/>
  <c r="AL121" i="5"/>
  <c r="AD121"/>
  <c r="I121"/>
  <c r="W121" i="4"/>
  <c r="Q121" i="1"/>
  <c r="Q121" i="3"/>
  <c r="M121"/>
  <c r="E121"/>
  <c r="K121" i="8"/>
  <c r="M121" i="9"/>
  <c r="K121"/>
  <c r="U121" i="10"/>
  <c r="G121"/>
  <c r="O120" i="12"/>
  <c r="K120"/>
  <c r="E120"/>
  <c r="BE118" i="14"/>
  <c r="BL122" i="6"/>
  <c r="AE113" i="15"/>
  <c r="AE118" i="14"/>
  <c r="AF122" i="6"/>
  <c r="W120" i="4"/>
  <c r="Q120" i="3"/>
  <c r="M120"/>
  <c r="E120"/>
  <c r="M120" i="7"/>
  <c r="E120"/>
  <c r="M120" i="9"/>
  <c r="K120"/>
  <c r="G120" i="10"/>
  <c r="BF121" i="6"/>
  <c r="AE117" i="14"/>
  <c r="AF121" i="6"/>
  <c r="G119" i="5"/>
  <c r="W119" i="4"/>
  <c r="G119" i="2"/>
  <c r="Q119" i="3"/>
  <c r="M119"/>
  <c r="E119"/>
  <c r="E119" i="8"/>
  <c r="U119" i="9"/>
  <c r="M119"/>
  <c r="K119"/>
  <c r="U119" i="10"/>
  <c r="G119"/>
  <c r="BG116" i="14"/>
  <c r="BH120" i="6"/>
  <c r="AF120"/>
  <c r="AE116" i="14"/>
  <c r="AE112" i="15"/>
  <c r="W118" i="4"/>
  <c r="Q118"/>
  <c r="W118" i="1"/>
  <c r="Q118"/>
  <c r="Q118" i="3"/>
  <c r="M118"/>
  <c r="E118"/>
  <c r="M118" i="7"/>
  <c r="U118" i="9"/>
  <c r="U118" i="10"/>
  <c r="G118"/>
  <c r="BE112" i="13"/>
  <c r="BE115" i="14"/>
  <c r="Q117" i="12"/>
  <c r="E117"/>
  <c r="AE111" i="15"/>
  <c r="AE112" i="13"/>
  <c r="S112"/>
  <c r="AE115" i="14"/>
  <c r="S115"/>
  <c r="AF119" i="6"/>
  <c r="S119"/>
  <c r="AL117" i="5"/>
  <c r="AD117"/>
  <c r="G117"/>
  <c r="W117" i="4"/>
  <c r="I117"/>
  <c r="W117" i="1"/>
  <c r="Q117" i="3"/>
  <c r="M117"/>
  <c r="E117"/>
  <c r="M117" i="7"/>
  <c r="E117" i="8"/>
  <c r="U117" i="9"/>
  <c r="K117"/>
  <c r="U117" i="10"/>
  <c r="G117"/>
  <c r="E116" i="12"/>
  <c r="AF118" i="6"/>
  <c r="AJ118" s="1"/>
  <c r="Q116" i="3"/>
  <c r="M116"/>
  <c r="E116"/>
  <c r="M116" i="7"/>
  <c r="E116"/>
  <c r="W116" i="4"/>
  <c r="Q116"/>
  <c r="AI110" i="15"/>
  <c r="AE110"/>
  <c r="K116" i="9"/>
  <c r="U116" i="10"/>
  <c r="G116"/>
  <c r="AF116" i="6"/>
  <c r="Q114" i="4"/>
  <c r="Q114" i="1"/>
  <c r="Q114" i="3"/>
  <c r="K114" i="9"/>
  <c r="U114" i="10"/>
  <c r="G114"/>
  <c r="G113" i="5"/>
  <c r="W113" i="4"/>
  <c r="Q113"/>
  <c r="G113" i="2"/>
  <c r="Q113" i="1"/>
  <c r="M113" i="3"/>
  <c r="M113" i="7"/>
  <c r="E113" i="8"/>
  <c r="K113" i="9"/>
  <c r="U113" i="10"/>
  <c r="G113"/>
  <c r="BJ112" i="6"/>
  <c r="AF113"/>
  <c r="AE110" i="14"/>
  <c r="AI106" i="15"/>
  <c r="AE106"/>
  <c r="Q111" i="4"/>
  <c r="Q111" i="1"/>
  <c r="M111" i="3"/>
  <c r="Q111"/>
  <c r="M111" i="7"/>
  <c r="U111" i="10"/>
  <c r="G111"/>
  <c r="BE106" i="13"/>
  <c r="BF112" i="6"/>
  <c r="AF112"/>
  <c r="AE109" i="14"/>
  <c r="AE106" i="13"/>
  <c r="W110" i="4"/>
  <c r="Q110"/>
  <c r="Q110" i="1"/>
  <c r="Q110" i="3"/>
  <c r="M110"/>
  <c r="U110" i="9"/>
  <c r="K110"/>
  <c r="U110" i="10"/>
  <c r="G110"/>
  <c r="Q109" i="4"/>
  <c r="Q109" i="3"/>
  <c r="M109"/>
  <c r="M109" i="7"/>
  <c r="U109" i="10"/>
  <c r="M109"/>
  <c r="G109"/>
  <c r="K108" i="12"/>
  <c r="M108"/>
  <c r="Q108"/>
  <c r="AL108" i="5"/>
  <c r="AB108"/>
  <c r="W108" i="4"/>
  <c r="Q108"/>
  <c r="I108"/>
  <c r="Q108" i="1"/>
  <c r="I108"/>
  <c r="Q108" i="3"/>
  <c r="M108"/>
  <c r="E108"/>
  <c r="M108" i="7"/>
  <c r="E108"/>
  <c r="O108" i="9"/>
  <c r="K108"/>
  <c r="U108" i="10"/>
  <c r="M108"/>
  <c r="G108"/>
  <c r="I107" i="12"/>
  <c r="AF108" i="6"/>
  <c r="Q107" i="4"/>
  <c r="Q107" i="1"/>
  <c r="Q107" i="3"/>
  <c r="M107"/>
  <c r="K107" i="9"/>
  <c r="U107" i="10"/>
  <c r="G107"/>
  <c r="BE102" i="13"/>
  <c r="BL107" i="6"/>
  <c r="BF107"/>
  <c r="AF107"/>
  <c r="AE102" i="13"/>
  <c r="AL106" i="5"/>
  <c r="AD106"/>
  <c r="W106" i="4"/>
  <c r="M106" i="3"/>
  <c r="Q106"/>
  <c r="E106"/>
  <c r="M106" i="7"/>
  <c r="U106" i="10"/>
  <c r="G106"/>
  <c r="BL106" i="6"/>
  <c r="AF106"/>
  <c r="AI104" i="14"/>
  <c r="AE104"/>
  <c r="AE100" i="13"/>
  <c r="W104" i="4"/>
  <c r="Q104"/>
  <c r="Q104" i="1"/>
  <c r="Q104" i="3"/>
  <c r="M104"/>
  <c r="E104"/>
  <c r="M104" i="7"/>
  <c r="E104"/>
  <c r="K104" i="9"/>
  <c r="U104" i="10"/>
  <c r="AF105" i="6"/>
  <c r="AE103" i="14"/>
  <c r="E103" i="5"/>
  <c r="Q103" i="4"/>
  <c r="E103" i="2"/>
  <c r="Q103" i="1"/>
  <c r="Q103" i="3"/>
  <c r="M103"/>
  <c r="E103"/>
  <c r="E103" i="7"/>
  <c r="Q103" i="8"/>
  <c r="K103" i="9"/>
  <c r="U103" i="10"/>
  <c r="G103"/>
  <c r="Q102" i="4"/>
  <c r="Q102" i="1"/>
  <c r="Q102" i="3"/>
  <c r="E102"/>
  <c r="M102" i="9"/>
  <c r="U102" i="10"/>
  <c r="G102"/>
  <c r="W101" i="4"/>
  <c r="Q101" i="3"/>
  <c r="M101"/>
  <c r="M101" i="7"/>
  <c r="M101" i="9"/>
  <c r="K101"/>
  <c r="U101" i="10"/>
  <c r="G101"/>
  <c r="AE100" i="14"/>
  <c r="AF102" i="6"/>
  <c r="K102"/>
  <c r="Q100" i="4"/>
  <c r="Q100" i="1"/>
  <c r="Q100" i="3"/>
  <c r="M100"/>
  <c r="E100"/>
  <c r="M100" i="7"/>
  <c r="E100"/>
  <c r="U100" i="10"/>
  <c r="G100"/>
  <c r="BK99" i="14"/>
  <c r="BL101" i="6"/>
  <c r="Q99" i="12"/>
  <c r="K99"/>
  <c r="AF101" i="6"/>
  <c r="AE99" i="14"/>
  <c r="W99" i="4"/>
  <c r="Q99"/>
  <c r="W99" i="1"/>
  <c r="Q99"/>
  <c r="Q99" i="3"/>
  <c r="M99"/>
  <c r="E99"/>
  <c r="M99" i="7"/>
  <c r="K99" i="9"/>
  <c r="U99" i="10"/>
  <c r="G99"/>
  <c r="AE94" i="13"/>
  <c r="AE98" i="14"/>
  <c r="AF100" i="6"/>
  <c r="S94" i="13"/>
  <c r="S98" i="14"/>
  <c r="S100" i="6"/>
  <c r="W98" i="4"/>
  <c r="Q98"/>
  <c r="W98" i="1"/>
  <c r="Q98"/>
  <c r="M98" i="3"/>
  <c r="Q98"/>
  <c r="M98" i="7"/>
  <c r="K98" i="9"/>
  <c r="U98" i="10"/>
  <c r="G98"/>
  <c r="AE237" i="14"/>
  <c r="AL242" i="5"/>
  <c r="AD242"/>
  <c r="W242" i="4"/>
  <c r="Q242"/>
  <c r="Q242" i="1"/>
  <c r="Q242" i="3"/>
  <c r="M242"/>
  <c r="E242"/>
  <c r="M242" i="7"/>
  <c r="E242"/>
  <c r="U242" i="9"/>
  <c r="M242"/>
  <c r="K242"/>
  <c r="U242" i="10"/>
  <c r="G242"/>
  <c r="AL235" i="5"/>
  <c r="G235"/>
  <c r="W235" i="4"/>
  <c r="Q235"/>
  <c r="G235" i="2"/>
  <c r="Q235" i="1"/>
  <c r="Q235" i="3"/>
  <c r="E235" i="8"/>
  <c r="K235" i="9"/>
  <c r="U235" i="10"/>
  <c r="G235"/>
  <c r="BE224" i="14"/>
  <c r="BK224"/>
  <c r="BL228" i="6"/>
  <c r="BJ228"/>
  <c r="BF228"/>
  <c r="Q229" i="12"/>
  <c r="AE224" i="14"/>
  <c r="M224"/>
  <c r="E224"/>
  <c r="G224"/>
  <c r="AF228" i="6"/>
  <c r="M228"/>
  <c r="G228"/>
  <c r="Q229" i="3"/>
  <c r="M229"/>
  <c r="M229" i="7"/>
  <c r="U229" i="9"/>
  <c r="U229" i="10"/>
  <c r="M229"/>
  <c r="G229"/>
  <c r="K228" i="12"/>
  <c r="E228"/>
  <c r="AE218" i="15"/>
  <c r="AE223" i="14"/>
  <c r="G223"/>
  <c r="AF227" i="6"/>
  <c r="G227"/>
  <c r="E228" i="5"/>
  <c r="W228" i="4"/>
  <c r="Q228"/>
  <c r="E228" i="2"/>
  <c r="Q228" i="1"/>
  <c r="Q228" i="3"/>
  <c r="M228"/>
  <c r="Q228" i="8"/>
  <c r="U228" i="9"/>
  <c r="BL224" i="6"/>
  <c r="AE220" i="14"/>
  <c r="AF224" i="6"/>
  <c r="W225" i="4"/>
  <c r="Q225" i="3"/>
  <c r="M225"/>
  <c r="M225" i="7"/>
  <c r="U225" i="9"/>
  <c r="U225" i="10"/>
  <c r="G225"/>
  <c r="E221" i="12"/>
  <c r="AE216" i="14"/>
  <c r="AF220" i="6"/>
  <c r="AE211" i="15"/>
  <c r="M216" i="14"/>
  <c r="G216"/>
  <c r="W221" i="4"/>
  <c r="W221" i="1"/>
  <c r="Q221" i="3"/>
  <c r="K221" i="9"/>
  <c r="U221" i="10"/>
  <c r="G221"/>
  <c r="BK218" i="14"/>
  <c r="AE218"/>
  <c r="W223" i="4"/>
  <c r="Q223"/>
  <c r="Q223" i="1"/>
  <c r="Q223" i="3"/>
  <c r="M223"/>
  <c r="M223" i="7"/>
  <c r="M223" i="9"/>
  <c r="K223"/>
  <c r="U223" i="10"/>
  <c r="G223"/>
  <c r="BJ254" i="6"/>
  <c r="BE249" i="14"/>
  <c r="AE249"/>
  <c r="AF254" i="6"/>
  <c r="W255" i="4"/>
  <c r="Q255"/>
  <c r="Q255" i="1"/>
  <c r="Q255" i="3"/>
  <c r="M255"/>
  <c r="E255"/>
  <c r="M255" i="7"/>
  <c r="E255"/>
  <c r="U255" i="9"/>
  <c r="M255"/>
  <c r="K255"/>
  <c r="U255" i="10"/>
  <c r="G255"/>
  <c r="AE248" i="14"/>
  <c r="AF253" i="6"/>
  <c r="W254" i="4"/>
  <c r="Q254"/>
  <c r="W254" i="1"/>
  <c r="Q254"/>
  <c r="Q254" i="3"/>
  <c r="M254"/>
  <c r="E254"/>
  <c r="M254" i="7"/>
  <c r="M254" i="9"/>
  <c r="U254" i="10"/>
  <c r="AE244" i="15"/>
  <c r="AK247" i="14"/>
  <c r="AE247"/>
  <c r="AL252" i="6"/>
  <c r="AF252"/>
  <c r="W253" i="4"/>
  <c r="Q253" i="3"/>
  <c r="M253"/>
  <c r="E253"/>
  <c r="M253" i="7"/>
  <c r="E253"/>
  <c r="O253" i="9"/>
  <c r="U253" i="10"/>
  <c r="G253"/>
  <c r="O252" i="12"/>
  <c r="AF251" i="6"/>
  <c r="Q252" i="3"/>
  <c r="M252"/>
  <c r="G252" i="10"/>
  <c r="AL251" i="5"/>
  <c r="Q251" i="4"/>
  <c r="AG251" i="2"/>
  <c r="Q251" i="1"/>
  <c r="Q251" i="3"/>
  <c r="M251"/>
  <c r="E251"/>
  <c r="M251" i="7"/>
  <c r="E251"/>
  <c r="U251" i="10"/>
  <c r="G251"/>
  <c r="E250" i="12"/>
  <c r="BL249" i="6"/>
  <c r="BF249"/>
  <c r="BE241" i="15"/>
  <c r="AF249" i="6"/>
  <c r="W250" i="4"/>
  <c r="Q250" i="3"/>
  <c r="M250"/>
  <c r="O250" i="9"/>
  <c r="U250" i="10"/>
  <c r="O249" i="12"/>
  <c r="AE243" i="14"/>
  <c r="AF248" i="6"/>
  <c r="AE240" i="15"/>
  <c r="Q249" i="4"/>
  <c r="Q249" i="1"/>
  <c r="Q249" i="3"/>
  <c r="M249"/>
  <c r="M249" i="9"/>
  <c r="K249"/>
  <c r="U249" i="10"/>
  <c r="G249"/>
  <c r="K248" i="12"/>
  <c r="I248"/>
  <c r="AE242" i="14"/>
  <c r="W248" i="4"/>
  <c r="Q248"/>
  <c r="Q248" i="1"/>
  <c r="Q248" i="3"/>
  <c r="M248"/>
  <c r="M248" i="7"/>
  <c r="U248" i="10"/>
  <c r="G248"/>
  <c r="E247" i="12"/>
  <c r="AE241" i="14"/>
  <c r="G247" i="5"/>
  <c r="W247" i="4"/>
  <c r="Q247"/>
  <c r="I247"/>
  <c r="G247" i="2"/>
  <c r="W247" i="1"/>
  <c r="Q247"/>
  <c r="I247"/>
  <c r="Q247" i="3"/>
  <c r="M247"/>
  <c r="M247" i="7"/>
  <c r="E247" i="8"/>
  <c r="O247" i="9"/>
  <c r="K247"/>
  <c r="U247" i="10"/>
  <c r="G247"/>
  <c r="Q246" i="12"/>
  <c r="BG240" i="14"/>
  <c r="AE240"/>
  <c r="W246" i="4"/>
  <c r="Q246"/>
  <c r="Q246" i="1"/>
  <c r="Q246" i="3"/>
  <c r="M246"/>
  <c r="M246" i="7"/>
  <c r="U246" i="9"/>
  <c r="M246"/>
  <c r="K246"/>
  <c r="U246" i="10"/>
  <c r="G246"/>
  <c r="E245" i="12"/>
  <c r="BF244" i="6"/>
  <c r="AE239" i="14"/>
  <c r="AF244" i="6"/>
  <c r="W245" i="4"/>
  <c r="Q245"/>
  <c r="Q245" i="1"/>
  <c r="Q245" i="3"/>
  <c r="M245"/>
  <c r="E245"/>
  <c r="M245" i="7"/>
  <c r="M245" i="9"/>
  <c r="K245"/>
  <c r="U245" i="10"/>
  <c r="AE238" i="14"/>
  <c r="W244" i="4"/>
  <c r="Q244"/>
  <c r="I244"/>
  <c r="Q244" i="1"/>
  <c r="I244"/>
  <c r="Q244" i="3"/>
  <c r="M244"/>
  <c r="E244"/>
  <c r="M244" i="7"/>
  <c r="E244"/>
  <c r="U244" i="10"/>
  <c r="Q243" i="12"/>
  <c r="M243"/>
  <c r="W243" i="4"/>
  <c r="Q243"/>
  <c r="Q243" i="1"/>
  <c r="Q243" i="3"/>
  <c r="M243"/>
  <c r="E243"/>
  <c r="M243" i="7"/>
  <c r="E243"/>
  <c r="O243" i="9"/>
  <c r="U243" i="10"/>
  <c r="BE236" i="14"/>
  <c r="BF240" i="6"/>
  <c r="AF240"/>
  <c r="AE236" i="14"/>
  <c r="Q241" i="4"/>
  <c r="Q241" i="1"/>
  <c r="Q241" i="3"/>
  <c r="M241"/>
  <c r="E241"/>
  <c r="M241" i="7"/>
  <c r="U241" i="9"/>
  <c r="M241"/>
  <c r="K241"/>
  <c r="U241" i="10"/>
  <c r="G241"/>
  <c r="E240" i="12"/>
  <c r="BF239" i="6"/>
  <c r="AF239"/>
  <c r="AE235" i="14"/>
  <c r="AE231" i="15"/>
  <c r="M235" i="14"/>
  <c r="G235"/>
  <c r="M239" i="6"/>
  <c r="G239"/>
  <c r="W240" i="4"/>
  <c r="Q240"/>
  <c r="Q240" i="1"/>
  <c r="Q240" i="3"/>
  <c r="M240"/>
  <c r="M240" i="7"/>
  <c r="K240" i="9"/>
  <c r="U240" i="10"/>
  <c r="G240"/>
  <c r="BE233" i="14"/>
  <c r="BF237" i="6"/>
  <c r="E238" i="12"/>
  <c r="AF237" i="6"/>
  <c r="AE233" i="14"/>
  <c r="W238" i="4"/>
  <c r="Q238"/>
  <c r="Q238" i="1"/>
  <c r="Q238" i="3"/>
  <c r="U238" i="10"/>
  <c r="G238"/>
  <c r="E238"/>
  <c r="AE232" i="14"/>
  <c r="AF236" i="6"/>
  <c r="Q237" i="4"/>
  <c r="Q237" i="1"/>
  <c r="Q237" i="3"/>
  <c r="M237"/>
  <c r="E237"/>
  <c r="M237" i="7"/>
  <c r="E237"/>
  <c r="U237" i="10"/>
  <c r="O236" i="12"/>
  <c r="G236"/>
  <c r="E236"/>
  <c r="BK231" i="14"/>
  <c r="BJ235" i="6"/>
  <c r="BF235"/>
  <c r="AE231" i="14"/>
  <c r="AF235" i="6"/>
  <c r="Q236" i="3"/>
  <c r="M236"/>
  <c r="E236"/>
  <c r="M236" i="7"/>
  <c r="E236"/>
  <c r="U236" i="9"/>
  <c r="U236" i="10"/>
  <c r="G236"/>
  <c r="Q234" i="12" l="1"/>
  <c r="K234"/>
  <c r="AE225" i="15"/>
  <c r="AI225" s="1"/>
  <c r="AS225" s="1"/>
  <c r="AE229" i="14"/>
  <c r="AF233" i="6"/>
  <c r="I229" i="14"/>
  <c r="W234" i="4"/>
  <c r="Q234"/>
  <c r="Q234" i="1"/>
  <c r="Q234" i="3"/>
  <c r="M234"/>
  <c r="M234" i="7"/>
  <c r="K234" i="9"/>
  <c r="U234" i="10"/>
  <c r="BE228" i="14"/>
  <c r="AE224" i="15"/>
  <c r="AG228" i="14"/>
  <c r="AE228"/>
  <c r="AC228"/>
  <c r="AF232" i="6"/>
  <c r="U228" i="14"/>
  <c r="S228"/>
  <c r="Q228"/>
  <c r="O228"/>
  <c r="I228"/>
  <c r="E228"/>
  <c r="G228"/>
  <c r="G233" i="5"/>
  <c r="Q233" i="4"/>
  <c r="G233" i="2"/>
  <c r="Q233" i="1"/>
  <c r="Q233" i="3"/>
  <c r="M233"/>
  <c r="M233" i="7"/>
  <c r="E233" i="8"/>
  <c r="U233" i="9"/>
  <c r="K233"/>
  <c r="U233" i="10"/>
  <c r="G233"/>
  <c r="AE223" i="15"/>
  <c r="AE227" i="14"/>
  <c r="AF231" i="6"/>
  <c r="E231"/>
  <c r="S232" i="4"/>
  <c r="Q232"/>
  <c r="Q232" i="1"/>
  <c r="Q232" i="3"/>
  <c r="M232"/>
  <c r="E232"/>
  <c r="M232" i="7"/>
  <c r="E232"/>
  <c r="O232" i="9"/>
  <c r="U232" i="10"/>
  <c r="G232"/>
  <c r="U230" i="12"/>
  <c r="AF229" i="6"/>
  <c r="AE225" i="14"/>
  <c r="Q230" i="5"/>
  <c r="G230"/>
  <c r="E230"/>
  <c r="W230" i="4"/>
  <c r="Q230"/>
  <c r="Q230" i="2"/>
  <c r="G230"/>
  <c r="E230"/>
  <c r="Q230" i="1"/>
  <c r="Q230" i="3"/>
  <c r="M230"/>
  <c r="M230" i="7"/>
  <c r="Q230" i="8"/>
  <c r="O230"/>
  <c r="E230"/>
  <c r="U230" i="10"/>
  <c r="G230"/>
  <c r="E230" s="1"/>
  <c r="AE217" i="15"/>
  <c r="AE222" i="14"/>
  <c r="AF226" i="6"/>
  <c r="AD227" i="5"/>
  <c r="W227" i="4"/>
  <c r="Q227"/>
  <c r="I227"/>
  <c r="Q227" i="1"/>
  <c r="Q227" i="3"/>
  <c r="O227"/>
  <c r="M227"/>
  <c r="O227" i="7"/>
  <c r="M227"/>
  <c r="U227" i="10"/>
  <c r="O227"/>
  <c r="G227"/>
  <c r="E226" i="12"/>
  <c r="M226"/>
  <c r="Q226"/>
  <c r="K226"/>
  <c r="W226" i="4"/>
  <c r="E226"/>
  <c r="E226" i="1"/>
  <c r="Q226" i="3"/>
  <c r="M226"/>
  <c r="M226" i="7"/>
  <c r="K226" i="9"/>
  <c r="U226" i="10"/>
  <c r="G226"/>
  <c r="O222"/>
  <c r="K224" i="12"/>
  <c r="AF223" i="6"/>
  <c r="W224" i="4"/>
  <c r="Q224"/>
  <c r="Q224" i="1"/>
  <c r="M224" i="9"/>
  <c r="K224"/>
  <c r="U224" i="10"/>
  <c r="G224"/>
  <c r="M223"/>
  <c r="AE217" i="14"/>
  <c r="M217"/>
  <c r="G217"/>
  <c r="I217" s="1"/>
  <c r="BE217"/>
  <c r="BF221" i="6"/>
  <c r="AF221"/>
  <c r="M221"/>
  <c r="G221"/>
  <c r="W222" i="4"/>
  <c r="W222" i="1"/>
  <c r="Q222" i="3"/>
  <c r="M222"/>
  <c r="M222" i="7"/>
  <c r="U222" i="9"/>
  <c r="K222"/>
  <c r="U222" i="10"/>
  <c r="G222"/>
  <c r="E220" i="12"/>
  <c r="AE210" i="15"/>
  <c r="AE215" i="14"/>
  <c r="AF219" i="6"/>
  <c r="W220" i="4"/>
  <c r="Q220"/>
  <c r="Q220" i="1"/>
  <c r="Q220" i="3"/>
  <c r="O220" i="9"/>
  <c r="U220" i="10"/>
  <c r="G220"/>
  <c r="BJ218" i="6"/>
  <c r="AE209" i="15"/>
  <c r="AE214" i="14"/>
  <c r="AF218" i="6"/>
  <c r="W219" i="4"/>
  <c r="Q219"/>
  <c r="Q219" i="1"/>
  <c r="Q219" i="3"/>
  <c r="M219"/>
  <c r="K219" i="9"/>
  <c r="U219" i="10"/>
  <c r="G219"/>
  <c r="AE213" i="14"/>
  <c r="U218" i="12"/>
  <c r="Q218"/>
  <c r="K218"/>
  <c r="E218"/>
  <c r="BE213" i="14"/>
  <c r="AF217" i="6"/>
  <c r="S217"/>
  <c r="Q218" i="5"/>
  <c r="W218" i="4"/>
  <c r="Q218"/>
  <c r="W218" i="1"/>
  <c r="Q218" i="2"/>
  <c r="Q218" i="1"/>
  <c r="Q218" i="3"/>
  <c r="O218"/>
  <c r="M218"/>
  <c r="E218"/>
  <c r="M218" i="7"/>
  <c r="E218"/>
  <c r="S218" i="8"/>
  <c r="U218" i="10"/>
  <c r="G218"/>
  <c r="BE212" i="14"/>
  <c r="AJ216" i="6"/>
  <c r="AF216"/>
  <c r="Q217" i="4"/>
  <c r="Q217" i="1"/>
  <c r="Q217" i="3"/>
  <c r="M217"/>
  <c r="E217"/>
  <c r="M217" i="7"/>
  <c r="E217"/>
  <c r="U217" i="10"/>
  <c r="G217"/>
  <c r="BK211" i="14"/>
  <c r="AE211"/>
  <c r="I216" i="5"/>
  <c r="W216" i="4"/>
  <c r="Q216" i="3"/>
  <c r="M216"/>
  <c r="M216" i="7"/>
  <c r="K216" i="8"/>
  <c r="U216" i="9"/>
  <c r="K216"/>
  <c r="U216" i="10"/>
  <c r="U215"/>
  <c r="Q215" i="12"/>
  <c r="AE205" i="15"/>
  <c r="AE210" i="14"/>
  <c r="BG210"/>
  <c r="BH214" i="6"/>
  <c r="AF214"/>
  <c r="G215" i="5"/>
  <c r="W215" i="4"/>
  <c r="G215" i="2"/>
  <c r="Q215" i="3"/>
  <c r="M215"/>
  <c r="M215" i="7"/>
  <c r="E215" i="8"/>
  <c r="K215" i="9"/>
  <c r="M215" i="10"/>
  <c r="W23" i="4"/>
  <c r="G23" i="5"/>
  <c r="W23" i="1"/>
  <c r="Q23" i="3"/>
  <c r="E23" i="8"/>
  <c r="U23" i="9"/>
  <c r="M23"/>
  <c r="K23"/>
  <c r="U23" i="10"/>
  <c r="G23"/>
  <c r="Q22" i="3"/>
  <c r="M22"/>
  <c r="W22" i="4"/>
  <c r="K22" i="9"/>
  <c r="U22" i="10"/>
  <c r="G22"/>
  <c r="AL20" i="5"/>
  <c r="W21" i="4"/>
  <c r="G21" i="5"/>
  <c r="I21" i="4"/>
  <c r="G21" i="2"/>
  <c r="I21" i="1"/>
  <c r="Q21" i="3"/>
  <c r="M21"/>
  <c r="M21" i="7"/>
  <c r="E21" i="8"/>
  <c r="M21" i="9"/>
  <c r="K21"/>
  <c r="U21" i="10"/>
  <c r="G21"/>
  <c r="AE20" i="14"/>
  <c r="AF20" i="5"/>
  <c r="W20" i="4"/>
  <c r="Q20" i="3"/>
  <c r="K20" i="9"/>
  <c r="U20" i="10"/>
  <c r="G20"/>
  <c r="BL21" i="6"/>
  <c r="AE19" i="14"/>
  <c r="AF21" i="6"/>
  <c r="W19" i="4"/>
  <c r="Q19"/>
  <c r="W19" i="1"/>
  <c r="Q19"/>
  <c r="Q19" i="3"/>
  <c r="S19" s="1"/>
  <c r="M19"/>
  <c r="M19" i="7"/>
  <c r="K19" i="9"/>
  <c r="U19" i="10"/>
  <c r="G19"/>
  <c r="BL20" i="6"/>
  <c r="Q18" i="12"/>
  <c r="BK16" i="14"/>
  <c r="AE18"/>
  <c r="E18"/>
  <c r="AF20" i="6"/>
  <c r="Q18" i="4"/>
  <c r="Q18" i="1"/>
  <c r="Q18" i="3"/>
  <c r="M18"/>
  <c r="M18" i="7"/>
  <c r="U18" i="10"/>
  <c r="G18"/>
  <c r="AE13" i="14"/>
  <c r="AE17"/>
  <c r="BL19" i="6"/>
  <c r="AF19"/>
  <c r="Q17" i="3"/>
  <c r="W17" i="4"/>
  <c r="Q17"/>
  <c r="Q17" i="1"/>
  <c r="M17" i="9"/>
  <c r="K17"/>
  <c r="U17" i="10"/>
  <c r="G17"/>
  <c r="AE16" i="14"/>
  <c r="Q16" i="12"/>
  <c r="BJ18" i="6"/>
  <c r="BL18"/>
  <c r="AF18"/>
  <c r="W16" i="4"/>
  <c r="Q16"/>
  <c r="Q16" i="1"/>
  <c r="Q16" i="3"/>
  <c r="M16"/>
  <c r="M16" i="7"/>
  <c r="M16" i="9"/>
  <c r="K16"/>
  <c r="E10" i="8"/>
  <c r="AE10" i="14"/>
  <c r="U16" i="10"/>
  <c r="G16"/>
  <c r="AE15" i="14"/>
  <c r="M15"/>
  <c r="G15"/>
  <c r="BJ17" i="6"/>
  <c r="AF17"/>
  <c r="G17"/>
  <c r="G15" i="5"/>
  <c r="Q15" i="4"/>
  <c r="G15" i="2"/>
  <c r="Q15" i="1"/>
  <c r="Q15" i="3"/>
  <c r="M15"/>
  <c r="E15" i="8"/>
  <c r="M15" i="9"/>
  <c r="U15" i="10"/>
  <c r="G15"/>
  <c r="BI14" i="14"/>
  <c r="AE14"/>
  <c r="K14" i="5"/>
  <c r="G14"/>
  <c r="E14"/>
  <c r="W14" i="4"/>
  <c r="Q14"/>
  <c r="K14" i="2"/>
  <c r="G14"/>
  <c r="E14"/>
  <c r="Q14" i="1"/>
  <c r="M14" i="7"/>
  <c r="Q14" i="8"/>
  <c r="E14"/>
  <c r="M14" i="9"/>
  <c r="K14"/>
  <c r="U14" i="10"/>
  <c r="G14"/>
  <c r="K13" i="12"/>
  <c r="AE14" i="15"/>
  <c r="BM244"/>
  <c r="AI244"/>
  <c r="AS244" s="1"/>
  <c r="W244"/>
  <c r="K244"/>
  <c r="E244"/>
  <c r="BM243"/>
  <c r="AS243"/>
  <c r="W243"/>
  <c r="K243"/>
  <c r="E243"/>
  <c r="AY243" s="1"/>
  <c r="BM242"/>
  <c r="AS242"/>
  <c r="AI242"/>
  <c r="W242"/>
  <c r="K242"/>
  <c r="E242"/>
  <c r="AY242" s="1"/>
  <c r="BM241"/>
  <c r="AI241"/>
  <c r="AS241" s="1"/>
  <c r="W241"/>
  <c r="K241"/>
  <c r="E241"/>
  <c r="BM240"/>
  <c r="AI240"/>
  <c r="AS240" s="1"/>
  <c r="W240"/>
  <c r="K240"/>
  <c r="E240"/>
  <c r="BM239"/>
  <c r="AI239"/>
  <c r="W239"/>
  <c r="K239"/>
  <c r="E239"/>
  <c r="BM238"/>
  <c r="AI238"/>
  <c r="AS238" s="1"/>
  <c r="W238"/>
  <c r="K238"/>
  <c r="E238"/>
  <c r="BM237"/>
  <c r="AI237"/>
  <c r="AS237" s="1"/>
  <c r="W237"/>
  <c r="K237"/>
  <c r="E237"/>
  <c r="BM236"/>
  <c r="AI236"/>
  <c r="AS236" s="1"/>
  <c r="W236"/>
  <c r="K236"/>
  <c r="E236"/>
  <c r="BM235"/>
  <c r="AI235"/>
  <c r="AS235" s="1"/>
  <c r="W235"/>
  <c r="K235"/>
  <c r="E235"/>
  <c r="BM234"/>
  <c r="AS234"/>
  <c r="W234"/>
  <c r="K234"/>
  <c r="E234"/>
  <c r="BM233"/>
  <c r="AI233"/>
  <c r="AS233" s="1"/>
  <c r="W233"/>
  <c r="K233"/>
  <c r="AY233" s="1"/>
  <c r="E233"/>
  <c r="BM232"/>
  <c r="AI232"/>
  <c r="AS232" s="1"/>
  <c r="W232"/>
  <c r="K232"/>
  <c r="E232"/>
  <c r="AI231"/>
  <c r="AS231" s="1"/>
  <c r="W231"/>
  <c r="K231"/>
  <c r="E231"/>
  <c r="BM230"/>
  <c r="AI230"/>
  <c r="AS230" s="1"/>
  <c r="W230"/>
  <c r="K230"/>
  <c r="E230"/>
  <c r="AS229"/>
  <c r="W229"/>
  <c r="K229"/>
  <c r="E229"/>
  <c r="BM228"/>
  <c r="AI228"/>
  <c r="AS228" s="1"/>
  <c r="K228"/>
  <c r="E228"/>
  <c r="BM227"/>
  <c r="AI227"/>
  <c r="AS227" s="1"/>
  <c r="W227"/>
  <c r="K227"/>
  <c r="E227"/>
  <c r="BM226"/>
  <c r="AI226"/>
  <c r="AS226" s="1"/>
  <c r="W226"/>
  <c r="K226"/>
  <c r="AY226" s="1"/>
  <c r="E226"/>
  <c r="BM225"/>
  <c r="W225"/>
  <c r="K225"/>
  <c r="E225"/>
  <c r="BM224"/>
  <c r="AI224"/>
  <c r="AS224" s="1"/>
  <c r="W224"/>
  <c r="K224"/>
  <c r="E224"/>
  <c r="AI223"/>
  <c r="AS223" s="1"/>
  <c r="W223"/>
  <c r="K223"/>
  <c r="E223"/>
  <c r="BM222"/>
  <c r="AI222"/>
  <c r="AS222" s="1"/>
  <c r="W222"/>
  <c r="K222"/>
  <c r="E222"/>
  <c r="BM221"/>
  <c r="AI221"/>
  <c r="AS221" s="1"/>
  <c r="W221"/>
  <c r="K221"/>
  <c r="E221"/>
  <c r="AY221" s="1"/>
  <c r="BM220"/>
  <c r="AI220"/>
  <c r="AS220" s="1"/>
  <c r="W220"/>
  <c r="K220"/>
  <c r="AY220" s="1"/>
  <c r="E220"/>
  <c r="BM219"/>
  <c r="AI219"/>
  <c r="AS219" s="1"/>
  <c r="W219"/>
  <c r="K219"/>
  <c r="E219"/>
  <c r="BM218"/>
  <c r="AI218"/>
  <c r="AS218" s="1"/>
  <c r="W218"/>
  <c r="K218"/>
  <c r="E218"/>
  <c r="BM217"/>
  <c r="AI217"/>
  <c r="AS217" s="1"/>
  <c r="W217"/>
  <c r="K217"/>
  <c r="E217"/>
  <c r="BM216"/>
  <c r="AI216"/>
  <c r="AS216" s="1"/>
  <c r="W216"/>
  <c r="K216"/>
  <c r="E216"/>
  <c r="BM215"/>
  <c r="AI215"/>
  <c r="AS215" s="1"/>
  <c r="W215"/>
  <c r="K215"/>
  <c r="E215"/>
  <c r="BM214"/>
  <c r="AI214"/>
  <c r="AS214" s="1"/>
  <c r="K214"/>
  <c r="E214"/>
  <c r="BM213"/>
  <c r="AI213"/>
  <c r="AS213" s="1"/>
  <c r="W213"/>
  <c r="K213"/>
  <c r="E213"/>
  <c r="BM212"/>
  <c r="AI212"/>
  <c r="AS212" s="1"/>
  <c r="W212"/>
  <c r="K212"/>
  <c r="E212"/>
  <c r="BM211"/>
  <c r="AI211"/>
  <c r="AS211" s="1"/>
  <c r="W211"/>
  <c r="K211"/>
  <c r="E211"/>
  <c r="BM210"/>
  <c r="AI210"/>
  <c r="AS210" s="1"/>
  <c r="W210"/>
  <c r="K210"/>
  <c r="E210"/>
  <c r="BM209"/>
  <c r="AI209"/>
  <c r="AS209" s="1"/>
  <c r="W209"/>
  <c r="AY209"/>
  <c r="BM208"/>
  <c r="AI208"/>
  <c r="AS208" s="1"/>
  <c r="W208"/>
  <c r="K208"/>
  <c r="E208"/>
  <c r="AI207"/>
  <c r="AS207" s="1"/>
  <c r="W207"/>
  <c r="K207"/>
  <c r="E207"/>
  <c r="BM206"/>
  <c r="AI206"/>
  <c r="AS206" s="1"/>
  <c r="W206"/>
  <c r="K206"/>
  <c r="E206"/>
  <c r="BM205"/>
  <c r="AI205"/>
  <c r="AS205" s="1"/>
  <c r="W205"/>
  <c r="E205"/>
  <c r="BM204"/>
  <c r="AI204"/>
  <c r="AS204" s="1"/>
  <c r="W204"/>
  <c r="K204"/>
  <c r="E204"/>
  <c r="AY204" s="1"/>
  <c r="BM203"/>
  <c r="AS203"/>
  <c r="W203"/>
  <c r="K203"/>
  <c r="E203"/>
  <c r="BM202"/>
  <c r="AI202"/>
  <c r="AS202" s="1"/>
  <c r="W202"/>
  <c r="K202"/>
  <c r="E202"/>
  <c r="BM201"/>
  <c r="AI201"/>
  <c r="AS201" s="1"/>
  <c r="W201"/>
  <c r="K201"/>
  <c r="E201"/>
  <c r="BM200"/>
  <c r="AI200"/>
  <c r="AS200" s="1"/>
  <c r="W200"/>
  <c r="K200"/>
  <c r="E200"/>
  <c r="BM199"/>
  <c r="AI199"/>
  <c r="AS199" s="1"/>
  <c r="W199"/>
  <c r="K199"/>
  <c r="E199"/>
  <c r="BM198"/>
  <c r="AI198"/>
  <c r="AS198" s="1"/>
  <c r="W198"/>
  <c r="K198"/>
  <c r="E198"/>
  <c r="BM197"/>
  <c r="AI197"/>
  <c r="AS197" s="1"/>
  <c r="W197"/>
  <c r="K197"/>
  <c r="E197"/>
  <c r="BM196"/>
  <c r="AI196"/>
  <c r="AS196" s="1"/>
  <c r="W196"/>
  <c r="K196"/>
  <c r="E196"/>
  <c r="BM195"/>
  <c r="AI195"/>
  <c r="AS195" s="1"/>
  <c r="W195"/>
  <c r="K195"/>
  <c r="E195"/>
  <c r="BM194"/>
  <c r="AI194"/>
  <c r="AS194" s="1"/>
  <c r="W194"/>
  <c r="K194"/>
  <c r="E194"/>
  <c r="BM193"/>
  <c r="AI193"/>
  <c r="AS193" s="1"/>
  <c r="W193"/>
  <c r="K193"/>
  <c r="E193"/>
  <c r="BM192"/>
  <c r="AS192"/>
  <c r="W192"/>
  <c r="K192"/>
  <c r="E192"/>
  <c r="BM191"/>
  <c r="AI191"/>
  <c r="AS191" s="1"/>
  <c r="W191"/>
  <c r="K191"/>
  <c r="E191"/>
  <c r="BM190"/>
  <c r="AI190"/>
  <c r="AS190" s="1"/>
  <c r="W190"/>
  <c r="K190"/>
  <c r="E190"/>
  <c r="BM189"/>
  <c r="AI189"/>
  <c r="AS189" s="1"/>
  <c r="W189"/>
  <c r="K189"/>
  <c r="E189"/>
  <c r="AI188"/>
  <c r="AS188" s="1"/>
  <c r="W188"/>
  <c r="K188"/>
  <c r="AY188" s="1"/>
  <c r="E188"/>
  <c r="BM187"/>
  <c r="AI187"/>
  <c r="AS187" s="1"/>
  <c r="W187"/>
  <c r="K187"/>
  <c r="E187"/>
  <c r="BM186"/>
  <c r="AI186"/>
  <c r="AS186" s="1"/>
  <c r="W186"/>
  <c r="K186"/>
  <c r="E186"/>
  <c r="BM185"/>
  <c r="AI185"/>
  <c r="AS185" s="1"/>
  <c r="W185"/>
  <c r="K185"/>
  <c r="E185"/>
  <c r="BM184"/>
  <c r="AI184"/>
  <c r="AS184" s="1"/>
  <c r="W184"/>
  <c r="K184"/>
  <c r="E184"/>
  <c r="BM183"/>
  <c r="AI183"/>
  <c r="AS183" s="1"/>
  <c r="W183"/>
  <c r="K183"/>
  <c r="E183"/>
  <c r="BM182"/>
  <c r="AI182"/>
  <c r="AS182" s="1"/>
  <c r="W182"/>
  <c r="K182"/>
  <c r="E182"/>
  <c r="BM181"/>
  <c r="AI181"/>
  <c r="AS181" s="1"/>
  <c r="W181"/>
  <c r="K181"/>
  <c r="E181"/>
  <c r="BM180"/>
  <c r="AI180"/>
  <c r="AS180" s="1"/>
  <c r="W180"/>
  <c r="K180"/>
  <c r="E180"/>
  <c r="BM179"/>
  <c r="AI179"/>
  <c r="AS179" s="1"/>
  <c r="W179"/>
  <c r="K179"/>
  <c r="E179"/>
  <c r="BM178"/>
  <c r="AI178"/>
  <c r="AS178" s="1"/>
  <c r="W178"/>
  <c r="K178"/>
  <c r="E178"/>
  <c r="BM177"/>
  <c r="AI177"/>
  <c r="AS177" s="1"/>
  <c r="W177"/>
  <c r="K177"/>
  <c r="E177"/>
  <c r="BM176"/>
  <c r="AI176"/>
  <c r="AS176" s="1"/>
  <c r="W176"/>
  <c r="K176"/>
  <c r="E176"/>
  <c r="BM175"/>
  <c r="AI175"/>
  <c r="AS175" s="1"/>
  <c r="W175"/>
  <c r="K175"/>
  <c r="E175"/>
  <c r="BM174"/>
  <c r="AI174"/>
  <c r="AS174" s="1"/>
  <c r="W174"/>
  <c r="K174"/>
  <c r="E174"/>
  <c r="BM173"/>
  <c r="AI173"/>
  <c r="AS173" s="1"/>
  <c r="W173"/>
  <c r="K173"/>
  <c r="E173"/>
  <c r="BM172"/>
  <c r="AI172"/>
  <c r="AS172" s="1"/>
  <c r="W172"/>
  <c r="K172"/>
  <c r="E172"/>
  <c r="BM171"/>
  <c r="AI171"/>
  <c r="AS171" s="1"/>
  <c r="W171"/>
  <c r="K171"/>
  <c r="E171"/>
  <c r="BM170"/>
  <c r="AI170"/>
  <c r="AS170" s="1"/>
  <c r="W170"/>
  <c r="K170"/>
  <c r="E170"/>
  <c r="BM169"/>
  <c r="AI169"/>
  <c r="AS169" s="1"/>
  <c r="W169"/>
  <c r="K169"/>
  <c r="E169"/>
  <c r="BM168"/>
  <c r="AI168"/>
  <c r="AS168" s="1"/>
  <c r="W168"/>
  <c r="K168"/>
  <c r="AY168" s="1"/>
  <c r="E168"/>
  <c r="BM167"/>
  <c r="AI167"/>
  <c r="AS167" s="1"/>
  <c r="W167"/>
  <c r="K167"/>
  <c r="E167"/>
  <c r="BM166"/>
  <c r="AI166"/>
  <c r="AS166" s="1"/>
  <c r="W166"/>
  <c r="K166"/>
  <c r="E166"/>
  <c r="BM165"/>
  <c r="AI165"/>
  <c r="AS165" s="1"/>
  <c r="W165"/>
  <c r="K165"/>
  <c r="E165"/>
  <c r="BM164"/>
  <c r="AI164"/>
  <c r="AS164" s="1"/>
  <c r="W164"/>
  <c r="K164"/>
  <c r="E164"/>
  <c r="BM148"/>
  <c r="AI148"/>
  <c r="AS148" s="1"/>
  <c r="W148"/>
  <c r="K148"/>
  <c r="E148"/>
  <c r="BM147"/>
  <c r="AI147"/>
  <c r="AS147" s="1"/>
  <c r="W147"/>
  <c r="K147"/>
  <c r="E147"/>
  <c r="BM146"/>
  <c r="AI146"/>
  <c r="AS146" s="1"/>
  <c r="W146"/>
  <c r="K146"/>
  <c r="E146"/>
  <c r="BM145"/>
  <c r="AI145"/>
  <c r="AS145" s="1"/>
  <c r="W145"/>
  <c r="K145"/>
  <c r="E145"/>
  <c r="BM144"/>
  <c r="AI144"/>
  <c r="AS144" s="1"/>
  <c r="W144"/>
  <c r="K144"/>
  <c r="E144"/>
  <c r="BM143"/>
  <c r="AI143"/>
  <c r="AS143" s="1"/>
  <c r="W143"/>
  <c r="K143"/>
  <c r="E143"/>
  <c r="BM142"/>
  <c r="AI142"/>
  <c r="AS142" s="1"/>
  <c r="W142"/>
  <c r="K142"/>
  <c r="E142"/>
  <c r="AI141"/>
  <c r="AS141" s="1"/>
  <c r="W141"/>
  <c r="K141"/>
  <c r="E141"/>
  <c r="BM140"/>
  <c r="AI140"/>
  <c r="AS140" s="1"/>
  <c r="W140"/>
  <c r="K140"/>
  <c r="E140"/>
  <c r="BM139"/>
  <c r="AI139"/>
  <c r="AS139" s="1"/>
  <c r="W139"/>
  <c r="K139"/>
  <c r="E139"/>
  <c r="BM138"/>
  <c r="AI138"/>
  <c r="AS138" s="1"/>
  <c r="W138"/>
  <c r="K138"/>
  <c r="E138"/>
  <c r="BM137"/>
  <c r="AI137"/>
  <c r="AS137" s="1"/>
  <c r="W137"/>
  <c r="K137"/>
  <c r="E137"/>
  <c r="BM136"/>
  <c r="AI136"/>
  <c r="AS136" s="1"/>
  <c r="W136"/>
  <c r="K136"/>
  <c r="E136"/>
  <c r="BM135"/>
  <c r="AI135"/>
  <c r="AS135" s="1"/>
  <c r="W135"/>
  <c r="K135"/>
  <c r="E135"/>
  <c r="BM134"/>
  <c r="AI134"/>
  <c r="AS134" s="1"/>
  <c r="W134"/>
  <c r="K134"/>
  <c r="E134"/>
  <c r="BM133"/>
  <c r="AI133"/>
  <c r="AS133" s="1"/>
  <c r="W133"/>
  <c r="K133"/>
  <c r="E133"/>
  <c r="BM132"/>
  <c r="AI132"/>
  <c r="AS132" s="1"/>
  <c r="W132"/>
  <c r="K132"/>
  <c r="E132"/>
  <c r="BM131"/>
  <c r="AI131"/>
  <c r="AS131" s="1"/>
  <c r="W131"/>
  <c r="K131"/>
  <c r="E131"/>
  <c r="BM130"/>
  <c r="AI130"/>
  <c r="AS130" s="1"/>
  <c r="W130"/>
  <c r="K130"/>
  <c r="E130"/>
  <c r="BM129"/>
  <c r="AS129"/>
  <c r="W129"/>
  <c r="K129"/>
  <c r="E129"/>
  <c r="AY129" s="1"/>
  <c r="BM128"/>
  <c r="AI128"/>
  <c r="AS128" s="1"/>
  <c r="W128"/>
  <c r="K128"/>
  <c r="AY128" s="1"/>
  <c r="E128"/>
  <c r="BM127"/>
  <c r="AI127"/>
  <c r="AS127" s="1"/>
  <c r="W127"/>
  <c r="K127"/>
  <c r="E127"/>
  <c r="BM126"/>
  <c r="AI126"/>
  <c r="AS126" s="1"/>
  <c r="W126"/>
  <c r="K126"/>
  <c r="E126"/>
  <c r="BM125"/>
  <c r="AI125"/>
  <c r="AS125" s="1"/>
  <c r="W125"/>
  <c r="K125"/>
  <c r="E125"/>
  <c r="BM124"/>
  <c r="AI124"/>
  <c r="AS124" s="1"/>
  <c r="W124"/>
  <c r="K124"/>
  <c r="E124"/>
  <c r="BM123"/>
  <c r="AI123"/>
  <c r="AS123" s="1"/>
  <c r="W123"/>
  <c r="K123"/>
  <c r="E123"/>
  <c r="BM122"/>
  <c r="AI122"/>
  <c r="AS122" s="1"/>
  <c r="W122"/>
  <c r="K122"/>
  <c r="E122"/>
  <c r="BM121"/>
  <c r="AI121"/>
  <c r="AS121" s="1"/>
  <c r="W121"/>
  <c r="K121"/>
  <c r="E121"/>
  <c r="AY121" s="1"/>
  <c r="BM120"/>
  <c r="AI120"/>
  <c r="AS120" s="1"/>
  <c r="W120"/>
  <c r="K120"/>
  <c r="AY120" s="1"/>
  <c r="E120"/>
  <c r="BM119"/>
  <c r="AI119"/>
  <c r="AS119" s="1"/>
  <c r="W119"/>
  <c r="K119"/>
  <c r="E119"/>
  <c r="BM118"/>
  <c r="AI118"/>
  <c r="AS118" s="1"/>
  <c r="W118"/>
  <c r="K118"/>
  <c r="E118"/>
  <c r="BM117"/>
  <c r="AS117"/>
  <c r="W117"/>
  <c r="K117"/>
  <c r="E117"/>
  <c r="BM116"/>
  <c r="AI116"/>
  <c r="AS116" s="1"/>
  <c r="W116"/>
  <c r="K116"/>
  <c r="E116"/>
  <c r="BM115"/>
  <c r="AI115"/>
  <c r="AS115" s="1"/>
  <c r="W115"/>
  <c r="K115"/>
  <c r="E115"/>
  <c r="BM114"/>
  <c r="AI114"/>
  <c r="AS114" s="1"/>
  <c r="W114"/>
  <c r="K114"/>
  <c r="E114"/>
  <c r="AY114" s="1"/>
  <c r="BM113"/>
  <c r="AI113"/>
  <c r="AS113" s="1"/>
  <c r="W113"/>
  <c r="K113"/>
  <c r="AY113" s="1"/>
  <c r="E113"/>
  <c r="BM112"/>
  <c r="AI112"/>
  <c r="AS112" s="1"/>
  <c r="W112"/>
  <c r="K112"/>
  <c r="E112"/>
  <c r="BM111"/>
  <c r="AI111"/>
  <c r="AS111" s="1"/>
  <c r="W111"/>
  <c r="K111"/>
  <c r="E111"/>
  <c r="BM110"/>
  <c r="AS110"/>
  <c r="W110"/>
  <c r="K110"/>
  <c r="E110"/>
  <c r="BM109"/>
  <c r="AI109"/>
  <c r="AS109" s="1"/>
  <c r="W109"/>
  <c r="K109"/>
  <c r="E109"/>
  <c r="BM108"/>
  <c r="AI108"/>
  <c r="W108"/>
  <c r="K108"/>
  <c r="E108"/>
  <c r="BM107"/>
  <c r="AI107"/>
  <c r="AS107" s="1"/>
  <c r="W107"/>
  <c r="K107"/>
  <c r="AY107" s="1"/>
  <c r="E107"/>
  <c r="BM106"/>
  <c r="AS106"/>
  <c r="W106"/>
  <c r="K106"/>
  <c r="E106"/>
  <c r="BM105"/>
  <c r="AI105"/>
  <c r="AS105" s="1"/>
  <c r="W105"/>
  <c r="K105"/>
  <c r="E105"/>
  <c r="AY105" s="1"/>
  <c r="BM104"/>
  <c r="AS104"/>
  <c r="W104"/>
  <c r="K104"/>
  <c r="E104"/>
  <c r="BM103"/>
  <c r="AI103"/>
  <c r="AS103" s="1"/>
  <c r="W103"/>
  <c r="K103"/>
  <c r="E103"/>
  <c r="BM102"/>
  <c r="AI102"/>
  <c r="AS102" s="1"/>
  <c r="W102"/>
  <c r="K102"/>
  <c r="E102"/>
  <c r="BM101"/>
  <c r="AI101"/>
  <c r="AS101" s="1"/>
  <c r="W101"/>
  <c r="K101"/>
  <c r="E101"/>
  <c r="BM100"/>
  <c r="AI100"/>
  <c r="AS100" s="1"/>
  <c r="W100"/>
  <c r="K100"/>
  <c r="E100"/>
  <c r="BM99"/>
  <c r="AI99"/>
  <c r="AS99" s="1"/>
  <c r="W99"/>
  <c r="K99"/>
  <c r="E99"/>
  <c r="BM98"/>
  <c r="AI98"/>
  <c r="AS98" s="1"/>
  <c r="W98"/>
  <c r="K98"/>
  <c r="AY98" s="1"/>
  <c r="E98"/>
  <c r="BM97"/>
  <c r="AI97"/>
  <c r="AS97" s="1"/>
  <c r="W97"/>
  <c r="K97"/>
  <c r="E97"/>
  <c r="BM96"/>
  <c r="AI96"/>
  <c r="AS96" s="1"/>
  <c r="W96"/>
  <c r="K96"/>
  <c r="E96"/>
  <c r="BM95"/>
  <c r="AI95"/>
  <c r="AS95" s="1"/>
  <c r="W95"/>
  <c r="K95"/>
  <c r="E95"/>
  <c r="BM94"/>
  <c r="AI94"/>
  <c r="AS94" s="1"/>
  <c r="W94"/>
  <c r="K94"/>
  <c r="E94"/>
  <c r="BM93"/>
  <c r="AI93"/>
  <c r="AS93" s="1"/>
  <c r="W93"/>
  <c r="K93"/>
  <c r="E93"/>
  <c r="BM92"/>
  <c r="AI92"/>
  <c r="AS92" s="1"/>
  <c r="W92"/>
  <c r="K92"/>
  <c r="E92"/>
  <c r="BM91"/>
  <c r="AI91"/>
  <c r="AS91" s="1"/>
  <c r="W91"/>
  <c r="K91"/>
  <c r="E91"/>
  <c r="BM90"/>
  <c r="AI90"/>
  <c r="AS90" s="1"/>
  <c r="W90"/>
  <c r="K90"/>
  <c r="E90"/>
  <c r="BM89"/>
  <c r="AI89"/>
  <c r="AS89" s="1"/>
  <c r="W89"/>
  <c r="K89"/>
  <c r="E89"/>
  <c r="BM88"/>
  <c r="AI88"/>
  <c r="AS88" s="1"/>
  <c r="W88"/>
  <c r="K88"/>
  <c r="E88"/>
  <c r="BM87"/>
  <c r="AI87"/>
  <c r="AS87" s="1"/>
  <c r="W87"/>
  <c r="K87"/>
  <c r="E87"/>
  <c r="BM86"/>
  <c r="AI86"/>
  <c r="AS86" s="1"/>
  <c r="W86"/>
  <c r="K86"/>
  <c r="E86"/>
  <c r="BM85"/>
  <c r="AS85"/>
  <c r="W85"/>
  <c r="K85"/>
  <c r="E85"/>
  <c r="BM84"/>
  <c r="AI84"/>
  <c r="AS84" s="1"/>
  <c r="W84"/>
  <c r="K84"/>
  <c r="E84"/>
  <c r="BM83"/>
  <c r="AI83"/>
  <c r="AS83" s="1"/>
  <c r="W83"/>
  <c r="K83"/>
  <c r="E83"/>
  <c r="BM82"/>
  <c r="AI82"/>
  <c r="AS82" s="1"/>
  <c r="W82"/>
  <c r="K82"/>
  <c r="E82"/>
  <c r="BM81"/>
  <c r="AI81"/>
  <c r="AS81" s="1"/>
  <c r="W81"/>
  <c r="K81"/>
  <c r="E81"/>
  <c r="BM80"/>
  <c r="AS80"/>
  <c r="AI80"/>
  <c r="W80"/>
  <c r="K80"/>
  <c r="E80"/>
  <c r="AY80" s="1"/>
  <c r="BM79"/>
  <c r="AI79"/>
  <c r="AS79" s="1"/>
  <c r="W79"/>
  <c r="K79"/>
  <c r="AY79" s="1"/>
  <c r="E79"/>
  <c r="BM78"/>
  <c r="AI78"/>
  <c r="AS78" s="1"/>
  <c r="W78"/>
  <c r="K78"/>
  <c r="E78"/>
  <c r="BM77"/>
  <c r="AS77"/>
  <c r="W77"/>
  <c r="K77"/>
  <c r="E77"/>
  <c r="BM76"/>
  <c r="AI76"/>
  <c r="AS76" s="1"/>
  <c r="W76"/>
  <c r="K76"/>
  <c r="E76"/>
  <c r="BM75"/>
  <c r="AI75"/>
  <c r="AS75" s="1"/>
  <c r="W75"/>
  <c r="K75"/>
  <c r="E75"/>
  <c r="BM74"/>
  <c r="AI74"/>
  <c r="AS74" s="1"/>
  <c r="W74"/>
  <c r="K74"/>
  <c r="E74"/>
  <c r="BM73"/>
  <c r="AI73"/>
  <c r="AS73" s="1"/>
  <c r="K73"/>
  <c r="E73"/>
  <c r="BM72"/>
  <c r="AI72"/>
  <c r="AS72" s="1"/>
  <c r="W72"/>
  <c r="K72"/>
  <c r="E72"/>
  <c r="BM71"/>
  <c r="AI71"/>
  <c r="AS71" s="1"/>
  <c r="W71"/>
  <c r="K71"/>
  <c r="E71"/>
  <c r="BM70"/>
  <c r="AI70"/>
  <c r="AS70" s="1"/>
  <c r="W70"/>
  <c r="K70"/>
  <c r="E70"/>
  <c r="BM69"/>
  <c r="AI69"/>
  <c r="AS69" s="1"/>
  <c r="W69"/>
  <c r="K69"/>
  <c r="E69"/>
  <c r="BM68"/>
  <c r="AI68"/>
  <c r="AS68" s="1"/>
  <c r="W68"/>
  <c r="K68"/>
  <c r="E68"/>
  <c r="BM67"/>
  <c r="AI67"/>
  <c r="AS67" s="1"/>
  <c r="W67"/>
  <c r="K67"/>
  <c r="E67"/>
  <c r="BM66"/>
  <c r="AI66"/>
  <c r="AS66" s="1"/>
  <c r="W66"/>
  <c r="K66"/>
  <c r="E66"/>
  <c r="AY66" s="1"/>
  <c r="AS65"/>
  <c r="W65"/>
  <c r="K65"/>
  <c r="E65"/>
  <c r="BM64"/>
  <c r="AI64"/>
  <c r="AS64" s="1"/>
  <c r="W64"/>
  <c r="K64"/>
  <c r="E64"/>
  <c r="BM59"/>
  <c r="AI59"/>
  <c r="AS59" s="1"/>
  <c r="W59"/>
  <c r="K59"/>
  <c r="E59"/>
  <c r="BM58"/>
  <c r="AI58"/>
  <c r="AS58" s="1"/>
  <c r="W58"/>
  <c r="K58"/>
  <c r="E58"/>
  <c r="BM57"/>
  <c r="AI57"/>
  <c r="AS57" s="1"/>
  <c r="W57"/>
  <c r="K57"/>
  <c r="E57"/>
  <c r="BM56"/>
  <c r="AI56"/>
  <c r="AS56" s="1"/>
  <c r="Y56"/>
  <c r="BA56" s="1"/>
  <c r="W56"/>
  <c r="K56"/>
  <c r="E56"/>
  <c r="BM55"/>
  <c r="AI55"/>
  <c r="AS55" s="1"/>
  <c r="W55"/>
  <c r="K55"/>
  <c r="E55"/>
  <c r="BM54"/>
  <c r="AI54"/>
  <c r="AS54" s="1"/>
  <c r="W54"/>
  <c r="K54"/>
  <c r="E54"/>
  <c r="BM53"/>
  <c r="AI53"/>
  <c r="AS53" s="1"/>
  <c r="W53"/>
  <c r="K53"/>
  <c r="E53"/>
  <c r="BM52"/>
  <c r="AS52"/>
  <c r="W52"/>
  <c r="K52"/>
  <c r="E52"/>
  <c r="BM51"/>
  <c r="AI51"/>
  <c r="AS51" s="1"/>
  <c r="W51"/>
  <c r="K51"/>
  <c r="E51"/>
  <c r="BM50"/>
  <c r="AI50"/>
  <c r="AS50" s="1"/>
  <c r="W50"/>
  <c r="K50"/>
  <c r="E50"/>
  <c r="BM49"/>
  <c r="AI49"/>
  <c r="AS49" s="1"/>
  <c r="W49"/>
  <c r="K49"/>
  <c r="E49"/>
  <c r="BM48"/>
  <c r="AI48"/>
  <c r="AS48" s="1"/>
  <c r="W48"/>
  <c r="K48"/>
  <c r="E48"/>
  <c r="BM47"/>
  <c r="AI47"/>
  <c r="AS47" s="1"/>
  <c r="W47"/>
  <c r="K47"/>
  <c r="E47"/>
  <c r="BM46"/>
  <c r="AI46"/>
  <c r="AS46" s="1"/>
  <c r="W46"/>
  <c r="K46"/>
  <c r="E46"/>
  <c r="BM45"/>
  <c r="AI45"/>
  <c r="AS45" s="1"/>
  <c r="W45"/>
  <c r="K45"/>
  <c r="E45"/>
  <c r="BM44"/>
  <c r="AS44"/>
  <c r="AI44"/>
  <c r="W44"/>
  <c r="K44"/>
  <c r="E44"/>
  <c r="AY44" s="1"/>
  <c r="BM43"/>
  <c r="AI43"/>
  <c r="AS43" s="1"/>
  <c r="W43"/>
  <c r="K43"/>
  <c r="AY43" s="1"/>
  <c r="E43"/>
  <c r="BM42"/>
  <c r="AI42"/>
  <c r="AS42" s="1"/>
  <c r="W42"/>
  <c r="K42"/>
  <c r="E42"/>
  <c r="BM41"/>
  <c r="AI41"/>
  <c r="AS41" s="1"/>
  <c r="W41"/>
  <c r="K41"/>
  <c r="E41"/>
  <c r="BM40"/>
  <c r="AI40"/>
  <c r="AS40" s="1"/>
  <c r="W40"/>
  <c r="K40"/>
  <c r="E40"/>
  <c r="BM39"/>
  <c r="AI39"/>
  <c r="AS39" s="1"/>
  <c r="W39"/>
  <c r="K39"/>
  <c r="E39"/>
  <c r="BM38"/>
  <c r="M38" s="1"/>
  <c r="K38" s="1"/>
  <c r="AI38"/>
  <c r="AS38" s="1"/>
  <c r="W38"/>
  <c r="E38"/>
  <c r="BM37"/>
  <c r="M37" s="1"/>
  <c r="K37" s="1"/>
  <c r="AI37"/>
  <c r="W37"/>
  <c r="E37"/>
  <c r="BM36"/>
  <c r="M36" s="1"/>
  <c r="K36" s="1"/>
  <c r="AI36"/>
  <c r="AS36" s="1"/>
  <c r="W36"/>
  <c r="E36"/>
  <c r="BM35"/>
  <c r="M35" s="1"/>
  <c r="K35" s="1"/>
  <c r="AI35"/>
  <c r="W35"/>
  <c r="E35"/>
  <c r="BM34"/>
  <c r="M34" s="1"/>
  <c r="K34" s="1"/>
  <c r="AS34"/>
  <c r="AI34"/>
  <c r="E34"/>
  <c r="AY34" s="1"/>
  <c r="BM33"/>
  <c r="AI33"/>
  <c r="AS33" s="1"/>
  <c r="W33"/>
  <c r="K33"/>
  <c r="AY33" s="1"/>
  <c r="E33"/>
  <c r="AS32"/>
  <c r="W32"/>
  <c r="M32"/>
  <c r="K32" s="1"/>
  <c r="AY32" s="1"/>
  <c r="E32"/>
  <c r="BM31"/>
  <c r="M31" s="1"/>
  <c r="K31" s="1"/>
  <c r="AI31"/>
  <c r="AS31" s="1"/>
  <c r="W31"/>
  <c r="E31"/>
  <c r="BM30"/>
  <c r="M30" s="1"/>
  <c r="K30" s="1"/>
  <c r="AI30"/>
  <c r="AS30" s="1"/>
  <c r="W30"/>
  <c r="E30"/>
  <c r="AI28"/>
  <c r="W28"/>
  <c r="M28"/>
  <c r="K28" s="1"/>
  <c r="AY28" s="1"/>
  <c r="E28"/>
  <c r="BM27"/>
  <c r="M27" s="1"/>
  <c r="K27" s="1"/>
  <c r="AI27"/>
  <c r="AS27" s="1"/>
  <c r="W27"/>
  <c r="E27"/>
  <c r="BM26"/>
  <c r="M26" s="1"/>
  <c r="K26" s="1"/>
  <c r="AI26"/>
  <c r="AS26" s="1"/>
  <c r="W26"/>
  <c r="E26"/>
  <c r="BM25"/>
  <c r="M25" s="1"/>
  <c r="K25" s="1"/>
  <c r="AI25"/>
  <c r="AS25" s="1"/>
  <c r="W25"/>
  <c r="E25"/>
  <c r="AY25" s="1"/>
  <c r="BM24"/>
  <c r="M24" s="1"/>
  <c r="K24" s="1"/>
  <c r="AI24"/>
  <c r="AS24" s="1"/>
  <c r="W24"/>
  <c r="E24"/>
  <c r="BM23"/>
  <c r="M23" s="1"/>
  <c r="K23" s="1"/>
  <c r="AI23"/>
  <c r="AS23" s="1"/>
  <c r="W23"/>
  <c r="E23"/>
  <c r="AY23" s="1"/>
  <c r="BM22"/>
  <c r="M22" s="1"/>
  <c r="K22" s="1"/>
  <c r="AI22"/>
  <c r="AS22" s="1"/>
  <c r="W22"/>
  <c r="E22"/>
  <c r="BM21"/>
  <c r="M21" s="1"/>
  <c r="K21" s="1"/>
  <c r="AS21"/>
  <c r="AI21"/>
  <c r="W21"/>
  <c r="E21"/>
  <c r="AY21" s="1"/>
  <c r="BM20"/>
  <c r="M20" s="1"/>
  <c r="K20" s="1"/>
  <c r="AI20"/>
  <c r="AS20" s="1"/>
  <c r="W20"/>
  <c r="E20"/>
  <c r="BM19"/>
  <c r="M19" s="1"/>
  <c r="K19" s="1"/>
  <c r="AI19"/>
  <c r="AS19" s="1"/>
  <c r="W19"/>
  <c r="E19"/>
  <c r="BM18"/>
  <c r="M18" s="1"/>
  <c r="K18" s="1"/>
  <c r="AI18"/>
  <c r="W18"/>
  <c r="E18"/>
  <c r="BM17"/>
  <c r="M17" s="1"/>
  <c r="K17" s="1"/>
  <c r="AI17"/>
  <c r="AS17" s="1"/>
  <c r="W17"/>
  <c r="E17"/>
  <c r="BM16"/>
  <c r="M16" s="1"/>
  <c r="K16" s="1"/>
  <c r="AS16"/>
  <c r="W16"/>
  <c r="E16"/>
  <c r="BM15"/>
  <c r="M15" s="1"/>
  <c r="K15" s="1"/>
  <c r="AS15"/>
  <c r="W15"/>
  <c r="E15"/>
  <c r="BM14"/>
  <c r="AI14"/>
  <c r="AS14" s="1"/>
  <c r="W14"/>
  <c r="K14"/>
  <c r="E14"/>
  <c r="BM13"/>
  <c r="AI13"/>
  <c r="AS13" s="1"/>
  <c r="W13"/>
  <c r="K13"/>
  <c r="E13"/>
  <c r="BM12"/>
  <c r="W12"/>
  <c r="M12"/>
  <c r="K12" s="1"/>
  <c r="E12"/>
  <c r="BM11"/>
  <c r="M11" s="1"/>
  <c r="K11" s="1"/>
  <c r="AI11"/>
  <c r="AS11" s="1"/>
  <c r="W11"/>
  <c r="E11"/>
  <c r="E13" i="14"/>
  <c r="Q13" i="4"/>
  <c r="W13"/>
  <c r="Q13" i="1"/>
  <c r="Q13" i="3"/>
  <c r="U13" i="9"/>
  <c r="M13"/>
  <c r="K13"/>
  <c r="Y13" i="10"/>
  <c r="G13"/>
  <c r="BF14" i="6"/>
  <c r="BE12" i="14"/>
  <c r="BE13" i="13"/>
  <c r="AE12" i="14"/>
  <c r="E11"/>
  <c r="E12"/>
  <c r="Q12" i="4"/>
  <c r="Q12" i="1"/>
  <c r="Q12" i="3"/>
  <c r="U12" i="9"/>
  <c r="M12"/>
  <c r="K12"/>
  <c r="M13" i="10"/>
  <c r="U12"/>
  <c r="Y12" s="1"/>
  <c r="G12"/>
  <c r="I12" s="1"/>
  <c r="AE11" i="14"/>
  <c r="AF13" i="6"/>
  <c r="S13"/>
  <c r="Q11" i="4"/>
  <c r="Q11" i="1"/>
  <c r="Q11" i="3"/>
  <c r="M11"/>
  <c r="M11" i="7"/>
  <c r="M11" i="9"/>
  <c r="K11"/>
  <c r="U11" i="10"/>
  <c r="G11"/>
  <c r="AY176" i="15" l="1"/>
  <c r="AY180"/>
  <c r="AY164"/>
  <c r="AY30"/>
  <c r="AY31"/>
  <c r="AY35"/>
  <c r="AY38"/>
  <c r="AY51"/>
  <c r="AY52"/>
  <c r="AY16"/>
  <c r="AY19"/>
  <c r="AY26"/>
  <c r="AY27"/>
  <c r="AY90"/>
  <c r="AY91"/>
  <c r="AY99"/>
  <c r="AY109"/>
  <c r="AY136"/>
  <c r="AY144"/>
  <c r="AY148"/>
  <c r="AY196"/>
  <c r="AY200"/>
  <c r="AY213"/>
  <c r="AY228"/>
  <c r="AY236"/>
  <c r="AY237"/>
  <c r="AY135"/>
  <c r="AY20"/>
  <c r="AY24"/>
  <c r="AY39"/>
  <c r="AY40"/>
  <c r="AY47"/>
  <c r="AY48"/>
  <c r="AY54"/>
  <c r="AY55"/>
  <c r="AY56"/>
  <c r="AY58"/>
  <c r="AY59"/>
  <c r="AY69"/>
  <c r="AY70"/>
  <c r="AY76"/>
  <c r="AY77"/>
  <c r="AY83"/>
  <c r="AY84"/>
  <c r="AY85"/>
  <c r="AY86"/>
  <c r="AY87"/>
  <c r="AY94"/>
  <c r="AY95"/>
  <c r="AY102"/>
  <c r="AY103"/>
  <c r="AY104"/>
  <c r="AY125"/>
  <c r="AY131"/>
  <c r="AY132"/>
  <c r="AY139"/>
  <c r="AY140"/>
  <c r="AY169"/>
  <c r="AY177"/>
  <c r="AY184"/>
  <c r="AY185"/>
  <c r="AY197"/>
  <c r="AY214"/>
  <c r="AY215"/>
  <c r="AY234"/>
  <c r="AY145"/>
  <c r="AY165"/>
  <c r="AY172"/>
  <c r="AY173"/>
  <c r="AY181"/>
  <c r="AY189"/>
  <c r="AY190"/>
  <c r="AY193"/>
  <c r="AY201"/>
  <c r="AY227"/>
  <c r="AY124"/>
  <c r="AY110"/>
  <c r="AY106"/>
  <c r="AY206"/>
  <c r="AY11"/>
  <c r="AY15"/>
  <c r="AY18"/>
  <c r="AY36"/>
  <c r="AY13"/>
  <c r="AY41"/>
  <c r="AY42"/>
  <c r="AY45"/>
  <c r="AY46"/>
  <c r="AY49"/>
  <c r="AY50"/>
  <c r="AY53"/>
  <c r="AY57"/>
  <c r="AY64"/>
  <c r="AY65"/>
  <c r="AY67"/>
  <c r="AY68"/>
  <c r="AY71"/>
  <c r="AY72"/>
  <c r="AY73"/>
  <c r="AY74"/>
  <c r="AY75"/>
  <c r="AY78"/>
  <c r="AY81"/>
  <c r="AY82"/>
  <c r="AY88"/>
  <c r="AY89"/>
  <c r="AY92"/>
  <c r="AY93"/>
  <c r="AY96"/>
  <c r="AY97"/>
  <c r="AY100"/>
  <c r="AY101"/>
  <c r="AY111"/>
  <c r="AY112"/>
  <c r="AY115"/>
  <c r="AY116"/>
  <c r="AY117"/>
  <c r="AY118"/>
  <c r="AY119"/>
  <c r="AY122"/>
  <c r="AY123"/>
  <c r="AY126"/>
  <c r="AY127"/>
  <c r="AY130"/>
  <c r="AY133"/>
  <c r="AY134"/>
  <c r="AY137"/>
  <c r="AY138"/>
  <c r="AY141"/>
  <c r="AY142"/>
  <c r="AY143"/>
  <c r="AY146"/>
  <c r="AY147"/>
  <c r="AY166"/>
  <c r="AY167"/>
  <c r="AY170"/>
  <c r="AY171"/>
  <c r="AY174"/>
  <c r="AY175"/>
  <c r="AY178"/>
  <c r="AY179"/>
  <c r="AY182"/>
  <c r="AY183"/>
  <c r="AY186"/>
  <c r="AY187"/>
  <c r="AY191"/>
  <c r="AY192"/>
  <c r="AY194"/>
  <c r="AY195"/>
  <c r="AY198"/>
  <c r="AY199"/>
  <c r="AY202"/>
  <c r="AY203"/>
  <c r="AY207"/>
  <c r="AY208"/>
  <c r="AY211"/>
  <c r="AY212"/>
  <c r="AY216"/>
  <c r="AY218"/>
  <c r="AY219"/>
  <c r="AY222"/>
  <c r="AY229"/>
  <c r="AY230"/>
  <c r="AY232"/>
  <c r="AY235"/>
  <c r="AY238"/>
  <c r="AY239"/>
  <c r="AY244"/>
  <c r="AY241"/>
  <c r="AY240"/>
  <c r="AY231"/>
  <c r="AY225"/>
  <c r="AY224"/>
  <c r="AY223"/>
  <c r="AY217"/>
  <c r="AY210"/>
  <c r="AY205"/>
  <c r="AY12"/>
  <c r="AY14"/>
  <c r="AY17"/>
  <c r="AY37"/>
  <c r="AY22"/>
  <c r="M10" i="12"/>
  <c r="AF12" i="6"/>
  <c r="W10" i="4"/>
  <c r="Q10" i="3"/>
  <c r="M10"/>
  <c r="O10"/>
  <c r="M10" i="7"/>
  <c r="U10" i="9"/>
  <c r="K143" i="1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S223" i="1" l="1"/>
  <c r="E111" i="10"/>
  <c r="BM226" i="14"/>
  <c r="S143" i="4"/>
  <c r="S123" i="3"/>
  <c r="S123" i="7"/>
  <c r="W11" i="8"/>
  <c r="Y10" i="10"/>
  <c r="E231"/>
  <c r="AA97" i="9"/>
  <c r="S73" i="12"/>
  <c r="W73" s="1"/>
  <c r="S12"/>
  <c r="W12" s="1"/>
  <c r="S11"/>
  <c r="W11" s="1"/>
  <c r="S10" i="1"/>
  <c r="S91" i="12"/>
  <c r="W91" s="1"/>
  <c r="S90"/>
  <c r="W90" s="1"/>
  <c r="S88"/>
  <c r="W88" s="1"/>
  <c r="S87"/>
  <c r="S84"/>
  <c r="W84" s="1"/>
  <c r="S83"/>
  <c r="W83" s="1"/>
  <c r="S82"/>
  <c r="W82" s="1"/>
  <c r="S80"/>
  <c r="W80" s="1"/>
  <c r="S79"/>
  <c r="W79" s="1"/>
  <c r="S78"/>
  <c r="W78" s="1"/>
  <c r="S77"/>
  <c r="W77" s="1"/>
  <c r="S76"/>
  <c r="W76" s="1"/>
  <c r="S75"/>
  <c r="W75" s="1"/>
  <c r="S74"/>
  <c r="W74" s="1"/>
  <c r="S71"/>
  <c r="W71" s="1"/>
  <c r="S70"/>
  <c r="W70" s="1"/>
  <c r="S68"/>
  <c r="W68" s="1"/>
  <c r="S66"/>
  <c r="W66" s="1"/>
  <c r="W62"/>
  <c r="W61"/>
  <c r="W60"/>
  <c r="W59"/>
  <c r="W58"/>
  <c r="W56"/>
  <c r="W55"/>
  <c r="W54"/>
  <c r="W53"/>
  <c r="W52"/>
  <c r="W51"/>
  <c r="W50"/>
  <c r="W49"/>
  <c r="W48"/>
  <c r="W47"/>
  <c r="W44"/>
  <c r="W41"/>
  <c r="W40"/>
  <c r="W39"/>
  <c r="W38"/>
  <c r="W35"/>
  <c r="W34"/>
  <c r="W33"/>
  <c r="W32"/>
  <c r="W31"/>
  <c r="W28"/>
  <c r="BM86" i="13"/>
  <c r="AI86"/>
  <c r="AS86" s="1"/>
  <c r="W86"/>
  <c r="K86"/>
  <c r="E86"/>
  <c r="BM67"/>
  <c r="AI67"/>
  <c r="AS67" s="1"/>
  <c r="W67"/>
  <c r="K67"/>
  <c r="E67"/>
  <c r="BM33"/>
  <c r="AI33"/>
  <c r="AS33" s="1"/>
  <c r="W33"/>
  <c r="K33"/>
  <c r="AY33" s="1"/>
  <c r="E33"/>
  <c r="AI90" i="14"/>
  <c r="AS90" s="1"/>
  <c r="W90"/>
  <c r="K90"/>
  <c r="BM87"/>
  <c r="AI87"/>
  <c r="AS87" s="1"/>
  <c r="W87"/>
  <c r="K87"/>
  <c r="AY87" s="1"/>
  <c r="BM86"/>
  <c r="AI86"/>
  <c r="AS86" s="1"/>
  <c r="W86"/>
  <c r="K86"/>
  <c r="BM82"/>
  <c r="AI82"/>
  <c r="AS82" s="1"/>
  <c r="W82"/>
  <c r="K82"/>
  <c r="BM79"/>
  <c r="AI79"/>
  <c r="AS79" s="1"/>
  <c r="W79"/>
  <c r="K79"/>
  <c r="BM78"/>
  <c r="AI78"/>
  <c r="AS78" s="1"/>
  <c r="W78"/>
  <c r="K78"/>
  <c r="BM77"/>
  <c r="AI77"/>
  <c r="AS77" s="1"/>
  <c r="W77"/>
  <c r="K77"/>
  <c r="BM76"/>
  <c r="AI76"/>
  <c r="AS76" s="1"/>
  <c r="W76"/>
  <c r="K76"/>
  <c r="BM75"/>
  <c r="AI75"/>
  <c r="AS75" s="1"/>
  <c r="W75"/>
  <c r="K75"/>
  <c r="BM74"/>
  <c r="AI74"/>
  <c r="AS74" s="1"/>
  <c r="W74"/>
  <c r="K74"/>
  <c r="BM73"/>
  <c r="AI73"/>
  <c r="AS73" s="1"/>
  <c r="W73"/>
  <c r="K73"/>
  <c r="BM72"/>
  <c r="AI72"/>
  <c r="AS72" s="1"/>
  <c r="W72"/>
  <c r="BM70"/>
  <c r="AI70"/>
  <c r="AS70" s="1"/>
  <c r="W70"/>
  <c r="K70"/>
  <c r="AI69"/>
  <c r="W69"/>
  <c r="K69"/>
  <c r="BM68"/>
  <c r="AI68"/>
  <c r="AS68" s="1"/>
  <c r="W68"/>
  <c r="K68"/>
  <c r="BM67"/>
  <c r="AI67"/>
  <c r="AS67" s="1"/>
  <c r="W67"/>
  <c r="K67"/>
  <c r="AY67" s="1"/>
  <c r="AI66"/>
  <c r="AS66" s="1"/>
  <c r="W66"/>
  <c r="K66"/>
  <c r="AY66" s="1"/>
  <c r="BN91" i="6"/>
  <c r="AJ91"/>
  <c r="AT91" s="1"/>
  <c r="W91"/>
  <c r="K91"/>
  <c r="E91"/>
  <c r="BN89"/>
  <c r="AJ89"/>
  <c r="AT89" s="1"/>
  <c r="W89"/>
  <c r="K89"/>
  <c r="E89"/>
  <c r="BN88"/>
  <c r="AJ88"/>
  <c r="AT88" s="1"/>
  <c r="W88"/>
  <c r="K88"/>
  <c r="E88"/>
  <c r="AJ85"/>
  <c r="AT85" s="1"/>
  <c r="W85"/>
  <c r="K85"/>
  <c r="E85"/>
  <c r="BN81"/>
  <c r="AJ81"/>
  <c r="AT81" s="1"/>
  <c r="W81"/>
  <c r="K81"/>
  <c r="E81"/>
  <c r="BN80"/>
  <c r="AJ80"/>
  <c r="AT80" s="1"/>
  <c r="W80"/>
  <c r="K80"/>
  <c r="E80"/>
  <c r="BN79"/>
  <c r="AJ79"/>
  <c r="AT79" s="1"/>
  <c r="W79"/>
  <c r="K79"/>
  <c r="E79"/>
  <c r="BN78"/>
  <c r="AJ78"/>
  <c r="AT78" s="1"/>
  <c r="W78"/>
  <c r="K78"/>
  <c r="E78"/>
  <c r="BN77"/>
  <c r="AJ77"/>
  <c r="AT77" s="1"/>
  <c r="W77"/>
  <c r="K77"/>
  <c r="E77"/>
  <c r="BN75"/>
  <c r="AJ75"/>
  <c r="AT75" s="1"/>
  <c r="W75"/>
  <c r="K75"/>
  <c r="E75"/>
  <c r="BN74"/>
  <c r="AJ74"/>
  <c r="AT74" s="1"/>
  <c r="W74"/>
  <c r="K74"/>
  <c r="E74"/>
  <c r="BN72"/>
  <c r="AJ72"/>
  <c r="AT72" s="1"/>
  <c r="W72"/>
  <c r="K72"/>
  <c r="E72"/>
  <c r="BN71"/>
  <c r="AJ71"/>
  <c r="AT71" s="1"/>
  <c r="W71"/>
  <c r="K71"/>
  <c r="E71"/>
  <c r="BN70"/>
  <c r="AJ70"/>
  <c r="AT70" s="1"/>
  <c r="W70"/>
  <c r="K70"/>
  <c r="E70"/>
  <c r="BN69"/>
  <c r="AJ69"/>
  <c r="AT69" s="1"/>
  <c r="W69"/>
  <c r="K69"/>
  <c r="E69"/>
  <c r="AJ68"/>
  <c r="AT68" s="1"/>
  <c r="W68"/>
  <c r="K68"/>
  <c r="E68"/>
  <c r="AH91" i="5"/>
  <c r="AH90"/>
  <c r="AH88"/>
  <c r="AH87"/>
  <c r="AH85"/>
  <c r="AH84"/>
  <c r="AH83"/>
  <c r="AH82"/>
  <c r="AH80"/>
  <c r="AH79"/>
  <c r="AH78"/>
  <c r="AH77"/>
  <c r="AH76"/>
  <c r="AH75"/>
  <c r="AH74"/>
  <c r="AH73"/>
  <c r="AH71"/>
  <c r="AH70"/>
  <c r="AH68"/>
  <c r="AH67"/>
  <c r="AH66"/>
  <c r="S91" i="4"/>
  <c r="S90"/>
  <c r="S88"/>
  <c r="S87"/>
  <c r="S85"/>
  <c r="S84"/>
  <c r="S83"/>
  <c r="S82"/>
  <c r="S80"/>
  <c r="S79"/>
  <c r="S78"/>
  <c r="S77"/>
  <c r="S76"/>
  <c r="S75"/>
  <c r="S74"/>
  <c r="S73"/>
  <c r="S71"/>
  <c r="S70"/>
  <c r="S68"/>
  <c r="S67"/>
  <c r="S66"/>
  <c r="AC91" i="2"/>
  <c r="AC90"/>
  <c r="AC88"/>
  <c r="AC87"/>
  <c r="AC85"/>
  <c r="AC84"/>
  <c r="AC83"/>
  <c r="AC82"/>
  <c r="AC80"/>
  <c r="AC79"/>
  <c r="AC78"/>
  <c r="AC77"/>
  <c r="AC76"/>
  <c r="AC75"/>
  <c r="AC74"/>
  <c r="AC73"/>
  <c r="AC71"/>
  <c r="AC70"/>
  <c r="AC68"/>
  <c r="AC67"/>
  <c r="AC66"/>
  <c r="AC12"/>
  <c r="AC11"/>
  <c r="S91" i="1"/>
  <c r="S90"/>
  <c r="S88"/>
  <c r="S87"/>
  <c r="S85"/>
  <c r="S84"/>
  <c r="S83"/>
  <c r="S82"/>
  <c r="S80"/>
  <c r="S79"/>
  <c r="S78"/>
  <c r="S77"/>
  <c r="S76"/>
  <c r="S75"/>
  <c r="S74"/>
  <c r="S73"/>
  <c r="S71"/>
  <c r="S70"/>
  <c r="S68"/>
  <c r="S67"/>
  <c r="S66"/>
  <c r="S91" i="3"/>
  <c r="AR91" i="5" s="1"/>
  <c r="S87" i="3"/>
  <c r="S85"/>
  <c r="S83"/>
  <c r="AR83" i="5" s="1"/>
  <c r="S80" i="3"/>
  <c r="S76"/>
  <c r="AR76" i="5" s="1"/>
  <c r="S73" i="3"/>
  <c r="AR60" i="5"/>
  <c r="AR58"/>
  <c r="AR57"/>
  <c r="AR56"/>
  <c r="U53" i="3"/>
  <c r="AR48" i="5"/>
  <c r="U33" i="3"/>
  <c r="S91" i="7"/>
  <c r="S90"/>
  <c r="S88"/>
  <c r="S87"/>
  <c r="S85"/>
  <c r="U85" s="1"/>
  <c r="S84"/>
  <c r="S83"/>
  <c r="U83" s="1"/>
  <c r="S82"/>
  <c r="S80"/>
  <c r="S79"/>
  <c r="AM79" i="2" s="1"/>
  <c r="S78" i="7"/>
  <c r="V78" s="1"/>
  <c r="S77"/>
  <c r="S76"/>
  <c r="S75"/>
  <c r="S74"/>
  <c r="S73"/>
  <c r="AM73" i="2" s="1"/>
  <c r="S71" i="7"/>
  <c r="AM71" i="2" s="1"/>
  <c r="S70" i="7"/>
  <c r="S68"/>
  <c r="V68" s="1"/>
  <c r="S67"/>
  <c r="S66"/>
  <c r="V66" s="1"/>
  <c r="AM62" i="2"/>
  <c r="AM61"/>
  <c r="V60" i="7"/>
  <c r="U59"/>
  <c r="AM58" i="2"/>
  <c r="AM56"/>
  <c r="AM53"/>
  <c r="U52" i="7"/>
  <c r="U49"/>
  <c r="AM47" i="2"/>
  <c r="U44" i="7"/>
  <c r="AM41" i="2"/>
  <c r="U40" i="7"/>
  <c r="V38"/>
  <c r="AM36" i="2"/>
  <c r="AM35"/>
  <c r="AM34"/>
  <c r="AM31"/>
  <c r="U29" i="7"/>
  <c r="W91" i="8"/>
  <c r="W90"/>
  <c r="W88"/>
  <c r="W87"/>
  <c r="W85"/>
  <c r="W84"/>
  <c r="W83"/>
  <c r="W82"/>
  <c r="W80"/>
  <c r="W79"/>
  <c r="W78"/>
  <c r="W77"/>
  <c r="W76"/>
  <c r="W75"/>
  <c r="W74"/>
  <c r="W73"/>
  <c r="W71"/>
  <c r="W70"/>
  <c r="W68"/>
  <c r="W67"/>
  <c r="W66"/>
  <c r="W17"/>
  <c r="W16"/>
  <c r="W15"/>
  <c r="W14"/>
  <c r="W13"/>
  <c r="W12"/>
  <c r="AA91" i="9"/>
  <c r="AC90"/>
  <c r="AA88"/>
  <c r="AA84"/>
  <c r="AA83"/>
  <c r="AA80"/>
  <c r="AA79"/>
  <c r="AC79"/>
  <c r="AC78"/>
  <c r="AA78"/>
  <c r="AA77"/>
  <c r="AA76"/>
  <c r="AA73"/>
  <c r="AA74"/>
  <c r="AC66"/>
  <c r="Y91" i="10"/>
  <c r="M91"/>
  <c r="E91"/>
  <c r="Y90"/>
  <c r="M90"/>
  <c r="E90"/>
  <c r="Y94"/>
  <c r="M94"/>
  <c r="E94"/>
  <c r="Y88"/>
  <c r="M88"/>
  <c r="E88"/>
  <c r="Y87"/>
  <c r="M87"/>
  <c r="E87"/>
  <c r="Y85"/>
  <c r="M85"/>
  <c r="E85"/>
  <c r="Y84"/>
  <c r="AB84" s="1"/>
  <c r="M84"/>
  <c r="E84"/>
  <c r="Y83"/>
  <c r="M83"/>
  <c r="E83"/>
  <c r="Y82"/>
  <c r="M82"/>
  <c r="E82"/>
  <c r="E81"/>
  <c r="M81"/>
  <c r="Y81"/>
  <c r="AB81" s="1"/>
  <c r="Y80"/>
  <c r="M80"/>
  <c r="E80"/>
  <c r="Y79"/>
  <c r="AA79" i="8" s="1"/>
  <c r="M79" i="10"/>
  <c r="E79"/>
  <c r="Y78"/>
  <c r="M78"/>
  <c r="E78"/>
  <c r="Y77"/>
  <c r="M77"/>
  <c r="E77"/>
  <c r="Y76"/>
  <c r="M76"/>
  <c r="E76"/>
  <c r="Y75"/>
  <c r="M75"/>
  <c r="E75"/>
  <c r="Y74"/>
  <c r="M74"/>
  <c r="E74"/>
  <c r="Y73"/>
  <c r="M73"/>
  <c r="E73"/>
  <c r="Y71"/>
  <c r="M71"/>
  <c r="E71"/>
  <c r="Y70"/>
  <c r="M70"/>
  <c r="E70"/>
  <c r="Y68"/>
  <c r="AA68" i="8" s="1"/>
  <c r="M68" i="10"/>
  <c r="E68"/>
  <c r="Y67"/>
  <c r="M67"/>
  <c r="Y66"/>
  <c r="M66"/>
  <c r="E66"/>
  <c r="E121" i="6"/>
  <c r="K114"/>
  <c r="W114"/>
  <c r="AC110" i="9"/>
  <c r="Y106" i="10"/>
  <c r="AB106" s="1"/>
  <c r="E107" i="6"/>
  <c r="E106"/>
  <c r="E105"/>
  <c r="U159" i="3"/>
  <c r="U154"/>
  <c r="E144" i="6"/>
  <c r="AC142" i="2"/>
  <c r="E138" i="6"/>
  <c r="E254"/>
  <c r="S235" i="3"/>
  <c r="E233" i="6"/>
  <c r="S233" i="4"/>
  <c r="AC233" i="9"/>
  <c r="Y233" i="10"/>
  <c r="AA233" i="8" s="1"/>
  <c r="AA233" i="9"/>
  <c r="E240" i="6"/>
  <c r="AA227" i="9"/>
  <c r="AC227"/>
  <c r="E224" i="6"/>
  <c r="S225" i="4"/>
  <c r="S223"/>
  <c r="S222"/>
  <c r="S222" i="3"/>
  <c r="AC221" i="2"/>
  <c r="E219" i="6"/>
  <c r="Y218" i="10"/>
  <c r="AB218" s="1"/>
  <c r="S218" i="12"/>
  <c r="W218" s="1"/>
  <c r="S217" i="3"/>
  <c r="U217" s="1"/>
  <c r="E214" i="6"/>
  <c r="U181" i="3"/>
  <c r="U180"/>
  <c r="K20" i="14"/>
  <c r="AY20" s="1"/>
  <c r="S14" i="4"/>
  <c r="S12"/>
  <c r="S11" i="7"/>
  <c r="U11" s="1"/>
  <c r="Y11" i="10"/>
  <c r="AA11" i="8" s="1"/>
  <c r="Y255" i="10"/>
  <c r="AA255" i="8" s="1"/>
  <c r="Y254" i="10"/>
  <c r="AA254" i="8" s="1"/>
  <c r="Y253" i="10"/>
  <c r="AA253" i="8" s="1"/>
  <c r="Y252" i="10"/>
  <c r="AA252" i="8" s="1"/>
  <c r="Y251" i="10"/>
  <c r="AA251" i="8" s="1"/>
  <c r="Y250" i="10"/>
  <c r="AA250" i="8" s="1"/>
  <c r="Y249" i="10"/>
  <c r="AA249" i="8" s="1"/>
  <c r="Y248" i="10"/>
  <c r="AA248" i="8" s="1"/>
  <c r="Y247" i="10"/>
  <c r="AA247" i="8" s="1"/>
  <c r="Y246" i="10"/>
  <c r="AA246" i="8" s="1"/>
  <c r="S244" i="1"/>
  <c r="Y245" i="10"/>
  <c r="AA245" i="8" s="1"/>
  <c r="Y244" i="10"/>
  <c r="AA244" i="8" s="1"/>
  <c r="Y243" i="10"/>
  <c r="AA243" i="8" s="1"/>
  <c r="Y242" i="10"/>
  <c r="AA242" i="8" s="1"/>
  <c r="Y241" i="10"/>
  <c r="AA241" i="8" s="1"/>
  <c r="Y238" i="10"/>
  <c r="AA238" i="8" s="1"/>
  <c r="Y237" i="10"/>
  <c r="AA237" i="8" s="1"/>
  <c r="Y236" i="10"/>
  <c r="AA236" i="8" s="1"/>
  <c r="Y240" i="10"/>
  <c r="AA240" i="8" s="1"/>
  <c r="Y234" i="10"/>
  <c r="AA234" i="8" s="1"/>
  <c r="AB233" i="10"/>
  <c r="M233"/>
  <c r="E233"/>
  <c r="S239" i="12"/>
  <c r="W239" s="1"/>
  <c r="BM234" i="14"/>
  <c r="K234"/>
  <c r="AY234" s="1"/>
  <c r="AI234"/>
  <c r="AS234" s="1"/>
  <c r="W234"/>
  <c r="BN238" i="6"/>
  <c r="E238"/>
  <c r="K238"/>
  <c r="AZ238" s="1"/>
  <c r="AJ238"/>
  <c r="AT238" s="1"/>
  <c r="W238"/>
  <c r="AH239" i="5"/>
  <c r="S239" i="3"/>
  <c r="U239" s="1"/>
  <c r="S239" i="4"/>
  <c r="AC239" i="2"/>
  <c r="S239" i="7"/>
  <c r="S239" i="1"/>
  <c r="AC239" i="9"/>
  <c r="W239" i="8"/>
  <c r="Y239" i="10"/>
  <c r="AA239" i="8" s="1"/>
  <c r="AA239" i="9"/>
  <c r="M239" i="10"/>
  <c r="E239"/>
  <c r="S228" i="12"/>
  <c r="W228" s="1"/>
  <c r="K223" i="14"/>
  <c r="AY223" s="1"/>
  <c r="AI223"/>
  <c r="AS223" s="1"/>
  <c r="W223"/>
  <c r="BN227" i="6"/>
  <c r="E227"/>
  <c r="K227"/>
  <c r="AJ227"/>
  <c r="AT227" s="1"/>
  <c r="W227"/>
  <c r="AH228" i="5"/>
  <c r="S228" i="3"/>
  <c r="S228" i="4"/>
  <c r="AC228" i="2"/>
  <c r="S228" i="7"/>
  <c r="S228" i="1"/>
  <c r="AC228" i="9"/>
  <c r="W228" i="8"/>
  <c r="Y228" i="10"/>
  <c r="AA228" i="8" s="1"/>
  <c r="AA228" i="9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8"/>
  <c r="AA237"/>
  <c r="AA236"/>
  <c r="AA235"/>
  <c r="AA234"/>
  <c r="AA232"/>
  <c r="AA231"/>
  <c r="AA230"/>
  <c r="AA229"/>
  <c r="E228" i="10"/>
  <c r="M228"/>
  <c r="S227" i="12"/>
  <c r="W227" s="1"/>
  <c r="K222" i="14"/>
  <c r="AY222" s="1"/>
  <c r="AI222"/>
  <c r="AS222" s="1"/>
  <c r="BM222"/>
  <c r="W222"/>
  <c r="BN226" i="6"/>
  <c r="E226"/>
  <c r="K226"/>
  <c r="AJ226"/>
  <c r="AT226" s="1"/>
  <c r="W226"/>
  <c r="AH227" i="5"/>
  <c r="S227" i="3"/>
  <c r="S227" i="4"/>
  <c r="AC227" i="2"/>
  <c r="S227" i="7"/>
  <c r="S227" i="1"/>
  <c r="V227" i="7"/>
  <c r="W227" i="8"/>
  <c r="Y227" i="10"/>
  <c r="AA227" i="8" s="1"/>
  <c r="M227" i="10"/>
  <c r="E227"/>
  <c r="S225" i="12"/>
  <c r="W225" s="1"/>
  <c r="K220" i="14"/>
  <c r="AY220" s="1"/>
  <c r="AI220"/>
  <c r="AS220" s="1"/>
  <c r="BM220"/>
  <c r="W220"/>
  <c r="BN224" i="6"/>
  <c r="K224"/>
  <c r="AZ224" s="1"/>
  <c r="AJ224"/>
  <c r="AT224" s="1"/>
  <c r="W224"/>
  <c r="AH225" i="5"/>
  <c r="S225" i="3"/>
  <c r="AC225" i="2"/>
  <c r="S225" i="7"/>
  <c r="S225" i="1"/>
  <c r="U225" i="3"/>
  <c r="AC225" i="9"/>
  <c r="W225" i="8"/>
  <c r="Y225" i="10"/>
  <c r="AA225" i="8" s="1"/>
  <c r="AA225" i="9"/>
  <c r="M225" i="10"/>
  <c r="M226"/>
  <c r="M230"/>
  <c r="M231"/>
  <c r="M232"/>
  <c r="M234"/>
  <c r="M235"/>
  <c r="M236"/>
  <c r="M237"/>
  <c r="M238"/>
  <c r="M240"/>
  <c r="M241"/>
  <c r="M242"/>
  <c r="M243"/>
  <c r="M244"/>
  <c r="M245"/>
  <c r="M246"/>
  <c r="M247"/>
  <c r="M248"/>
  <c r="M249"/>
  <c r="M250"/>
  <c r="M251"/>
  <c r="M252"/>
  <c r="M253"/>
  <c r="M254"/>
  <c r="M255"/>
  <c r="E225"/>
  <c r="S223" i="12"/>
  <c r="W223" s="1"/>
  <c r="BM218" i="14"/>
  <c r="K218"/>
  <c r="AY218" s="1"/>
  <c r="AI218"/>
  <c r="AS218" s="1"/>
  <c r="W218"/>
  <c r="AH223" i="5"/>
  <c r="S223" i="3"/>
  <c r="AC223" i="2"/>
  <c r="S223" i="7"/>
  <c r="V223" s="1"/>
  <c r="Y223" i="10"/>
  <c r="AA223" i="8" s="1"/>
  <c r="W223"/>
  <c r="AC223" i="9"/>
  <c r="AA223"/>
  <c r="BN218" i="6"/>
  <c r="K218"/>
  <c r="AJ218"/>
  <c r="AT218" s="1"/>
  <c r="W218"/>
  <c r="U210" i="3"/>
  <c r="Y232" i="10"/>
  <c r="AA232" i="8" s="1"/>
  <c r="Y231" i="10"/>
  <c r="AA231" i="8" s="1"/>
  <c r="Y230" i="10"/>
  <c r="AA230" i="8" s="1"/>
  <c r="Y229" i="10"/>
  <c r="AA229" i="8" s="1"/>
  <c r="Y226" i="10"/>
  <c r="AA226" i="8" s="1"/>
  <c r="Y224" i="10"/>
  <c r="AA224" i="8" s="1"/>
  <c r="Y222" i="10"/>
  <c r="AA222" i="8" s="1"/>
  <c r="Y221" i="10"/>
  <c r="AA221" i="8" s="1"/>
  <c r="Y220" i="10"/>
  <c r="AA220" i="8" s="1"/>
  <c r="Y219" i="10"/>
  <c r="AA219" i="8" s="1"/>
  <c r="Y217" i="10"/>
  <c r="AA217" i="8" s="1"/>
  <c r="Y216" i="10"/>
  <c r="AA216" i="8" s="1"/>
  <c r="Y215" i="10"/>
  <c r="AA215" i="8" s="1"/>
  <c r="AH255" i="5"/>
  <c r="S255" i="3"/>
  <c r="AH254" i="5"/>
  <c r="S254" i="3"/>
  <c r="AH253" i="5"/>
  <c r="S253" i="3"/>
  <c r="AH252" i="5"/>
  <c r="S252" i="3"/>
  <c r="AH251" i="5"/>
  <c r="S251" i="3"/>
  <c r="AH250" i="5"/>
  <c r="S250" i="3"/>
  <c r="AH249" i="5"/>
  <c r="S249" i="3"/>
  <c r="AH248" i="5"/>
  <c r="S248" i="3"/>
  <c r="AH247" i="5"/>
  <c r="S247" i="3"/>
  <c r="AH246" i="5"/>
  <c r="S246" i="3"/>
  <c r="AH245" i="5"/>
  <c r="S245" i="3"/>
  <c r="AH244" i="5"/>
  <c r="S244" i="3"/>
  <c r="AH243" i="5"/>
  <c r="S243" i="3"/>
  <c r="AH242" i="5"/>
  <c r="S242" i="3"/>
  <c r="AH241" i="5"/>
  <c r="S241" i="3"/>
  <c r="AH240" i="5"/>
  <c r="S240" i="3"/>
  <c r="AH238" i="5"/>
  <c r="S238" i="3"/>
  <c r="AH237" i="5"/>
  <c r="S237" i="3"/>
  <c r="AH236" i="5"/>
  <c r="S236" i="3"/>
  <c r="U236" s="1"/>
  <c r="AH235" i="5"/>
  <c r="AH234"/>
  <c r="S234" i="3"/>
  <c r="AH233" i="5"/>
  <c r="S233" i="3"/>
  <c r="AH232" i="5"/>
  <c r="S232" i="3"/>
  <c r="AH231" i="5"/>
  <c r="S231" i="3"/>
  <c r="AH230" i="5"/>
  <c r="S230" i="3"/>
  <c r="AR230" i="5" s="1"/>
  <c r="AH229"/>
  <c r="S229" i="3"/>
  <c r="AH226" i="5"/>
  <c r="S226" i="3"/>
  <c r="S224"/>
  <c r="AH224" i="5"/>
  <c r="S221" i="3"/>
  <c r="AH221" i="5"/>
  <c r="AH222"/>
  <c r="AR222" s="1"/>
  <c r="S220" i="3"/>
  <c r="AH220" i="5"/>
  <c r="S219" i="3"/>
  <c r="U219" s="1"/>
  <c r="AH219" i="5"/>
  <c r="S218" i="3"/>
  <c r="AH218" i="5"/>
  <c r="AH217"/>
  <c r="AR217" s="1"/>
  <c r="S216" i="3"/>
  <c r="AH216" i="5"/>
  <c r="S215" i="3"/>
  <c r="AH215" i="5"/>
  <c r="U205" i="3"/>
  <c r="U204"/>
  <c r="U179"/>
  <c r="AC248" i="2"/>
  <c r="S248" i="7"/>
  <c r="AC247" i="2"/>
  <c r="S247" i="7"/>
  <c r="AC246" i="2"/>
  <c r="S246" i="7"/>
  <c r="AC245" i="2"/>
  <c r="S245" i="7"/>
  <c r="V245" s="1"/>
  <c r="AC244" i="2"/>
  <c r="S244" i="7"/>
  <c r="AC243" i="2"/>
  <c r="S243" i="7"/>
  <c r="AC242" i="2"/>
  <c r="S242" i="7"/>
  <c r="AC241" i="2"/>
  <c r="S241" i="7"/>
  <c r="AC240" i="2"/>
  <c r="S240" i="7"/>
  <c r="V240" s="1"/>
  <c r="AC238" i="2"/>
  <c r="S238" i="7"/>
  <c r="AC237" i="2"/>
  <c r="S237" i="7"/>
  <c r="AC236" i="2"/>
  <c r="S236" i="7"/>
  <c r="AC235" i="2"/>
  <c r="S235" i="7"/>
  <c r="AC234" i="2"/>
  <c r="S234" i="7"/>
  <c r="AC233" i="2"/>
  <c r="S233" i="7"/>
  <c r="AC232" i="2"/>
  <c r="S232" i="7"/>
  <c r="AC231" i="2"/>
  <c r="S231" i="7"/>
  <c r="AC230" i="2"/>
  <c r="S230" i="7"/>
  <c r="AC229" i="2"/>
  <c r="S229" i="7"/>
  <c r="AC226" i="2"/>
  <c r="S226" i="7"/>
  <c r="S224"/>
  <c r="AC224" i="2"/>
  <c r="AM224" s="1"/>
  <c r="S222" i="7"/>
  <c r="AC222" i="2"/>
  <c r="S221" i="7"/>
  <c r="U221" s="1"/>
  <c r="S220"/>
  <c r="AC220" i="2"/>
  <c r="S219" i="7"/>
  <c r="AC219" i="2"/>
  <c r="S218" i="7"/>
  <c r="AC218" i="2"/>
  <c r="S217" i="7"/>
  <c r="AC217" i="2"/>
  <c r="S216" i="7"/>
  <c r="AC216" i="2"/>
  <c r="S215" i="7"/>
  <c r="AC215" i="2"/>
  <c r="W140" i="6"/>
  <c r="Y144" i="10"/>
  <c r="AA144" i="8" s="1"/>
  <c r="Y143" i="10"/>
  <c r="AA143" i="8" s="1"/>
  <c r="Y142" i="10"/>
  <c r="AA142" i="8" s="1"/>
  <c r="Y141" i="10"/>
  <c r="AA141" i="8" s="1"/>
  <c r="Y140" i="10"/>
  <c r="AA140" i="8" s="1"/>
  <c r="Y139" i="10"/>
  <c r="AA139" i="8" s="1"/>
  <c r="Y138" i="10"/>
  <c r="AA138" i="8" s="1"/>
  <c r="Y137" i="10"/>
  <c r="AA137" i="8" s="1"/>
  <c r="AA133" i="9"/>
  <c r="AA121"/>
  <c r="S121" i="3"/>
  <c r="S127"/>
  <c r="S126"/>
  <c r="AH119" i="5"/>
  <c r="S114" i="7"/>
  <c r="U114" s="1"/>
  <c r="Y105" i="10"/>
  <c r="AA105" i="8" s="1"/>
  <c r="AC105" i="9"/>
  <c r="W105" i="8"/>
  <c r="AS104" i="14"/>
  <c r="E99" i="10"/>
  <c r="S98" i="1"/>
  <c r="Y72" i="10"/>
  <c r="AA72" i="8" s="1"/>
  <c r="AC72" i="9"/>
  <c r="W72" i="8"/>
  <c r="Y136" i="10"/>
  <c r="AA136" i="8" s="1"/>
  <c r="Y135" i="10"/>
  <c r="AA135" i="8" s="1"/>
  <c r="Y134" i="10"/>
  <c r="AA134" i="8" s="1"/>
  <c r="Y133" i="10"/>
  <c r="AA133" i="8" s="1"/>
  <c r="Y132" i="10"/>
  <c r="AA132" i="8" s="1"/>
  <c r="Y131" i="10"/>
  <c r="AA131" i="8" s="1"/>
  <c r="Y129" i="10"/>
  <c r="AA129" i="8" s="1"/>
  <c r="Y128" i="10"/>
  <c r="AA128" i="8" s="1"/>
  <c r="Y127" i="10"/>
  <c r="AA127" i="8" s="1"/>
  <c r="Y126" i="10"/>
  <c r="AA126" i="8" s="1"/>
  <c r="Y125" i="10"/>
  <c r="AA125" i="8" s="1"/>
  <c r="Y124" i="10"/>
  <c r="AA124" i="8" s="1"/>
  <c r="Y123" i="10"/>
  <c r="AA123" i="8" s="1"/>
  <c r="Y122" i="10"/>
  <c r="AA122" i="8" s="1"/>
  <c r="Y121" i="10"/>
  <c r="AA121" i="8" s="1"/>
  <c r="Y120" i="10"/>
  <c r="AA120" i="8" s="1"/>
  <c r="Y119" i="10"/>
  <c r="AA119" i="8" s="1"/>
  <c r="Y118" i="10"/>
  <c r="AA118" i="8" s="1"/>
  <c r="Y117" i="10"/>
  <c r="AA117" i="8" s="1"/>
  <c r="Y116" i="10"/>
  <c r="AA116" i="8" s="1"/>
  <c r="Y115" i="10"/>
  <c r="AA115" i="8" s="1"/>
  <c r="Y114" i="10"/>
  <c r="AA114" i="8" s="1"/>
  <c r="Y113" i="10"/>
  <c r="AA113" i="8" s="1"/>
  <c r="Y112" i="10"/>
  <c r="AA112" i="8" s="1"/>
  <c r="Y111" i="10"/>
  <c r="AA111" i="8" s="1"/>
  <c r="Y110" i="10"/>
  <c r="AB110" s="1"/>
  <c r="Y109"/>
  <c r="AA109" i="8" s="1"/>
  <c r="Y108" i="10"/>
  <c r="AA108" i="8" s="1"/>
  <c r="Y107" i="10"/>
  <c r="AA107" i="8" s="1"/>
  <c r="AA106"/>
  <c r="Y104" i="10"/>
  <c r="AA104" i="8" s="1"/>
  <c r="Y103" i="10"/>
  <c r="AA103" i="8" s="1"/>
  <c r="Y102" i="10"/>
  <c r="AA102" i="8" s="1"/>
  <c r="Y101" i="10"/>
  <c r="AA101" i="8" s="1"/>
  <c r="Y100" i="10"/>
  <c r="AA100" i="8" s="1"/>
  <c r="Y99" i="10"/>
  <c r="AA99" i="8" s="1"/>
  <c r="Y98" i="10"/>
  <c r="AA98" i="8" s="1"/>
  <c r="Y97" i="10"/>
  <c r="AA97" i="8" s="1"/>
  <c r="Y96" i="10"/>
  <c r="AA96" i="8" s="1"/>
  <c r="Y95" i="10"/>
  <c r="AA95" i="8" s="1"/>
  <c r="Y93" i="10"/>
  <c r="AA93" i="8" s="1"/>
  <c r="Y92" i="10"/>
  <c r="AA92" i="8" s="1"/>
  <c r="Y89" i="10"/>
  <c r="AA89" i="8" s="1"/>
  <c r="Y86" i="10"/>
  <c r="AA86" i="8" s="1"/>
  <c r="AA81"/>
  <c r="W45" i="12"/>
  <c r="BM45" i="13"/>
  <c r="E45"/>
  <c r="K45"/>
  <c r="AI45"/>
  <c r="AS45" s="1"/>
  <c r="W45"/>
  <c r="U45" i="7"/>
  <c r="AB26" i="10"/>
  <c r="AB24"/>
  <c r="Y23"/>
  <c r="Y22"/>
  <c r="Y21"/>
  <c r="Y20"/>
  <c r="AB20" s="1"/>
  <c r="Y19"/>
  <c r="Y18"/>
  <c r="AB18" s="1"/>
  <c r="Y17"/>
  <c r="AA17" i="8" s="1"/>
  <c r="Y16" i="10"/>
  <c r="AA16" i="8" s="1"/>
  <c r="Y15" i="10"/>
  <c r="AA15" i="8" s="1"/>
  <c r="Y14" i="10"/>
  <c r="AA14" i="8" s="1"/>
  <c r="AA13"/>
  <c r="AA12"/>
  <c r="AH137" i="5"/>
  <c r="AH109"/>
  <c r="AI100" i="14"/>
  <c r="AS100" s="1"/>
  <c r="AJ106" i="6"/>
  <c r="W214"/>
  <c r="W136"/>
  <c r="E116"/>
  <c r="K124"/>
  <c r="K112"/>
  <c r="BN254"/>
  <c r="K254"/>
  <c r="E253"/>
  <c r="BN253"/>
  <c r="K253"/>
  <c r="E252"/>
  <c r="BN252"/>
  <c r="K252"/>
  <c r="E251"/>
  <c r="BN251"/>
  <c r="K251"/>
  <c r="E250"/>
  <c r="BN250"/>
  <c r="K250"/>
  <c r="E249"/>
  <c r="BN249"/>
  <c r="K249"/>
  <c r="E248"/>
  <c r="BN248"/>
  <c r="K248"/>
  <c r="E247"/>
  <c r="BN247"/>
  <c r="K247"/>
  <c r="E246"/>
  <c r="BN246"/>
  <c r="K246"/>
  <c r="E245"/>
  <c r="BN245"/>
  <c r="K245"/>
  <c r="E244"/>
  <c r="BN244"/>
  <c r="K244"/>
  <c r="E243"/>
  <c r="BN243"/>
  <c r="K243"/>
  <c r="E242"/>
  <c r="BN242"/>
  <c r="K242"/>
  <c r="E241"/>
  <c r="BN241"/>
  <c r="K241"/>
  <c r="BN240"/>
  <c r="K240"/>
  <c r="E239"/>
  <c r="BN239"/>
  <c r="K239"/>
  <c r="E237"/>
  <c r="BN237"/>
  <c r="K237"/>
  <c r="E236"/>
  <c r="BN236"/>
  <c r="K236"/>
  <c r="E235"/>
  <c r="BN235"/>
  <c r="K235"/>
  <c r="E234"/>
  <c r="BN234"/>
  <c r="K234"/>
  <c r="BN233"/>
  <c r="K233"/>
  <c r="E232"/>
  <c r="BN232"/>
  <c r="K232"/>
  <c r="BN231"/>
  <c r="K231"/>
  <c r="E230"/>
  <c r="BN230"/>
  <c r="K230"/>
  <c r="E229"/>
  <c r="BN229"/>
  <c r="K229"/>
  <c r="E228"/>
  <c r="BN228"/>
  <c r="K228"/>
  <c r="E225"/>
  <c r="BN225"/>
  <c r="K225"/>
  <c r="E223"/>
  <c r="BN223"/>
  <c r="K223"/>
  <c r="E222"/>
  <c r="BN222"/>
  <c r="K222"/>
  <c r="E221"/>
  <c r="BN221"/>
  <c r="K221"/>
  <c r="E220"/>
  <c r="BN220"/>
  <c r="K220"/>
  <c r="BN219"/>
  <c r="K219"/>
  <c r="BN217"/>
  <c r="BN216"/>
  <c r="E215"/>
  <c r="BN215"/>
  <c r="K215"/>
  <c r="BN214"/>
  <c r="K214"/>
  <c r="BN144"/>
  <c r="K144"/>
  <c r="E143"/>
  <c r="BN143"/>
  <c r="K143"/>
  <c r="E142"/>
  <c r="BN142"/>
  <c r="K142"/>
  <c r="E141"/>
  <c r="BN141"/>
  <c r="K141"/>
  <c r="E140"/>
  <c r="BN140"/>
  <c r="K140"/>
  <c r="E139"/>
  <c r="BN139"/>
  <c r="K139"/>
  <c r="BN138"/>
  <c r="K138"/>
  <c r="E137"/>
  <c r="BN137"/>
  <c r="K137"/>
  <c r="E136"/>
  <c r="BN136"/>
  <c r="K136"/>
  <c r="E135"/>
  <c r="BN135"/>
  <c r="K135"/>
  <c r="BN134"/>
  <c r="K134"/>
  <c r="E133"/>
  <c r="BN133"/>
  <c r="K133"/>
  <c r="E132"/>
  <c r="BN132"/>
  <c r="K132"/>
  <c r="E131"/>
  <c r="BN131"/>
  <c r="K131"/>
  <c r="E130"/>
  <c r="BN130"/>
  <c r="K130"/>
  <c r="E129"/>
  <c r="BN129"/>
  <c r="K129"/>
  <c r="E128"/>
  <c r="BN128"/>
  <c r="K128"/>
  <c r="E127"/>
  <c r="BN127"/>
  <c r="K127"/>
  <c r="E126"/>
  <c r="BN126"/>
  <c r="K126"/>
  <c r="E125"/>
  <c r="BN125"/>
  <c r="K125"/>
  <c r="E124"/>
  <c r="E123"/>
  <c r="BN123"/>
  <c r="K123"/>
  <c r="E122"/>
  <c r="BN122"/>
  <c r="K122"/>
  <c r="BN121"/>
  <c r="K121"/>
  <c r="E120"/>
  <c r="BN120"/>
  <c r="K120"/>
  <c r="E119"/>
  <c r="BN119"/>
  <c r="K119"/>
  <c r="E118"/>
  <c r="BN118"/>
  <c r="K118"/>
  <c r="E117"/>
  <c r="BN117"/>
  <c r="K117"/>
  <c r="BN116"/>
  <c r="K116"/>
  <c r="E115"/>
  <c r="BN115"/>
  <c r="K115"/>
  <c r="E114"/>
  <c r="BN114"/>
  <c r="E113"/>
  <c r="BN113"/>
  <c r="K113"/>
  <c r="E112"/>
  <c r="E111"/>
  <c r="BN111"/>
  <c r="K111"/>
  <c r="E110"/>
  <c r="BN110"/>
  <c r="K110"/>
  <c r="E109"/>
  <c r="BN109"/>
  <c r="K109"/>
  <c r="E108"/>
  <c r="BN108"/>
  <c r="K108"/>
  <c r="BN107"/>
  <c r="K107"/>
  <c r="BN106"/>
  <c r="K106"/>
  <c r="BN105"/>
  <c r="K105"/>
  <c r="E104"/>
  <c r="BN104"/>
  <c r="K104"/>
  <c r="E103"/>
  <c r="BN103"/>
  <c r="K103"/>
  <c r="E102"/>
  <c r="BN102"/>
  <c r="E101"/>
  <c r="BN101"/>
  <c r="K101"/>
  <c r="E100"/>
  <c r="BN100"/>
  <c r="K100"/>
  <c r="E99"/>
  <c r="BN99"/>
  <c r="K99"/>
  <c r="E98"/>
  <c r="BN98"/>
  <c r="K98"/>
  <c r="E97"/>
  <c r="BN97"/>
  <c r="K97"/>
  <c r="E96"/>
  <c r="BN96"/>
  <c r="K96"/>
  <c r="E95"/>
  <c r="BN95"/>
  <c r="K95"/>
  <c r="E93"/>
  <c r="BN93"/>
  <c r="K93"/>
  <c r="E92"/>
  <c r="BN92"/>
  <c r="K92"/>
  <c r="E90"/>
  <c r="BN90"/>
  <c r="K90"/>
  <c r="E87"/>
  <c r="BN87"/>
  <c r="K87"/>
  <c r="AZ87" s="1"/>
  <c r="E86"/>
  <c r="BN86"/>
  <c r="K86"/>
  <c r="E84"/>
  <c r="BN84"/>
  <c r="K84"/>
  <c r="E83"/>
  <c r="BN83"/>
  <c r="K83"/>
  <c r="E82"/>
  <c r="BN82"/>
  <c r="K82"/>
  <c r="E76"/>
  <c r="BN76"/>
  <c r="K76"/>
  <c r="E73"/>
  <c r="BN73"/>
  <c r="K73"/>
  <c r="E67"/>
  <c r="BN67"/>
  <c r="K67"/>
  <c r="E26"/>
  <c r="BN26"/>
  <c r="K26"/>
  <c r="E25"/>
  <c r="K25"/>
  <c r="E24"/>
  <c r="BN24"/>
  <c r="K24"/>
  <c r="E23"/>
  <c r="BN23"/>
  <c r="K23"/>
  <c r="E22"/>
  <c r="K22"/>
  <c r="E21"/>
  <c r="K21"/>
  <c r="E20"/>
  <c r="BN20"/>
  <c r="K20"/>
  <c r="K19"/>
  <c r="E18"/>
  <c r="K18"/>
  <c r="K17"/>
  <c r="E16"/>
  <c r="BN16"/>
  <c r="K16"/>
  <c r="E15"/>
  <c r="K15"/>
  <c r="BN14"/>
  <c r="E13"/>
  <c r="BN13"/>
  <c r="K13"/>
  <c r="E12"/>
  <c r="K12"/>
  <c r="AJ12"/>
  <c r="AT12" s="1"/>
  <c r="AJ13"/>
  <c r="AT13" s="1"/>
  <c r="AJ14"/>
  <c r="AT14" s="1"/>
  <c r="AZ14"/>
  <c r="AJ15"/>
  <c r="AT15" s="1"/>
  <c r="AJ16"/>
  <c r="AT16" s="1"/>
  <c r="AZ16"/>
  <c r="AJ17"/>
  <c r="AT17" s="1"/>
  <c r="AJ18"/>
  <c r="AT18" s="1"/>
  <c r="AJ19"/>
  <c r="AT19" s="1"/>
  <c r="AJ20"/>
  <c r="AT20" s="1"/>
  <c r="AJ21"/>
  <c r="AT21" s="1"/>
  <c r="AJ22"/>
  <c r="AT22" s="1"/>
  <c r="AJ23"/>
  <c r="AT23" s="1"/>
  <c r="AJ24"/>
  <c r="AT24" s="1"/>
  <c r="AZ24"/>
  <c r="AJ25"/>
  <c r="AT25" s="1"/>
  <c r="AJ26"/>
  <c r="AT26" s="1"/>
  <c r="AZ26"/>
  <c r="AJ67"/>
  <c r="AT67" s="1"/>
  <c r="AZ67"/>
  <c r="AJ73"/>
  <c r="AT73" s="1"/>
  <c r="AZ73"/>
  <c r="AJ76"/>
  <c r="AT76" s="1"/>
  <c r="AZ76"/>
  <c r="AJ82"/>
  <c r="AT82" s="1"/>
  <c r="AZ82"/>
  <c r="AJ83"/>
  <c r="AT83" s="1"/>
  <c r="AZ83"/>
  <c r="AJ84"/>
  <c r="AT84" s="1"/>
  <c r="AZ84"/>
  <c r="AJ86"/>
  <c r="AT86" s="1"/>
  <c r="AZ86"/>
  <c r="AJ87"/>
  <c r="AT87" s="1"/>
  <c r="AJ90"/>
  <c r="AT90" s="1"/>
  <c r="AZ90"/>
  <c r="AJ92"/>
  <c r="AT92" s="1"/>
  <c r="AZ92"/>
  <c r="AJ93"/>
  <c r="AT93" s="1"/>
  <c r="AJ95"/>
  <c r="AJ96"/>
  <c r="AT96" s="1"/>
  <c r="AZ96"/>
  <c r="AJ97"/>
  <c r="AT97" s="1"/>
  <c r="AZ97"/>
  <c r="AJ98"/>
  <c r="AT98" s="1"/>
  <c r="AZ98"/>
  <c r="AJ99"/>
  <c r="AT99" s="1"/>
  <c r="AZ99"/>
  <c r="AJ100"/>
  <c r="AT100" s="1"/>
  <c r="AZ100"/>
  <c r="AJ101"/>
  <c r="AT101" s="1"/>
  <c r="AZ101"/>
  <c r="AJ102"/>
  <c r="AT102" s="1"/>
  <c r="AZ102"/>
  <c r="AJ103"/>
  <c r="AT103" s="1"/>
  <c r="AZ103"/>
  <c r="AJ104"/>
  <c r="AT104" s="1"/>
  <c r="AZ104"/>
  <c r="AJ105"/>
  <c r="AT105" s="1"/>
  <c r="AZ105"/>
  <c r="AT106"/>
  <c r="AJ107"/>
  <c r="AT107" s="1"/>
  <c r="AZ107"/>
  <c r="AJ108"/>
  <c r="AT108" s="1"/>
  <c r="AZ108"/>
  <c r="AJ109"/>
  <c r="AT109" s="1"/>
  <c r="AZ109"/>
  <c r="AJ110"/>
  <c r="AT110" s="1"/>
  <c r="AZ110"/>
  <c r="AJ111"/>
  <c r="AT111" s="1"/>
  <c r="AZ111"/>
  <c r="AJ112"/>
  <c r="AT112" s="1"/>
  <c r="AZ112"/>
  <c r="AJ113"/>
  <c r="AT113" s="1"/>
  <c r="AZ113"/>
  <c r="AJ114"/>
  <c r="AT114" s="1"/>
  <c r="AZ114"/>
  <c r="AJ115"/>
  <c r="AT115" s="1"/>
  <c r="AZ115"/>
  <c r="AJ116"/>
  <c r="AT116" s="1"/>
  <c r="AZ116"/>
  <c r="AJ117"/>
  <c r="AT117" s="1"/>
  <c r="AZ117"/>
  <c r="AT118"/>
  <c r="AZ118"/>
  <c r="AJ119"/>
  <c r="AT119" s="1"/>
  <c r="AZ119"/>
  <c r="AJ120"/>
  <c r="AT120" s="1"/>
  <c r="AZ120"/>
  <c r="AJ121"/>
  <c r="AT121" s="1"/>
  <c r="AZ121"/>
  <c r="AJ122"/>
  <c r="AT122" s="1"/>
  <c r="AZ122"/>
  <c r="AJ123"/>
  <c r="AT123" s="1"/>
  <c r="AZ123"/>
  <c r="AJ124"/>
  <c r="AT124" s="1"/>
  <c r="AZ124"/>
  <c r="AJ125"/>
  <c r="AT125" s="1"/>
  <c r="AZ125"/>
  <c r="AJ126"/>
  <c r="AT126" s="1"/>
  <c r="AZ126"/>
  <c r="AJ127"/>
  <c r="AT127" s="1"/>
  <c r="AZ127"/>
  <c r="AJ128"/>
  <c r="AT128" s="1"/>
  <c r="AZ128"/>
  <c r="AJ129"/>
  <c r="AT129" s="1"/>
  <c r="AJ130"/>
  <c r="AT130" s="1"/>
  <c r="AZ130"/>
  <c r="AJ131"/>
  <c r="AT131" s="1"/>
  <c r="AZ131"/>
  <c r="AJ132"/>
  <c r="AT132" s="1"/>
  <c r="AZ132"/>
  <c r="AJ133"/>
  <c r="AT133" s="1"/>
  <c r="AZ133"/>
  <c r="AJ134"/>
  <c r="AT134" s="1"/>
  <c r="AZ134"/>
  <c r="AJ135"/>
  <c r="AT135" s="1"/>
  <c r="AZ135"/>
  <c r="AJ136"/>
  <c r="AT136" s="1"/>
  <c r="AZ136"/>
  <c r="AJ137"/>
  <c r="AT137" s="1"/>
  <c r="AZ137"/>
  <c r="AT138"/>
  <c r="AZ138"/>
  <c r="AJ139"/>
  <c r="AT139" s="1"/>
  <c r="AZ139"/>
  <c r="AJ140"/>
  <c r="AT140" s="1"/>
  <c r="AJ141"/>
  <c r="AT141" s="1"/>
  <c r="AZ141"/>
  <c r="AJ142"/>
  <c r="AT142" s="1"/>
  <c r="AJ143"/>
  <c r="AT143" s="1"/>
  <c r="AZ143"/>
  <c r="AJ144"/>
  <c r="AT144" s="1"/>
  <c r="AZ144"/>
  <c r="AJ214"/>
  <c r="AT214" s="1"/>
  <c r="AZ214"/>
  <c r="AJ215"/>
  <c r="AT215" s="1"/>
  <c r="AZ215"/>
  <c r="AT216"/>
  <c r="AZ216"/>
  <c r="AT217"/>
  <c r="AZ217"/>
  <c r="AJ219"/>
  <c r="AT219" s="1"/>
  <c r="AZ219"/>
  <c r="AJ220"/>
  <c r="AT220" s="1"/>
  <c r="AZ220"/>
  <c r="AJ221"/>
  <c r="AT221" s="1"/>
  <c r="AZ221"/>
  <c r="AJ222"/>
  <c r="AT222" s="1"/>
  <c r="AZ222"/>
  <c r="AT223"/>
  <c r="AZ223"/>
  <c r="AJ225"/>
  <c r="AT225" s="1"/>
  <c r="AZ225"/>
  <c r="AJ228"/>
  <c r="AT228" s="1"/>
  <c r="AZ228"/>
  <c r="AJ229"/>
  <c r="AT229" s="1"/>
  <c r="AJ230"/>
  <c r="AT230" s="1"/>
  <c r="AZ230"/>
  <c r="AJ231"/>
  <c r="AT231" s="1"/>
  <c r="AZ231"/>
  <c r="AJ232"/>
  <c r="AT232" s="1"/>
  <c r="AZ232"/>
  <c r="AJ233"/>
  <c r="AT233" s="1"/>
  <c r="AZ233"/>
  <c r="AJ234"/>
  <c r="AT234" s="1"/>
  <c r="AZ234"/>
  <c r="AJ235"/>
  <c r="AT235" s="1"/>
  <c r="AZ235"/>
  <c r="AJ236"/>
  <c r="AT236" s="1"/>
  <c r="AZ236"/>
  <c r="AJ237"/>
  <c r="AT237" s="1"/>
  <c r="AJ239"/>
  <c r="AT239" s="1"/>
  <c r="AZ239"/>
  <c r="AJ240"/>
  <c r="AT240" s="1"/>
  <c r="AZ240"/>
  <c r="AJ241"/>
  <c r="AT241" s="1"/>
  <c r="AZ241"/>
  <c r="AJ242"/>
  <c r="AT242" s="1"/>
  <c r="AZ242"/>
  <c r="AJ243"/>
  <c r="AT243" s="1"/>
  <c r="AZ243"/>
  <c r="AJ244"/>
  <c r="AT244" s="1"/>
  <c r="AJ245"/>
  <c r="AT245" s="1"/>
  <c r="AZ245"/>
  <c r="AJ246"/>
  <c r="AT246" s="1"/>
  <c r="AZ246"/>
  <c r="AJ247"/>
  <c r="AT247" s="1"/>
  <c r="AZ247"/>
  <c r="AJ248"/>
  <c r="AT248" s="1"/>
  <c r="AZ248"/>
  <c r="AJ249"/>
  <c r="AT249" s="1"/>
  <c r="AZ249"/>
  <c r="AJ250"/>
  <c r="AT250" s="1"/>
  <c r="AZ250"/>
  <c r="AJ251"/>
  <c r="AT251" s="1"/>
  <c r="AZ251"/>
  <c r="AJ252"/>
  <c r="AT252" s="1"/>
  <c r="AZ252"/>
  <c r="AJ253"/>
  <c r="AT253" s="1"/>
  <c r="AZ253"/>
  <c r="AJ254"/>
  <c r="AT254" s="1"/>
  <c r="AZ254"/>
  <c r="AH127" i="5"/>
  <c r="AR127" s="1"/>
  <c r="BM53" i="13"/>
  <c r="AC181" i="8"/>
  <c r="AC177"/>
  <c r="AC171"/>
  <c r="U184" i="3"/>
  <c r="U183"/>
  <c r="U182"/>
  <c r="U178"/>
  <c r="U177"/>
  <c r="U176"/>
  <c r="U175"/>
  <c r="U174"/>
  <c r="U173"/>
  <c r="U172"/>
  <c r="U171"/>
  <c r="U170"/>
  <c r="U169"/>
  <c r="U168"/>
  <c r="U167"/>
  <c r="U166"/>
  <c r="E254" i="10"/>
  <c r="S237" i="4"/>
  <c r="S236"/>
  <c r="S236" i="1"/>
  <c r="S229"/>
  <c r="AA221" i="9"/>
  <c r="U164" i="3"/>
  <c r="S132"/>
  <c r="AA127" i="9"/>
  <c r="S126" i="7"/>
  <c r="U126" s="1"/>
  <c r="W126" i="8"/>
  <c r="AC126" i="9"/>
  <c r="S126" i="12"/>
  <c r="W126" s="1"/>
  <c r="AH126" i="5"/>
  <c r="AR126" s="1"/>
  <c r="AC126" i="2"/>
  <c r="S126" i="4"/>
  <c r="S126" i="1"/>
  <c r="W127" i="8"/>
  <c r="AA126" i="9"/>
  <c r="AB126" i="10"/>
  <c r="M126"/>
  <c r="E126"/>
  <c r="AH124" i="5"/>
  <c r="S120" i="1"/>
  <c r="AC120" i="2"/>
  <c r="AC121"/>
  <c r="W119" i="8"/>
  <c r="S116" i="7"/>
  <c r="S117"/>
  <c r="AC116" i="2"/>
  <c r="AC117"/>
  <c r="AM117" s="1"/>
  <c r="S116" i="1"/>
  <c r="S117"/>
  <c r="S116" i="3"/>
  <c r="S117"/>
  <c r="U117" s="1"/>
  <c r="AH116" i="5"/>
  <c r="AR116" s="1"/>
  <c r="S116" i="4"/>
  <c r="S115" i="1"/>
  <c r="S114" i="12"/>
  <c r="W114" s="1"/>
  <c r="W116" i="6"/>
  <c r="AH114" i="5"/>
  <c r="S114" i="3"/>
  <c r="U114" s="1"/>
  <c r="AC114" i="2"/>
  <c r="AM114" s="1"/>
  <c r="S114" i="4"/>
  <c r="S114" i="1"/>
  <c r="AC114" i="9"/>
  <c r="W114" i="8"/>
  <c r="AA114" i="9"/>
  <c r="AB114" i="10"/>
  <c r="M114"/>
  <c r="E114"/>
  <c r="W111" i="8"/>
  <c r="S10" i="12"/>
  <c r="W10" s="1"/>
  <c r="S13"/>
  <c r="W13" s="1"/>
  <c r="S14"/>
  <c r="W14" s="1"/>
  <c r="S15"/>
  <c r="W15" s="1"/>
  <c r="S16"/>
  <c r="W16" s="1"/>
  <c r="S17"/>
  <c r="W17" s="1"/>
  <c r="S18"/>
  <c r="W18" s="1"/>
  <c r="S19"/>
  <c r="W19" s="1"/>
  <c r="S20"/>
  <c r="W20" s="1"/>
  <c r="S21"/>
  <c r="W21" s="1"/>
  <c r="S22"/>
  <c r="W22" s="1"/>
  <c r="S23"/>
  <c r="W23" s="1"/>
  <c r="W24"/>
  <c r="W25"/>
  <c r="W26"/>
  <c r="W27"/>
  <c r="W30"/>
  <c r="W42"/>
  <c r="W43"/>
  <c r="W46"/>
  <c r="W63"/>
  <c r="W65"/>
  <c r="S72"/>
  <c r="W72" s="1"/>
  <c r="S81"/>
  <c r="W81" s="1"/>
  <c r="S86"/>
  <c r="W86" s="1"/>
  <c r="S89"/>
  <c r="W89" s="1"/>
  <c r="S92"/>
  <c r="W92" s="1"/>
  <c r="S93"/>
  <c r="W93" s="1"/>
  <c r="S94"/>
  <c r="W94" s="1"/>
  <c r="S95"/>
  <c r="W95" s="1"/>
  <c r="S96"/>
  <c r="W96" s="1"/>
  <c r="S97"/>
  <c r="W97" s="1"/>
  <c r="S98"/>
  <c r="W98" s="1"/>
  <c r="S99"/>
  <c r="W99" s="1"/>
  <c r="S100"/>
  <c r="W100" s="1"/>
  <c r="S101"/>
  <c r="W101" s="1"/>
  <c r="S102"/>
  <c r="W102" s="1"/>
  <c r="S103"/>
  <c r="W103" s="1"/>
  <c r="S104"/>
  <c r="W104" s="1"/>
  <c r="S105"/>
  <c r="W105" s="1"/>
  <c r="S106"/>
  <c r="W106" s="1"/>
  <c r="S107"/>
  <c r="W107" s="1"/>
  <c r="S108"/>
  <c r="W108" s="1"/>
  <c r="S109"/>
  <c r="W109" s="1"/>
  <c r="S110"/>
  <c r="W110" s="1"/>
  <c r="S111"/>
  <c r="W111" s="1"/>
  <c r="S112"/>
  <c r="W112" s="1"/>
  <c r="S113"/>
  <c r="W113" s="1"/>
  <c r="S115"/>
  <c r="W115" s="1"/>
  <c r="S116"/>
  <c r="W116" s="1"/>
  <c r="S117"/>
  <c r="W117" s="1"/>
  <c r="S118"/>
  <c r="W118" s="1"/>
  <c r="S119"/>
  <c r="W119" s="1"/>
  <c r="S120"/>
  <c r="W120" s="1"/>
  <c r="S121"/>
  <c r="W121" s="1"/>
  <c r="S122"/>
  <c r="W122" s="1"/>
  <c r="S123"/>
  <c r="W123" s="1"/>
  <c r="S124"/>
  <c r="W124" s="1"/>
  <c r="S125"/>
  <c r="W125" s="1"/>
  <c r="S127"/>
  <c r="W127" s="1"/>
  <c r="S128"/>
  <c r="W128" s="1"/>
  <c r="S129"/>
  <c r="W129" s="1"/>
  <c r="S131"/>
  <c r="W131" s="1"/>
  <c r="S132"/>
  <c r="W132" s="1"/>
  <c r="S133"/>
  <c r="W133" s="1"/>
  <c r="S134"/>
  <c r="W134" s="1"/>
  <c r="S135"/>
  <c r="W135" s="1"/>
  <c r="S136"/>
  <c r="W136" s="1"/>
  <c r="S137"/>
  <c r="W137" s="1"/>
  <c r="S138"/>
  <c r="W138" s="1"/>
  <c r="S139"/>
  <c r="W139" s="1"/>
  <c r="S140"/>
  <c r="W140" s="1"/>
  <c r="S141"/>
  <c r="W141" s="1"/>
  <c r="S142"/>
  <c r="W142" s="1"/>
  <c r="S143"/>
  <c r="W143" s="1"/>
  <c r="S144"/>
  <c r="W144" s="1"/>
  <c r="S215"/>
  <c r="W215" s="1"/>
  <c r="S216"/>
  <c r="W216" s="1"/>
  <c r="S217"/>
  <c r="W217" s="1"/>
  <c r="S219"/>
  <c r="W219" s="1"/>
  <c r="S220"/>
  <c r="W220" s="1"/>
  <c r="S221"/>
  <c r="W221" s="1"/>
  <c r="S222"/>
  <c r="W222" s="1"/>
  <c r="S224"/>
  <c r="W224" s="1"/>
  <c r="S226"/>
  <c r="W226" s="1"/>
  <c r="S230"/>
  <c r="W230" s="1"/>
  <c r="S231"/>
  <c r="W231" s="1"/>
  <c r="S232"/>
  <c r="W232" s="1"/>
  <c r="S233"/>
  <c r="W233" s="1"/>
  <c r="S234"/>
  <c r="W234" s="1"/>
  <c r="S235"/>
  <c r="W235" s="1"/>
  <c r="S236"/>
  <c r="W236" s="1"/>
  <c r="S237"/>
  <c r="W237" s="1"/>
  <c r="S238"/>
  <c r="W238" s="1"/>
  <c r="S240"/>
  <c r="W240" s="1"/>
  <c r="S241"/>
  <c r="W241" s="1"/>
  <c r="S242"/>
  <c r="W242" s="1"/>
  <c r="S243"/>
  <c r="W243" s="1"/>
  <c r="S244"/>
  <c r="W244" s="1"/>
  <c r="S245"/>
  <c r="W245" s="1"/>
  <c r="S246"/>
  <c r="W246" s="1"/>
  <c r="S247"/>
  <c r="W247" s="1"/>
  <c r="S248"/>
  <c r="W248" s="1"/>
  <c r="S249"/>
  <c r="W249" s="1"/>
  <c r="S250"/>
  <c r="W250" s="1"/>
  <c r="S251"/>
  <c r="W251" s="1"/>
  <c r="S252"/>
  <c r="W252" s="1"/>
  <c r="S253"/>
  <c r="W253" s="1"/>
  <c r="S254"/>
  <c r="W254" s="1"/>
  <c r="S255"/>
  <c r="W255" s="1"/>
  <c r="E66" i="13"/>
  <c r="BM66"/>
  <c r="K66"/>
  <c r="W66"/>
  <c r="AI66"/>
  <c r="AS66" s="1"/>
  <c r="E113"/>
  <c r="BM113"/>
  <c r="W113"/>
  <c r="AI113"/>
  <c r="AS113" s="1"/>
  <c r="E14"/>
  <c r="BM14"/>
  <c r="M14" s="1"/>
  <c r="K14" s="1"/>
  <c r="W14"/>
  <c r="AI14"/>
  <c r="AS14" s="1"/>
  <c r="E15"/>
  <c r="BM15"/>
  <c r="M15" s="1"/>
  <c r="K15" s="1"/>
  <c r="W15"/>
  <c r="AS15"/>
  <c r="E88"/>
  <c r="BM88"/>
  <c r="K88"/>
  <c r="W88"/>
  <c r="AI88"/>
  <c r="AS88" s="1"/>
  <c r="E16"/>
  <c r="BM16"/>
  <c r="M16" s="1"/>
  <c r="K16" s="1"/>
  <c r="W16"/>
  <c r="AS16"/>
  <c r="E13"/>
  <c r="BM13"/>
  <c r="K13" s="1"/>
  <c r="W13"/>
  <c r="AI13"/>
  <c r="AS13" s="1"/>
  <c r="E125"/>
  <c r="BM125"/>
  <c r="W125"/>
  <c r="AI125"/>
  <c r="AS125"/>
  <c r="E77"/>
  <c r="BM77"/>
  <c r="K77"/>
  <c r="W77"/>
  <c r="AS77"/>
  <c r="E94"/>
  <c r="BM94"/>
  <c r="K94"/>
  <c r="AY94" s="1"/>
  <c r="W94"/>
  <c r="AI94"/>
  <c r="AS94" s="1"/>
  <c r="E136"/>
  <c r="BM136"/>
  <c r="AY136"/>
  <c r="W136"/>
  <c r="AI136"/>
  <c r="AS136" s="1"/>
  <c r="E138"/>
  <c r="BM138"/>
  <c r="AY138"/>
  <c r="W138"/>
  <c r="AI138"/>
  <c r="AS138" s="1"/>
  <c r="E137"/>
  <c r="BM137"/>
  <c r="W137"/>
  <c r="AI137"/>
  <c r="AS137" s="1"/>
  <c r="E241"/>
  <c r="AY241" s="1"/>
  <c r="BM241"/>
  <c r="K241"/>
  <c r="W241"/>
  <c r="AI241"/>
  <c r="AS241" s="1"/>
  <c r="E69"/>
  <c r="BM69"/>
  <c r="K69"/>
  <c r="W69"/>
  <c r="AI69"/>
  <c r="AS69" s="1"/>
  <c r="E70"/>
  <c r="BM70"/>
  <c r="K70"/>
  <c r="W70"/>
  <c r="AI70"/>
  <c r="AS70" s="1"/>
  <c r="E40"/>
  <c r="BM40"/>
  <c r="K40"/>
  <c r="W40"/>
  <c r="AI40"/>
  <c r="AS40" s="1"/>
  <c r="AY40"/>
  <c r="E21"/>
  <c r="BM21"/>
  <c r="M21" s="1"/>
  <c r="K21" s="1"/>
  <c r="W21"/>
  <c r="AI21"/>
  <c r="AS21" s="1"/>
  <c r="E22"/>
  <c r="BM22"/>
  <c r="M22" s="1"/>
  <c r="K22" s="1"/>
  <c r="AY22" s="1"/>
  <c r="W22"/>
  <c r="AI22"/>
  <c r="AS22" s="1"/>
  <c r="E24"/>
  <c r="BM24"/>
  <c r="M24" s="1"/>
  <c r="K24" s="1"/>
  <c r="W24"/>
  <c r="AI24"/>
  <c r="AS24" s="1"/>
  <c r="E25"/>
  <c r="BM25"/>
  <c r="M25" s="1"/>
  <c r="K25" s="1"/>
  <c r="W25"/>
  <c r="AI25"/>
  <c r="AS25" s="1"/>
  <c r="E30"/>
  <c r="BM30"/>
  <c r="M30" s="1"/>
  <c r="K30" s="1"/>
  <c r="W30"/>
  <c r="AI30"/>
  <c r="AS30" s="1"/>
  <c r="E34"/>
  <c r="BM34"/>
  <c r="M34" s="1"/>
  <c r="K34" s="1"/>
  <c r="AY34" s="1"/>
  <c r="AI34"/>
  <c r="AS34" s="1"/>
  <c r="E35"/>
  <c r="BM35"/>
  <c r="M35" s="1"/>
  <c r="K35" s="1"/>
  <c r="W35"/>
  <c r="AI35"/>
  <c r="E36"/>
  <c r="BM36"/>
  <c r="M36" s="1"/>
  <c r="K36" s="1"/>
  <c r="W36"/>
  <c r="AI36"/>
  <c r="AS36" s="1"/>
  <c r="E37"/>
  <c r="BM37"/>
  <c r="M37" s="1"/>
  <c r="K37" s="1"/>
  <c r="W37"/>
  <c r="AI37"/>
  <c r="E54"/>
  <c r="BM54"/>
  <c r="K54"/>
  <c r="W54"/>
  <c r="AI54"/>
  <c r="AS54" s="1"/>
  <c r="AY54"/>
  <c r="E75"/>
  <c r="BM75"/>
  <c r="K75"/>
  <c r="W75"/>
  <c r="AI75"/>
  <c r="AS75" s="1"/>
  <c r="AY75"/>
  <c r="E79"/>
  <c r="BM79"/>
  <c r="K79"/>
  <c r="W79"/>
  <c r="AI79"/>
  <c r="AS79" s="1"/>
  <c r="AY79"/>
  <c r="E87"/>
  <c r="BM87"/>
  <c r="K87"/>
  <c r="W87"/>
  <c r="AI87"/>
  <c r="AS87" s="1"/>
  <c r="AY87"/>
  <c r="E97"/>
  <c r="BM97"/>
  <c r="K97"/>
  <c r="AY97" s="1"/>
  <c r="W97"/>
  <c r="AI97"/>
  <c r="AS97" s="1"/>
  <c r="E104"/>
  <c r="BM104"/>
  <c r="K104"/>
  <c r="W104"/>
  <c r="AS104"/>
  <c r="E110"/>
  <c r="BM110"/>
  <c r="K110"/>
  <c r="W110"/>
  <c r="AI110"/>
  <c r="AS110" s="1"/>
  <c r="E119"/>
  <c r="BM119"/>
  <c r="W119"/>
  <c r="AI119"/>
  <c r="AS119" s="1"/>
  <c r="E122"/>
  <c r="BM122"/>
  <c r="W122"/>
  <c r="AI122"/>
  <c r="AS122" s="1"/>
  <c r="E130"/>
  <c r="BM130"/>
  <c r="W130"/>
  <c r="AS130"/>
  <c r="E135"/>
  <c r="BM135"/>
  <c r="W135"/>
  <c r="AI135"/>
  <c r="AS135" s="1"/>
  <c r="E92"/>
  <c r="BM92"/>
  <c r="K92"/>
  <c r="W92"/>
  <c r="AI92"/>
  <c r="AS92" s="1"/>
  <c r="E64"/>
  <c r="BM64"/>
  <c r="K64"/>
  <c r="W64"/>
  <c r="AI64"/>
  <c r="AS64"/>
  <c r="E65"/>
  <c r="BM65"/>
  <c r="K65"/>
  <c r="W65"/>
  <c r="AS65"/>
  <c r="E103"/>
  <c r="BM103"/>
  <c r="K103"/>
  <c r="W103"/>
  <c r="AI103"/>
  <c r="AS103" s="1"/>
  <c r="E111"/>
  <c r="BM111"/>
  <c r="K111"/>
  <c r="W111"/>
  <c r="AI111"/>
  <c r="AS111" s="1"/>
  <c r="E31"/>
  <c r="BM31"/>
  <c r="M31" s="1"/>
  <c r="K31" s="1"/>
  <c r="W31"/>
  <c r="AI31"/>
  <c r="AS31" s="1"/>
  <c r="E53"/>
  <c r="K53"/>
  <c r="W53"/>
  <c r="AI53"/>
  <c r="AS53"/>
  <c r="E68"/>
  <c r="BM68"/>
  <c r="K68"/>
  <c r="AY68" s="1"/>
  <c r="W68"/>
  <c r="AI68"/>
  <c r="AS68" s="1"/>
  <c r="E85"/>
  <c r="BM85"/>
  <c r="K85"/>
  <c r="W85"/>
  <c r="AS85"/>
  <c r="E90"/>
  <c r="BM90"/>
  <c r="K90"/>
  <c r="W90"/>
  <c r="AI90"/>
  <c r="AS90" s="1"/>
  <c r="E93"/>
  <c r="BM93"/>
  <c r="K93"/>
  <c r="AY93" s="1"/>
  <c r="W93"/>
  <c r="AI93"/>
  <c r="AS93" s="1"/>
  <c r="E98"/>
  <c r="BM98"/>
  <c r="K98"/>
  <c r="W98"/>
  <c r="AI98"/>
  <c r="AS98" s="1"/>
  <c r="E243"/>
  <c r="BM243"/>
  <c r="K243"/>
  <c r="W243"/>
  <c r="AI243"/>
  <c r="AS243" s="1"/>
  <c r="AY243"/>
  <c r="E48"/>
  <c r="BM48"/>
  <c r="K48"/>
  <c r="AY48" s="1"/>
  <c r="W48"/>
  <c r="AI48"/>
  <c r="AS48" s="1"/>
  <c r="E23"/>
  <c r="BM23"/>
  <c r="M23" s="1"/>
  <c r="K23" s="1"/>
  <c r="AY23" s="1"/>
  <c r="W23"/>
  <c r="AI23"/>
  <c r="AS23" s="1"/>
  <c r="E26"/>
  <c r="BM26"/>
  <c r="M26" s="1"/>
  <c r="K26" s="1"/>
  <c r="W26"/>
  <c r="AI26"/>
  <c r="AS26" s="1"/>
  <c r="E76"/>
  <c r="BM76"/>
  <c r="K76"/>
  <c r="AY76" s="1"/>
  <c r="W76"/>
  <c r="AI76"/>
  <c r="AS76" s="1"/>
  <c r="E245"/>
  <c r="AY245" s="1"/>
  <c r="BM245"/>
  <c r="K245"/>
  <c r="W245"/>
  <c r="AI245"/>
  <c r="AS245" s="1"/>
  <c r="E108"/>
  <c r="BM108"/>
  <c r="K108"/>
  <c r="AY108" s="1"/>
  <c r="W108"/>
  <c r="AI108"/>
  <c r="AS108" s="1"/>
  <c r="E41"/>
  <c r="BM41"/>
  <c r="K41"/>
  <c r="AY41" s="1"/>
  <c r="W41"/>
  <c r="AI41"/>
  <c r="AS41" s="1"/>
  <c r="E32"/>
  <c r="M32"/>
  <c r="K32" s="1"/>
  <c r="W32"/>
  <c r="AS32"/>
  <c r="E49"/>
  <c r="BM49"/>
  <c r="K49"/>
  <c r="AY49" s="1"/>
  <c r="W49"/>
  <c r="AI49"/>
  <c r="AS49" s="1"/>
  <c r="E51"/>
  <c r="BM51"/>
  <c r="K51"/>
  <c r="AY51" s="1"/>
  <c r="W51"/>
  <c r="AI51"/>
  <c r="AS51" s="1"/>
  <c r="E63"/>
  <c r="BM63"/>
  <c r="K63"/>
  <c r="W63"/>
  <c r="AI63"/>
  <c r="AS63" s="1"/>
  <c r="E81"/>
  <c r="BM81"/>
  <c r="K81"/>
  <c r="W81"/>
  <c r="AI81"/>
  <c r="AS81" s="1"/>
  <c r="E95"/>
  <c r="BM95"/>
  <c r="K95"/>
  <c r="W95"/>
  <c r="AI95"/>
  <c r="AS95" s="1"/>
  <c r="E118"/>
  <c r="BM118"/>
  <c r="W118"/>
  <c r="AS118"/>
  <c r="E139"/>
  <c r="BM139"/>
  <c r="W139"/>
  <c r="AI139"/>
  <c r="AS139" s="1"/>
  <c r="E141"/>
  <c r="BM141"/>
  <c r="W141"/>
  <c r="AI141"/>
  <c r="AS141" s="1"/>
  <c r="E244"/>
  <c r="BM244"/>
  <c r="K244"/>
  <c r="W244"/>
  <c r="AS244"/>
  <c r="E80"/>
  <c r="BM80"/>
  <c r="K80"/>
  <c r="AY80" s="1"/>
  <c r="W80"/>
  <c r="AI80"/>
  <c r="AS80" s="1"/>
  <c r="E99"/>
  <c r="BM99"/>
  <c r="K99"/>
  <c r="W99"/>
  <c r="AI99"/>
  <c r="AS99" s="1"/>
  <c r="E114"/>
  <c r="BM114"/>
  <c r="W114"/>
  <c r="AI114"/>
  <c r="AS114" s="1"/>
  <c r="E28"/>
  <c r="M28"/>
  <c r="K28" s="1"/>
  <c r="W28"/>
  <c r="AI28"/>
  <c r="E106"/>
  <c r="BM106"/>
  <c r="K106"/>
  <c r="W106"/>
  <c r="AI106"/>
  <c r="AS106" s="1"/>
  <c r="E142"/>
  <c r="W142"/>
  <c r="AI142"/>
  <c r="AS142" s="1"/>
  <c r="E71"/>
  <c r="BM71"/>
  <c r="K71"/>
  <c r="W71"/>
  <c r="AI71"/>
  <c r="AS71" s="1"/>
  <c r="E132"/>
  <c r="BM132"/>
  <c r="W132"/>
  <c r="AI132"/>
  <c r="AS132" s="1"/>
  <c r="E133"/>
  <c r="BM133"/>
  <c r="W133"/>
  <c r="AI133"/>
  <c r="AS133" s="1"/>
  <c r="E105"/>
  <c r="BM105"/>
  <c r="K105"/>
  <c r="W105"/>
  <c r="AI105"/>
  <c r="AS105" s="1"/>
  <c r="E96"/>
  <c r="BM96"/>
  <c r="K96"/>
  <c r="W96"/>
  <c r="AI96"/>
  <c r="AS96" s="1"/>
  <c r="E27"/>
  <c r="BM27"/>
  <c r="M27" s="1"/>
  <c r="K27" s="1"/>
  <c r="W27"/>
  <c r="AI27"/>
  <c r="AS27" s="1"/>
  <c r="E18"/>
  <c r="BM18"/>
  <c r="M18" s="1"/>
  <c r="K18" s="1"/>
  <c r="W18"/>
  <c r="AI18"/>
  <c r="E19"/>
  <c r="BM19"/>
  <c r="M19" s="1"/>
  <c r="K19" s="1"/>
  <c r="W19"/>
  <c r="AI19"/>
  <c r="AS19" s="1"/>
  <c r="E73"/>
  <c r="BM73"/>
  <c r="K73"/>
  <c r="AI73"/>
  <c r="AS73" s="1"/>
  <c r="E116"/>
  <c r="BM116"/>
  <c r="W116"/>
  <c r="AI116"/>
  <c r="AS116" s="1"/>
  <c r="E129"/>
  <c r="BM129"/>
  <c r="W129"/>
  <c r="AI129"/>
  <c r="AS129" s="1"/>
  <c r="E115"/>
  <c r="BM115"/>
  <c r="W115"/>
  <c r="AI115"/>
  <c r="AS115" s="1"/>
  <c r="E43"/>
  <c r="BM43"/>
  <c r="K43"/>
  <c r="W43"/>
  <c r="AI43"/>
  <c r="AS43" s="1"/>
  <c r="E246"/>
  <c r="BM246"/>
  <c r="K246"/>
  <c r="W246"/>
  <c r="AI246"/>
  <c r="AS246" s="1"/>
  <c r="AY246"/>
  <c r="E124"/>
  <c r="BM124"/>
  <c r="W124"/>
  <c r="AI124"/>
  <c r="AS124"/>
  <c r="E38"/>
  <c r="BM38"/>
  <c r="M38"/>
  <c r="K38" s="1"/>
  <c r="AY38" s="1"/>
  <c r="W38"/>
  <c r="AI38"/>
  <c r="AS38" s="1"/>
  <c r="E131"/>
  <c r="BM131"/>
  <c r="W131"/>
  <c r="AI131"/>
  <c r="AS131" s="1"/>
  <c r="E100"/>
  <c r="BM100"/>
  <c r="K100"/>
  <c r="W100"/>
  <c r="AI100"/>
  <c r="AS100" s="1"/>
  <c r="E102"/>
  <c r="BM102"/>
  <c r="K102"/>
  <c r="W102"/>
  <c r="AI102"/>
  <c r="AS102" s="1"/>
  <c r="E47"/>
  <c r="BM47"/>
  <c r="K47"/>
  <c r="W47"/>
  <c r="AI47"/>
  <c r="AS47" s="1"/>
  <c r="E52"/>
  <c r="BM52"/>
  <c r="K52"/>
  <c r="W52"/>
  <c r="AS52"/>
  <c r="E62"/>
  <c r="BM62"/>
  <c r="K62"/>
  <c r="W62"/>
  <c r="AI62"/>
  <c r="AS62" s="1"/>
  <c r="E74"/>
  <c r="BM74"/>
  <c r="K74"/>
  <c r="W74"/>
  <c r="AI74"/>
  <c r="AS74" s="1"/>
  <c r="E101"/>
  <c r="BM101"/>
  <c r="K101"/>
  <c r="W101"/>
  <c r="AI101"/>
  <c r="AS101" s="1"/>
  <c r="E109"/>
  <c r="BM109"/>
  <c r="K109"/>
  <c r="W109"/>
  <c r="AI109"/>
  <c r="E134"/>
  <c r="BM134"/>
  <c r="W134"/>
  <c r="AI134"/>
  <c r="AS134" s="1"/>
  <c r="E140"/>
  <c r="BM140"/>
  <c r="W140"/>
  <c r="AI140"/>
  <c r="AS140" s="1"/>
  <c r="E247"/>
  <c r="BM247"/>
  <c r="K247"/>
  <c r="W247"/>
  <c r="AI247"/>
  <c r="AS247" s="1"/>
  <c r="E17"/>
  <c r="BM17"/>
  <c r="M17" s="1"/>
  <c r="K17" s="1"/>
  <c r="W17"/>
  <c r="AI17"/>
  <c r="AS17" s="1"/>
  <c r="E107"/>
  <c r="BM107"/>
  <c r="K107"/>
  <c r="W107"/>
  <c r="AS107"/>
  <c r="E72"/>
  <c r="BM72"/>
  <c r="K72"/>
  <c r="W72"/>
  <c r="AI72"/>
  <c r="AS72" s="1"/>
  <c r="E121"/>
  <c r="BM121"/>
  <c r="W121"/>
  <c r="AI121"/>
  <c r="AS121" s="1"/>
  <c r="E112"/>
  <c r="BM112"/>
  <c r="AY112"/>
  <c r="W112"/>
  <c r="AI112"/>
  <c r="AS112" s="1"/>
  <c r="E50"/>
  <c r="BM50"/>
  <c r="K50"/>
  <c r="W50"/>
  <c r="AI50"/>
  <c r="AS50" s="1"/>
  <c r="E84"/>
  <c r="BM84"/>
  <c r="K84"/>
  <c r="W84"/>
  <c r="AI84"/>
  <c r="AS84" s="1"/>
  <c r="E82"/>
  <c r="BM82"/>
  <c r="K82"/>
  <c r="W82"/>
  <c r="AI82"/>
  <c r="AS82" s="1"/>
  <c r="E12"/>
  <c r="BM12"/>
  <c r="M12" s="1"/>
  <c r="K12" s="1"/>
  <c r="AY12" s="1"/>
  <c r="W12"/>
  <c r="E42"/>
  <c r="BM42"/>
  <c r="K42"/>
  <c r="AY42" s="1"/>
  <c r="W42"/>
  <c r="AI42"/>
  <c r="AS42" s="1"/>
  <c r="E44"/>
  <c r="BM44"/>
  <c r="K44"/>
  <c r="W44"/>
  <c r="AI44"/>
  <c r="AS44" s="1"/>
  <c r="E117"/>
  <c r="BM117"/>
  <c r="W117"/>
  <c r="AI117"/>
  <c r="AS117" s="1"/>
  <c r="E128"/>
  <c r="BM128"/>
  <c r="W128"/>
  <c r="AI128"/>
  <c r="AS128" s="1"/>
  <c r="E11"/>
  <c r="BM11"/>
  <c r="M11" s="1"/>
  <c r="K11" s="1"/>
  <c r="W11"/>
  <c r="AI11"/>
  <c r="AS11"/>
  <c r="E20"/>
  <c r="BM20"/>
  <c r="M20" s="1"/>
  <c r="K20" s="1"/>
  <c r="W20"/>
  <c r="AI20"/>
  <c r="AS20" s="1"/>
  <c r="E78"/>
  <c r="BM78"/>
  <c r="K78"/>
  <c r="W78"/>
  <c r="AI78"/>
  <c r="AS78" s="1"/>
  <c r="E91"/>
  <c r="BM91"/>
  <c r="K91"/>
  <c r="W91"/>
  <c r="AI91"/>
  <c r="AS91" s="1"/>
  <c r="E120"/>
  <c r="BM120"/>
  <c r="W120"/>
  <c r="AI120"/>
  <c r="AS120"/>
  <c r="E143"/>
  <c r="BM143"/>
  <c r="AY143"/>
  <c r="W143"/>
  <c r="AI143"/>
  <c r="AS143" s="1"/>
  <c r="E89"/>
  <c r="BM89"/>
  <c r="K89"/>
  <c r="W89"/>
  <c r="AI89"/>
  <c r="AS89" s="1"/>
  <c r="E126"/>
  <c r="BM126"/>
  <c r="W126"/>
  <c r="AI126"/>
  <c r="AS126" s="1"/>
  <c r="E83"/>
  <c r="BM83"/>
  <c r="K83"/>
  <c r="W83"/>
  <c r="AI83"/>
  <c r="AS83" s="1"/>
  <c r="E127"/>
  <c r="BM127"/>
  <c r="W127"/>
  <c r="AI127"/>
  <c r="AS127" s="1"/>
  <c r="E29"/>
  <c r="BM29"/>
  <c r="M29" s="1"/>
  <c r="K29" s="1"/>
  <c r="W29"/>
  <c r="AI29"/>
  <c r="AS29" s="1"/>
  <c r="E123"/>
  <c r="BM123"/>
  <c r="W123"/>
  <c r="AI123"/>
  <c r="AS123" s="1"/>
  <c r="E242"/>
  <c r="AY242" s="1"/>
  <c r="BM242"/>
  <c r="K242"/>
  <c r="W242"/>
  <c r="AI242"/>
  <c r="AS242" s="1"/>
  <c r="E10" i="14"/>
  <c r="K10"/>
  <c r="W10"/>
  <c r="AI10"/>
  <c r="AS10" s="1"/>
  <c r="BM10"/>
  <c r="BM11"/>
  <c r="W11"/>
  <c r="AI11"/>
  <c r="AS11" s="1"/>
  <c r="BM12"/>
  <c r="K12"/>
  <c r="AY12" s="1"/>
  <c r="W12"/>
  <c r="AI12"/>
  <c r="AS12" s="1"/>
  <c r="K13"/>
  <c r="W13"/>
  <c r="AI13"/>
  <c r="AS13" s="1"/>
  <c r="BM13"/>
  <c r="W14"/>
  <c r="AI14"/>
  <c r="AS14" s="1"/>
  <c r="BM14"/>
  <c r="K15"/>
  <c r="W15"/>
  <c r="AI15"/>
  <c r="AS15" s="1"/>
  <c r="BM15"/>
  <c r="K16"/>
  <c r="W16"/>
  <c r="AI16"/>
  <c r="AS16" s="1"/>
  <c r="BM16"/>
  <c r="W17"/>
  <c r="AI17"/>
  <c r="AS17" s="1"/>
  <c r="BM17"/>
  <c r="BM18"/>
  <c r="AY18"/>
  <c r="W18"/>
  <c r="AI18"/>
  <c r="AS18" s="1"/>
  <c r="K19"/>
  <c r="W19"/>
  <c r="AI19"/>
  <c r="AS19" s="1"/>
  <c r="W20"/>
  <c r="AI20"/>
  <c r="AS20" s="1"/>
  <c r="BM20"/>
  <c r="BM21"/>
  <c r="K21"/>
  <c r="AY21" s="1"/>
  <c r="W21"/>
  <c r="AI21"/>
  <c r="AS21" s="1"/>
  <c r="BM22"/>
  <c r="K22"/>
  <c r="W22"/>
  <c r="AI22"/>
  <c r="AS22" s="1"/>
  <c r="K54"/>
  <c r="W54"/>
  <c r="AI54"/>
  <c r="AS54" s="1"/>
  <c r="BM54"/>
  <c r="K55"/>
  <c r="AI55"/>
  <c r="AS55" s="1"/>
  <c r="BM55"/>
  <c r="K65"/>
  <c r="W65"/>
  <c r="AI65"/>
  <c r="AS65" s="1"/>
  <c r="BM65"/>
  <c r="K71"/>
  <c r="AY71" s="1"/>
  <c r="W71"/>
  <c r="AI71"/>
  <c r="AS71" s="1"/>
  <c r="BM71"/>
  <c r="K80"/>
  <c r="AY80" s="1"/>
  <c r="W80"/>
  <c r="AI80"/>
  <c r="AS80" s="1"/>
  <c r="BM80"/>
  <c r="BM81"/>
  <c r="K81"/>
  <c r="W81"/>
  <c r="AI81"/>
  <c r="AS81" s="1"/>
  <c r="K83"/>
  <c r="W83"/>
  <c r="AI83"/>
  <c r="AS83" s="1"/>
  <c r="BM83"/>
  <c r="K84"/>
  <c r="W84"/>
  <c r="AI84"/>
  <c r="AS84" s="1"/>
  <c r="BM84"/>
  <c r="K85"/>
  <c r="W85"/>
  <c r="AI85"/>
  <c r="AS85" s="1"/>
  <c r="BM85"/>
  <c r="K89"/>
  <c r="AY89" s="1"/>
  <c r="W89"/>
  <c r="AI89"/>
  <c r="AS89" s="1"/>
  <c r="BM89"/>
  <c r="K91"/>
  <c r="W91"/>
  <c r="AI91"/>
  <c r="AS91" s="1"/>
  <c r="BM91"/>
  <c r="K92"/>
  <c r="AY92" s="1"/>
  <c r="W92"/>
  <c r="AI92"/>
  <c r="AS92" s="1"/>
  <c r="BM92"/>
  <c r="K93"/>
  <c r="W93"/>
  <c r="AI93"/>
  <c r="AS93" s="1"/>
  <c r="BM93"/>
  <c r="K94"/>
  <c r="W94"/>
  <c r="AI94"/>
  <c r="AS94" s="1"/>
  <c r="BM94"/>
  <c r="K95"/>
  <c r="W95"/>
  <c r="AI95"/>
  <c r="AS95" s="1"/>
  <c r="BM95"/>
  <c r="K96"/>
  <c r="W96"/>
  <c r="AI96"/>
  <c r="AS96" s="1"/>
  <c r="BM96"/>
  <c r="K97"/>
  <c r="W97"/>
  <c r="AI97"/>
  <c r="AS97" s="1"/>
  <c r="BM97"/>
  <c r="K98"/>
  <c r="AY98" s="1"/>
  <c r="W98"/>
  <c r="AI98"/>
  <c r="AS98" s="1"/>
  <c r="BM98"/>
  <c r="K99"/>
  <c r="AY99" s="1"/>
  <c r="W99"/>
  <c r="AI99"/>
  <c r="AS99" s="1"/>
  <c r="BM99"/>
  <c r="K100"/>
  <c r="W100"/>
  <c r="BM100"/>
  <c r="K101"/>
  <c r="AY101" s="1"/>
  <c r="W101"/>
  <c r="AI101"/>
  <c r="AS101" s="1"/>
  <c r="BM101"/>
  <c r="K102"/>
  <c r="W102"/>
  <c r="AI102"/>
  <c r="AS102" s="1"/>
  <c r="BM102"/>
  <c r="K103"/>
  <c r="AY103" s="1"/>
  <c r="W103"/>
  <c r="AI103"/>
  <c r="AS103" s="1"/>
  <c r="BM103"/>
  <c r="K104"/>
  <c r="AY104" s="1"/>
  <c r="W104"/>
  <c r="BM104"/>
  <c r="K105"/>
  <c r="AY105" s="1"/>
  <c r="W105"/>
  <c r="AI105"/>
  <c r="AS105" s="1"/>
  <c r="BM105"/>
  <c r="K107"/>
  <c r="W107"/>
  <c r="AI107"/>
  <c r="AS107" s="1"/>
  <c r="BM107"/>
  <c r="K108"/>
  <c r="W108"/>
  <c r="AI108"/>
  <c r="AS108" s="1"/>
  <c r="BM108"/>
  <c r="K109"/>
  <c r="AY109" s="1"/>
  <c r="W109"/>
  <c r="AI109"/>
  <c r="AS109" s="1"/>
  <c r="BM109"/>
  <c r="K110"/>
  <c r="AY110" s="1"/>
  <c r="W110"/>
  <c r="AI110"/>
  <c r="AS110" s="1"/>
  <c r="BM110"/>
  <c r="K111"/>
  <c r="AY111" s="1"/>
  <c r="W111"/>
  <c r="AI111"/>
  <c r="AS111" s="1"/>
  <c r="BM111"/>
  <c r="K112"/>
  <c r="W112"/>
  <c r="AI112"/>
  <c r="AS112" s="1"/>
  <c r="BM112"/>
  <c r="K113"/>
  <c r="AY113" s="1"/>
  <c r="W113"/>
  <c r="AI113"/>
  <c r="AS113" s="1"/>
  <c r="BM113"/>
  <c r="K114"/>
  <c r="AY114" s="1"/>
  <c r="AI114"/>
  <c r="AS114" s="1"/>
  <c r="BM114"/>
  <c r="K115"/>
  <c r="W115"/>
  <c r="AI115"/>
  <c r="AS115" s="1"/>
  <c r="BM115"/>
  <c r="K116"/>
  <c r="W116"/>
  <c r="AI116"/>
  <c r="AS116" s="1"/>
  <c r="BM116"/>
  <c r="K117"/>
  <c r="AY117" s="1"/>
  <c r="W117"/>
  <c r="AI117"/>
  <c r="AS117" s="1"/>
  <c r="BM117"/>
  <c r="K118"/>
  <c r="AY118" s="1"/>
  <c r="W118"/>
  <c r="AI118"/>
  <c r="AS118" s="1"/>
  <c r="BM118"/>
  <c r="K119"/>
  <c r="W119"/>
  <c r="AI119"/>
  <c r="AS119" s="1"/>
  <c r="BM119"/>
  <c r="K120"/>
  <c r="W120"/>
  <c r="AI120"/>
  <c r="AS120" s="1"/>
  <c r="BM120"/>
  <c r="K121"/>
  <c r="W121"/>
  <c r="AI121"/>
  <c r="AS121" s="1"/>
  <c r="BM121"/>
  <c r="K122"/>
  <c r="W122"/>
  <c r="AI122"/>
  <c r="AS122" s="1"/>
  <c r="BM122"/>
  <c r="K123"/>
  <c r="W123"/>
  <c r="AI123"/>
  <c r="AS123" s="1"/>
  <c r="BM123"/>
  <c r="K124"/>
  <c r="W124"/>
  <c r="AI124"/>
  <c r="AS124" s="1"/>
  <c r="BM124"/>
  <c r="K125"/>
  <c r="W125"/>
  <c r="AI125"/>
  <c r="AS125" s="1"/>
  <c r="BM125"/>
  <c r="K126"/>
  <c r="W126"/>
  <c r="AI126"/>
  <c r="AS126" s="1"/>
  <c r="BM126"/>
  <c r="K127"/>
  <c r="W127"/>
  <c r="AI127"/>
  <c r="AS127" s="1"/>
  <c r="BM127"/>
  <c r="K128"/>
  <c r="AY128" s="1"/>
  <c r="W128"/>
  <c r="AI128"/>
  <c r="AS128" s="1"/>
  <c r="BM128"/>
  <c r="K129"/>
  <c r="W129"/>
  <c r="AI129"/>
  <c r="AS129" s="1"/>
  <c r="BM129"/>
  <c r="K130"/>
  <c r="AY130" s="1"/>
  <c r="W130"/>
  <c r="AI130"/>
  <c r="AS130" s="1"/>
  <c r="BM130"/>
  <c r="K131"/>
  <c r="W131"/>
  <c r="AI131"/>
  <c r="AS131" s="1"/>
  <c r="BM131"/>
  <c r="K132"/>
  <c r="W132"/>
  <c r="AI132"/>
  <c r="AS132" s="1"/>
  <c r="BM132"/>
  <c r="K133"/>
  <c r="W133"/>
  <c r="AI133"/>
  <c r="AS133" s="1"/>
  <c r="BM133"/>
  <c r="K134"/>
  <c r="W134"/>
  <c r="AI134"/>
  <c r="AS134" s="1"/>
  <c r="BM134"/>
  <c r="K135"/>
  <c r="W135"/>
  <c r="AI135"/>
  <c r="AS135" s="1"/>
  <c r="BM135"/>
  <c r="K136"/>
  <c r="W136"/>
  <c r="AI136"/>
  <c r="AS136" s="1"/>
  <c r="BM136"/>
  <c r="K137"/>
  <c r="W137"/>
  <c r="AI137"/>
  <c r="AS137" s="1"/>
  <c r="BM137"/>
  <c r="K138"/>
  <c r="W138"/>
  <c r="AI138"/>
  <c r="AS138" s="1"/>
  <c r="BM138"/>
  <c r="K139"/>
  <c r="AY139" s="1"/>
  <c r="W139"/>
  <c r="AI139"/>
  <c r="AS139" s="1"/>
  <c r="BM139"/>
  <c r="K140"/>
  <c r="AY140" s="1"/>
  <c r="W140"/>
  <c r="AI140"/>
  <c r="AS140" s="1"/>
  <c r="BM140"/>
  <c r="K141"/>
  <c r="W141"/>
  <c r="AI141"/>
  <c r="AS141" s="1"/>
  <c r="BM141"/>
  <c r="W210"/>
  <c r="AI210"/>
  <c r="AS210" s="1"/>
  <c r="BM210"/>
  <c r="K211"/>
  <c r="W211"/>
  <c r="AI211"/>
  <c r="AS211" s="1"/>
  <c r="BM211"/>
  <c r="K212"/>
  <c r="AY212" s="1"/>
  <c r="W212"/>
  <c r="AI212"/>
  <c r="AS212" s="1"/>
  <c r="BM212"/>
  <c r="K213"/>
  <c r="AY213" s="1"/>
  <c r="W213"/>
  <c r="AI213"/>
  <c r="AS213" s="1"/>
  <c r="BM213"/>
  <c r="W214"/>
  <c r="AI214"/>
  <c r="AS214" s="1"/>
  <c r="BM214"/>
  <c r="K215"/>
  <c r="W215"/>
  <c r="AI215"/>
  <c r="AS215" s="1"/>
  <c r="BM215"/>
  <c r="K216"/>
  <c r="W216"/>
  <c r="AI216"/>
  <c r="AS216" s="1"/>
  <c r="BM216"/>
  <c r="K217"/>
  <c r="W217"/>
  <c r="AI217"/>
  <c r="AS217" s="1"/>
  <c r="BM217"/>
  <c r="K219"/>
  <c r="W219"/>
  <c r="AI219"/>
  <c r="AS219" s="1"/>
  <c r="BM219"/>
  <c r="K221"/>
  <c r="W221"/>
  <c r="AI221"/>
  <c r="AS221" s="1"/>
  <c r="BM221"/>
  <c r="BM223"/>
  <c r="K224"/>
  <c r="AY224" s="1"/>
  <c r="W224"/>
  <c r="AI224"/>
  <c r="AS224" s="1"/>
  <c r="BM224"/>
  <c r="K225"/>
  <c r="AY225" s="1"/>
  <c r="W225"/>
  <c r="AI225"/>
  <c r="AS225" s="1"/>
  <c r="BM225"/>
  <c r="K226"/>
  <c r="W226"/>
  <c r="AI226"/>
  <c r="AS226" s="1"/>
  <c r="K227"/>
  <c r="W227"/>
  <c r="AI227"/>
  <c r="AS227" s="1"/>
  <c r="BM227"/>
  <c r="K228"/>
  <c r="W228"/>
  <c r="AI228"/>
  <c r="AS228" s="1"/>
  <c r="BM228"/>
  <c r="K229"/>
  <c r="W229"/>
  <c r="AI229"/>
  <c r="AS229" s="1"/>
  <c r="BM229"/>
  <c r="K230"/>
  <c r="W230"/>
  <c r="AI230"/>
  <c r="AS230" s="1"/>
  <c r="BM230"/>
  <c r="K231"/>
  <c r="W231"/>
  <c r="AI231"/>
  <c r="AS231" s="1"/>
  <c r="BM231"/>
  <c r="K232"/>
  <c r="AY232" s="1"/>
  <c r="W232"/>
  <c r="AI232"/>
  <c r="AS232" s="1"/>
  <c r="BM232"/>
  <c r="K233"/>
  <c r="AY233" s="1"/>
  <c r="W233"/>
  <c r="AI233"/>
  <c r="AS233" s="1"/>
  <c r="BM233"/>
  <c r="K235"/>
  <c r="W235"/>
  <c r="AI235"/>
  <c r="AS235" s="1"/>
  <c r="BM235"/>
  <c r="K236"/>
  <c r="AY236" s="1"/>
  <c r="W236"/>
  <c r="AI236"/>
  <c r="AS236" s="1"/>
  <c r="BM236"/>
  <c r="K237"/>
  <c r="W237"/>
  <c r="AI237"/>
  <c r="AS237" s="1"/>
  <c r="BM237"/>
  <c r="K238"/>
  <c r="W238"/>
  <c r="AI238"/>
  <c r="AS238" s="1"/>
  <c r="BM238"/>
  <c r="K239"/>
  <c r="W239"/>
  <c r="AI239"/>
  <c r="AS239" s="1"/>
  <c r="BM239"/>
  <c r="K240"/>
  <c r="AY240" s="1"/>
  <c r="W240"/>
  <c r="AI240"/>
  <c r="AS240" s="1"/>
  <c r="BM240"/>
  <c r="K241"/>
  <c r="AY241" s="1"/>
  <c r="W241"/>
  <c r="AI241"/>
  <c r="AS241" s="1"/>
  <c r="BM241"/>
  <c r="K242"/>
  <c r="W242"/>
  <c r="AI242"/>
  <c r="AS242" s="1"/>
  <c r="BM242"/>
  <c r="K243"/>
  <c r="W243"/>
  <c r="AI243"/>
  <c r="AS243" s="1"/>
  <c r="BM243"/>
  <c r="K244"/>
  <c r="W244"/>
  <c r="AI244"/>
  <c r="AS244" s="1"/>
  <c r="BM244"/>
  <c r="K245"/>
  <c r="W245"/>
  <c r="AI245"/>
  <c r="AS245" s="1"/>
  <c r="BM245"/>
  <c r="K246"/>
  <c r="W246"/>
  <c r="AI246"/>
  <c r="AS246" s="1"/>
  <c r="BM246"/>
  <c r="K247"/>
  <c r="AY247" s="1"/>
  <c r="W247"/>
  <c r="AI247"/>
  <c r="AS247" s="1"/>
  <c r="BM247"/>
  <c r="K248"/>
  <c r="AY248" s="1"/>
  <c r="W248"/>
  <c r="AI248"/>
  <c r="AS248" s="1"/>
  <c r="BM248"/>
  <c r="K249"/>
  <c r="AY249" s="1"/>
  <c r="W249"/>
  <c r="AI249"/>
  <c r="AS249" s="1"/>
  <c r="BM249"/>
  <c r="W12" i="6"/>
  <c r="BN12"/>
  <c r="W13"/>
  <c r="W14"/>
  <c r="W15"/>
  <c r="BN15"/>
  <c r="W16"/>
  <c r="W17"/>
  <c r="BN17"/>
  <c r="W18"/>
  <c r="BN18"/>
  <c r="W19"/>
  <c r="BN19"/>
  <c r="W20"/>
  <c r="W21"/>
  <c r="BN21"/>
  <c r="W22"/>
  <c r="BN22"/>
  <c r="W23"/>
  <c r="W24"/>
  <c r="W25"/>
  <c r="BN25"/>
  <c r="W26"/>
  <c r="W67"/>
  <c r="W73"/>
  <c r="W76"/>
  <c r="W82"/>
  <c r="W83"/>
  <c r="W84"/>
  <c r="W86"/>
  <c r="W87"/>
  <c r="W90"/>
  <c r="W92"/>
  <c r="W93"/>
  <c r="W95"/>
  <c r="W96"/>
  <c r="W97"/>
  <c r="W98"/>
  <c r="W99"/>
  <c r="W100"/>
  <c r="W101"/>
  <c r="W102"/>
  <c r="W103"/>
  <c r="W104"/>
  <c r="W105"/>
  <c r="W106"/>
  <c r="W107"/>
  <c r="W108"/>
  <c r="W109"/>
  <c r="W110"/>
  <c r="W111"/>
  <c r="BN112"/>
  <c r="W112"/>
  <c r="W113"/>
  <c r="W115"/>
  <c r="W117"/>
  <c r="W118"/>
  <c r="W119"/>
  <c r="W120"/>
  <c r="W121"/>
  <c r="W122"/>
  <c r="W123"/>
  <c r="BN124"/>
  <c r="W124"/>
  <c r="W125"/>
  <c r="W126"/>
  <c r="W127"/>
  <c r="W128"/>
  <c r="W129"/>
  <c r="W130"/>
  <c r="W131"/>
  <c r="W132"/>
  <c r="W133"/>
  <c r="W134"/>
  <c r="W135"/>
  <c r="W137"/>
  <c r="W138"/>
  <c r="W139"/>
  <c r="W141"/>
  <c r="W142"/>
  <c r="W143"/>
  <c r="W144"/>
  <c r="W215"/>
  <c r="W216"/>
  <c r="W217"/>
  <c r="W219"/>
  <c r="W220"/>
  <c r="W221"/>
  <c r="W222"/>
  <c r="W223"/>
  <c r="W225"/>
  <c r="W228"/>
  <c r="W229"/>
  <c r="W230"/>
  <c r="W231"/>
  <c r="W232"/>
  <c r="W233"/>
  <c r="W234"/>
  <c r="W235"/>
  <c r="W236"/>
  <c r="W237"/>
  <c r="W239"/>
  <c r="W240"/>
  <c r="W241"/>
  <c r="W242"/>
  <c r="W243"/>
  <c r="W244"/>
  <c r="W245"/>
  <c r="W246"/>
  <c r="W247"/>
  <c r="W248"/>
  <c r="W249"/>
  <c r="W251"/>
  <c r="W252"/>
  <c r="W253"/>
  <c r="W254"/>
  <c r="AH10" i="5"/>
  <c r="S10" i="3"/>
  <c r="AH11" i="5"/>
  <c r="S11" i="3"/>
  <c r="AH12" i="5"/>
  <c r="S12" i="3"/>
  <c r="AH13" i="5"/>
  <c r="S13" i="3"/>
  <c r="AH14" i="5"/>
  <c r="S14" i="3"/>
  <c r="AH15" i="5"/>
  <c r="S15" i="3"/>
  <c r="AH16" i="5"/>
  <c r="S16" i="3"/>
  <c r="AH17" i="5"/>
  <c r="S17" i="3"/>
  <c r="U17" s="1"/>
  <c r="AH18" i="5"/>
  <c r="S18" i="3"/>
  <c r="AH19" i="5"/>
  <c r="AH20"/>
  <c r="S20" i="3"/>
  <c r="AH21" i="5"/>
  <c r="AR21" s="1"/>
  <c r="S21" i="3"/>
  <c r="AH22" i="5"/>
  <c r="S22" i="3"/>
  <c r="AH23" i="5"/>
  <c r="S23" i="3"/>
  <c r="AR25" i="5"/>
  <c r="AH72"/>
  <c r="S72" i="3"/>
  <c r="AH81" i="5"/>
  <c r="S81" i="3"/>
  <c r="AH86" i="5"/>
  <c r="S86" i="3"/>
  <c r="AH89" i="5"/>
  <c r="S89" i="3"/>
  <c r="AH92" i="5"/>
  <c r="S92" i="3"/>
  <c r="AH93" i="5"/>
  <c r="S93" i="3"/>
  <c r="AH94" i="5"/>
  <c r="S94" i="3"/>
  <c r="AH95" i="5"/>
  <c r="S95" i="3"/>
  <c r="AH96" i="5"/>
  <c r="S96" i="3"/>
  <c r="AH97" i="5"/>
  <c r="S97" i="3"/>
  <c r="U97" s="1"/>
  <c r="AH98" i="5"/>
  <c r="S98" i="3"/>
  <c r="AH99" i="5"/>
  <c r="S99" i="3"/>
  <c r="AH100" i="5"/>
  <c r="S100" i="3"/>
  <c r="U100" s="1"/>
  <c r="AH101" i="5"/>
  <c r="S101" i="3"/>
  <c r="AH102" i="5"/>
  <c r="S102" i="3"/>
  <c r="AH103" i="5"/>
  <c r="S103" i="3"/>
  <c r="AH104" i="5"/>
  <c r="S104" i="3"/>
  <c r="U104" s="1"/>
  <c r="AH105" i="5"/>
  <c r="S105" i="3"/>
  <c r="AH106" i="5"/>
  <c r="S106" i="3"/>
  <c r="U106" s="1"/>
  <c r="AH107" i="5"/>
  <c r="S107" i="3"/>
  <c r="AH108" i="5"/>
  <c r="S108" i="3"/>
  <c r="U108" s="1"/>
  <c r="S109"/>
  <c r="AR109" i="5" s="1"/>
  <c r="AH110"/>
  <c r="S110" i="3"/>
  <c r="U110" s="1"/>
  <c r="AH111" i="5"/>
  <c r="S111" i="3"/>
  <c r="AH112" i="5"/>
  <c r="S112" i="3"/>
  <c r="U112" s="1"/>
  <c r="AH113" i="5"/>
  <c r="S113" i="3"/>
  <c r="AH115" i="5"/>
  <c r="S115" i="3"/>
  <c r="AH117" i="5"/>
  <c r="AR117" s="1"/>
  <c r="AH118"/>
  <c r="S118" i="3"/>
  <c r="S119"/>
  <c r="AR119" i="5" s="1"/>
  <c r="AH120"/>
  <c r="S120" i="3"/>
  <c r="U120" s="1"/>
  <c r="AH121" i="5"/>
  <c r="AR121" s="1"/>
  <c r="AH122"/>
  <c r="S122" i="3"/>
  <c r="U122" s="1"/>
  <c r="AH123" i="5"/>
  <c r="S124" i="3"/>
  <c r="AH125" i="5"/>
  <c r="S125" i="3"/>
  <c r="AH128" i="5"/>
  <c r="S128" i="3"/>
  <c r="AH129" i="5"/>
  <c r="S129" i="3"/>
  <c r="AH131" i="5"/>
  <c r="S131" i="3"/>
  <c r="AH132" i="5"/>
  <c r="AR132" s="1"/>
  <c r="AH133"/>
  <c r="S133" i="3"/>
  <c r="AH134" i="5"/>
  <c r="S134" i="3"/>
  <c r="AH135" i="5"/>
  <c r="S135" i="3"/>
  <c r="U135" s="1"/>
  <c r="AH136" i="5"/>
  <c r="S136" i="3"/>
  <c r="S137"/>
  <c r="AR137" i="5" s="1"/>
  <c r="AH138"/>
  <c r="S138" i="3"/>
  <c r="AH139" i="5"/>
  <c r="S139" i="3"/>
  <c r="AH140" i="5"/>
  <c r="S140" i="3"/>
  <c r="S141"/>
  <c r="U141" s="1"/>
  <c r="AH142" i="5"/>
  <c r="S142" i="3"/>
  <c r="AH143" i="5"/>
  <c r="S143" i="3"/>
  <c r="U143" s="1"/>
  <c r="AH144" i="5"/>
  <c r="U160" i="3"/>
  <c r="AC10" i="2"/>
  <c r="S10" i="7"/>
  <c r="S12"/>
  <c r="AM12" i="2" s="1"/>
  <c r="AC13"/>
  <c r="S13" i="7"/>
  <c r="AC14" i="2"/>
  <c r="S14" i="7"/>
  <c r="AC15" i="2"/>
  <c r="S15" i="7"/>
  <c r="AC16" i="2"/>
  <c r="S16" i="7"/>
  <c r="AC17" i="2"/>
  <c r="S17" i="7"/>
  <c r="AC18" i="2"/>
  <c r="S18" i="7"/>
  <c r="AC19" i="2"/>
  <c r="S19" i="7"/>
  <c r="AC20" i="2"/>
  <c r="S20" i="7"/>
  <c r="AC21" i="2"/>
  <c r="S21" i="7"/>
  <c r="AC22" i="2"/>
  <c r="S22" i="7"/>
  <c r="AC23" i="2"/>
  <c r="S23" i="7"/>
  <c r="U63"/>
  <c r="AC72" i="2"/>
  <c r="S72" i="7"/>
  <c r="AC81" i="2"/>
  <c r="S81" i="7"/>
  <c r="AC86" i="2"/>
  <c r="S86" i="7"/>
  <c r="AC89" i="2"/>
  <c r="S89" i="7"/>
  <c r="AC92" i="2"/>
  <c r="S92" i="7"/>
  <c r="AC93" i="2"/>
  <c r="AM93" s="1"/>
  <c r="S93" i="7"/>
  <c r="AC94" i="2"/>
  <c r="S94" i="7"/>
  <c r="AC95" i="2"/>
  <c r="S95" i="7"/>
  <c r="V95" s="1"/>
  <c r="AC96" i="2"/>
  <c r="S96" i="7"/>
  <c r="AC97" i="2"/>
  <c r="S97" i="7"/>
  <c r="AC98" i="2"/>
  <c r="S98" i="7"/>
  <c r="AC99" i="2"/>
  <c r="S99" i="7"/>
  <c r="AC100" i="2"/>
  <c r="S100" i="7"/>
  <c r="AC101" i="2"/>
  <c r="S101" i="7"/>
  <c r="AC102" i="2"/>
  <c r="S102" i="7"/>
  <c r="AC103" i="2"/>
  <c r="S103" i="7"/>
  <c r="AC104" i="2"/>
  <c r="S104" i="7"/>
  <c r="AC105" i="2"/>
  <c r="S105" i="7"/>
  <c r="AC106" i="2"/>
  <c r="S106" i="7"/>
  <c r="U106" s="1"/>
  <c r="AC107" i="2"/>
  <c r="S107" i="7"/>
  <c r="U107" s="1"/>
  <c r="AC108" i="2"/>
  <c r="S108" i="7"/>
  <c r="U108" s="1"/>
  <c r="AC109" i="2"/>
  <c r="S109" i="7"/>
  <c r="V109" s="1"/>
  <c r="AC110" i="2"/>
  <c r="S110" i="7"/>
  <c r="AC111" i="2"/>
  <c r="S111" i="7"/>
  <c r="V111" s="1"/>
  <c r="AC112" i="2"/>
  <c r="S112" i="7"/>
  <c r="U112" s="1"/>
  <c r="AC113" i="2"/>
  <c r="S113" i="7"/>
  <c r="U113" s="1"/>
  <c r="AC115" i="2"/>
  <c r="S115" i="7"/>
  <c r="U115" s="1"/>
  <c r="AM116" i="2"/>
  <c r="AC118"/>
  <c r="S118" i="7"/>
  <c r="AC119" i="2"/>
  <c r="S119" i="7"/>
  <c r="S120"/>
  <c r="AM120" i="2" s="1"/>
  <c r="S121" i="7"/>
  <c r="AM121" i="2" s="1"/>
  <c r="AC122"/>
  <c r="S122" i="7"/>
  <c r="U122" s="1"/>
  <c r="AC123" i="2"/>
  <c r="AC124"/>
  <c r="S124" i="7"/>
  <c r="AC125" i="2"/>
  <c r="S125" i="7"/>
  <c r="AC127" i="2"/>
  <c r="S127" i="7"/>
  <c r="AC128" i="2"/>
  <c r="S128" i="7"/>
  <c r="AC129" i="2"/>
  <c r="S129" i="7"/>
  <c r="AC131" i="2"/>
  <c r="S131" i="7"/>
  <c r="AC132" i="2"/>
  <c r="S132" i="7"/>
  <c r="AC133" i="2"/>
  <c r="S133" i="7"/>
  <c r="AC134" i="2"/>
  <c r="S134" i="7"/>
  <c r="U134" s="1"/>
  <c r="AC135" i="2"/>
  <c r="S135" i="7"/>
  <c r="V135" s="1"/>
  <c r="AC136" i="2"/>
  <c r="S136" i="7"/>
  <c r="V136" s="1"/>
  <c r="AC137" i="2"/>
  <c r="S137" i="7"/>
  <c r="U137" s="1"/>
  <c r="AC138" i="2"/>
  <c r="S138" i="7"/>
  <c r="U138" s="1"/>
  <c r="AC139" i="2"/>
  <c r="S139" i="7"/>
  <c r="U139" s="1"/>
  <c r="AC140" i="2"/>
  <c r="S140" i="7"/>
  <c r="V140" s="1"/>
  <c r="AC141" i="2"/>
  <c r="S141" i="7"/>
  <c r="S142"/>
  <c r="AM142" i="2" s="1"/>
  <c r="AC143"/>
  <c r="S143" i="7"/>
  <c r="V143" s="1"/>
  <c r="AC144" i="2"/>
  <c r="S144" i="7"/>
  <c r="U144" s="1"/>
  <c r="AC249" i="2"/>
  <c r="S249" i="7"/>
  <c r="AC250" i="2"/>
  <c r="S250" i="7"/>
  <c r="AC251" i="2"/>
  <c r="S251" i="7"/>
  <c r="AC252" i="2"/>
  <c r="S252" i="7"/>
  <c r="AC253" i="2"/>
  <c r="S253" i="7"/>
  <c r="U253" s="1"/>
  <c r="AC254" i="2"/>
  <c r="S254" i="7"/>
  <c r="AM254" i="2" s="1"/>
  <c r="AC255"/>
  <c r="S255" i="7"/>
  <c r="S10" i="4"/>
  <c r="S11"/>
  <c r="S13"/>
  <c r="S15"/>
  <c r="S16"/>
  <c r="S17"/>
  <c r="S18"/>
  <c r="S19"/>
  <c r="S20"/>
  <c r="S21"/>
  <c r="S22"/>
  <c r="S23"/>
  <c r="S72"/>
  <c r="S81"/>
  <c r="S86"/>
  <c r="S89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5"/>
  <c r="S117"/>
  <c r="S118"/>
  <c r="S119"/>
  <c r="S120"/>
  <c r="S121"/>
  <c r="S122"/>
  <c r="S123"/>
  <c r="S124"/>
  <c r="S125"/>
  <c r="S127"/>
  <c r="S128"/>
  <c r="S129"/>
  <c r="S131"/>
  <c r="S132"/>
  <c r="S133"/>
  <c r="S134"/>
  <c r="S135"/>
  <c r="S136"/>
  <c r="S137"/>
  <c r="S138"/>
  <c r="S139"/>
  <c r="S140"/>
  <c r="S141"/>
  <c r="S142"/>
  <c r="S144"/>
  <c r="S215"/>
  <c r="S216"/>
  <c r="S217"/>
  <c r="S218"/>
  <c r="S219"/>
  <c r="S220"/>
  <c r="S221"/>
  <c r="S224"/>
  <c r="S226"/>
  <c r="S229"/>
  <c r="S230"/>
  <c r="S231"/>
  <c r="S234"/>
  <c r="S235"/>
  <c r="S238"/>
  <c r="S240"/>
  <c r="S241"/>
  <c r="S242"/>
  <c r="S243"/>
  <c r="S244"/>
  <c r="S245"/>
  <c r="S246"/>
  <c r="S247"/>
  <c r="S248"/>
  <c r="S249"/>
  <c r="S250"/>
  <c r="S251"/>
  <c r="S252"/>
  <c r="S253"/>
  <c r="S254"/>
  <c r="S255"/>
  <c r="S11" i="1"/>
  <c r="S12"/>
  <c r="S13"/>
  <c r="S14"/>
  <c r="S15"/>
  <c r="S16"/>
  <c r="S17"/>
  <c r="S18"/>
  <c r="S19"/>
  <c r="S20"/>
  <c r="S21"/>
  <c r="S22"/>
  <c r="S23"/>
  <c r="S72"/>
  <c r="S81"/>
  <c r="S86"/>
  <c r="S89"/>
  <c r="S92"/>
  <c r="S93"/>
  <c r="S94"/>
  <c r="S95"/>
  <c r="S96"/>
  <c r="S97"/>
  <c r="S99"/>
  <c r="S100"/>
  <c r="S101"/>
  <c r="S102"/>
  <c r="S103"/>
  <c r="S104"/>
  <c r="S105"/>
  <c r="S106"/>
  <c r="S107"/>
  <c r="S108"/>
  <c r="S109"/>
  <c r="S110"/>
  <c r="S111"/>
  <c r="S112"/>
  <c r="S113"/>
  <c r="S118"/>
  <c r="S119"/>
  <c r="S121"/>
  <c r="S122"/>
  <c r="S123"/>
  <c r="S125"/>
  <c r="S127"/>
  <c r="S128"/>
  <c r="S129"/>
  <c r="S131"/>
  <c r="S132"/>
  <c r="S133"/>
  <c r="S134"/>
  <c r="S135"/>
  <c r="S136"/>
  <c r="S137"/>
  <c r="S138"/>
  <c r="S139"/>
  <c r="S140"/>
  <c r="S141"/>
  <c r="S142"/>
  <c r="S144"/>
  <c r="S215"/>
  <c r="S216"/>
  <c r="S217"/>
  <c r="S218"/>
  <c r="S219"/>
  <c r="S220"/>
  <c r="S221"/>
  <c r="S222"/>
  <c r="S224"/>
  <c r="S226"/>
  <c r="S230"/>
  <c r="S231"/>
  <c r="S232"/>
  <c r="S233"/>
  <c r="S234"/>
  <c r="S235"/>
  <c r="S237"/>
  <c r="S238"/>
  <c r="S240"/>
  <c r="S241"/>
  <c r="S242"/>
  <c r="S243"/>
  <c r="S245"/>
  <c r="S246"/>
  <c r="S247"/>
  <c r="S248"/>
  <c r="S249"/>
  <c r="S250"/>
  <c r="S251"/>
  <c r="S252"/>
  <c r="S253"/>
  <c r="S254"/>
  <c r="S255"/>
  <c r="U11" i="3"/>
  <c r="U12"/>
  <c r="U13"/>
  <c r="U14"/>
  <c r="U15"/>
  <c r="U16"/>
  <c r="U18"/>
  <c r="U19"/>
  <c r="U20"/>
  <c r="U21"/>
  <c r="U22"/>
  <c r="U23"/>
  <c r="U24"/>
  <c r="U25"/>
  <c r="U26"/>
  <c r="U27"/>
  <c r="U30"/>
  <c r="U42"/>
  <c r="U43"/>
  <c r="U46"/>
  <c r="U63"/>
  <c r="U65"/>
  <c r="U72"/>
  <c r="U81"/>
  <c r="U86"/>
  <c r="U89"/>
  <c r="U93"/>
  <c r="U94"/>
  <c r="U95"/>
  <c r="U96"/>
  <c r="U98"/>
  <c r="U101"/>
  <c r="U102"/>
  <c r="U103"/>
  <c r="U105"/>
  <c r="U107"/>
  <c r="U109"/>
  <c r="U111"/>
  <c r="U113"/>
  <c r="U116"/>
  <c r="U118"/>
  <c r="U119"/>
  <c r="U121"/>
  <c r="U125"/>
  <c r="U128"/>
  <c r="U131"/>
  <c r="U132"/>
  <c r="U134"/>
  <c r="U136"/>
  <c r="U137"/>
  <c r="U140"/>
  <c r="U142"/>
  <c r="U144"/>
  <c r="U146"/>
  <c r="U148"/>
  <c r="U149"/>
  <c r="U150"/>
  <c r="U152"/>
  <c r="U153"/>
  <c r="U155"/>
  <c r="U156"/>
  <c r="U157"/>
  <c r="U158"/>
  <c r="U161"/>
  <c r="U163"/>
  <c r="U165"/>
  <c r="U185"/>
  <c r="U186"/>
  <c r="U187"/>
  <c r="U188"/>
  <c r="U189"/>
  <c r="U190"/>
  <c r="U191"/>
  <c r="U192"/>
  <c r="U193"/>
  <c r="U194"/>
  <c r="U196"/>
  <c r="U197"/>
  <c r="U198"/>
  <c r="U199"/>
  <c r="U200"/>
  <c r="U201"/>
  <c r="U202"/>
  <c r="U203"/>
  <c r="U206"/>
  <c r="U207"/>
  <c r="U208"/>
  <c r="U209"/>
  <c r="U211"/>
  <c r="U212"/>
  <c r="U213"/>
  <c r="U214"/>
  <c r="U215"/>
  <c r="U216"/>
  <c r="U218"/>
  <c r="U220"/>
  <c r="U221"/>
  <c r="U223"/>
  <c r="U224"/>
  <c r="U226"/>
  <c r="U229"/>
  <c r="U230"/>
  <c r="U231"/>
  <c r="U233"/>
  <c r="U234"/>
  <c r="U237"/>
  <c r="U238"/>
  <c r="U240"/>
  <c r="U241"/>
  <c r="U242"/>
  <c r="U243"/>
  <c r="U244"/>
  <c r="U245"/>
  <c r="U246"/>
  <c r="U247"/>
  <c r="U248"/>
  <c r="U249"/>
  <c r="U250"/>
  <c r="U251"/>
  <c r="U252"/>
  <c r="U254"/>
  <c r="U10" i="7"/>
  <c r="V10"/>
  <c r="V11"/>
  <c r="U12"/>
  <c r="V12"/>
  <c r="U13"/>
  <c r="V13"/>
  <c r="U14"/>
  <c r="V14"/>
  <c r="U15"/>
  <c r="V15"/>
  <c r="U16"/>
  <c r="V16"/>
  <c r="U17"/>
  <c r="V17"/>
  <c r="U18"/>
  <c r="V18"/>
  <c r="U19"/>
  <c r="V19"/>
  <c r="U20"/>
  <c r="V20"/>
  <c r="U21"/>
  <c r="V21"/>
  <c r="U22"/>
  <c r="V22"/>
  <c r="U23"/>
  <c r="V23"/>
  <c r="U24"/>
  <c r="V24"/>
  <c r="U25"/>
  <c r="U26"/>
  <c r="V26"/>
  <c r="U27"/>
  <c r="V27"/>
  <c r="U30"/>
  <c r="V30"/>
  <c r="U42"/>
  <c r="V42"/>
  <c r="U43"/>
  <c r="V43"/>
  <c r="U46"/>
  <c r="V46"/>
  <c r="V63"/>
  <c r="U65"/>
  <c r="V65"/>
  <c r="U72"/>
  <c r="V72"/>
  <c r="U81"/>
  <c r="V81"/>
  <c r="U86"/>
  <c r="V86"/>
  <c r="U89"/>
  <c r="V89"/>
  <c r="U92"/>
  <c r="V93"/>
  <c r="U94"/>
  <c r="V94"/>
  <c r="U95"/>
  <c r="U96"/>
  <c r="V96"/>
  <c r="U97"/>
  <c r="V97"/>
  <c r="U98"/>
  <c r="V98"/>
  <c r="V99"/>
  <c r="U100"/>
  <c r="V100"/>
  <c r="U101"/>
  <c r="U102"/>
  <c r="V102"/>
  <c r="U103"/>
  <c r="V103"/>
  <c r="U104"/>
  <c r="V104"/>
  <c r="U105"/>
  <c r="V105"/>
  <c r="V106"/>
  <c r="V107"/>
  <c r="U109"/>
  <c r="U110"/>
  <c r="U111"/>
  <c r="V112"/>
  <c r="V113"/>
  <c r="V115"/>
  <c r="U116"/>
  <c r="V116"/>
  <c r="V117"/>
  <c r="V118"/>
  <c r="U119"/>
  <c r="V119"/>
  <c r="V120"/>
  <c r="U121"/>
  <c r="V121"/>
  <c r="V122"/>
  <c r="U124"/>
  <c r="V124"/>
  <c r="V125"/>
  <c r="U127"/>
  <c r="V127"/>
  <c r="U128"/>
  <c r="V128"/>
  <c r="U129"/>
  <c r="V129"/>
  <c r="U131"/>
  <c r="V131"/>
  <c r="U132"/>
  <c r="V134"/>
  <c r="U136"/>
  <c r="V137"/>
  <c r="V138"/>
  <c r="V139"/>
  <c r="U141"/>
  <c r="V141"/>
  <c r="U142"/>
  <c r="U143"/>
  <c r="V144"/>
  <c r="U215"/>
  <c r="V215"/>
  <c r="U216"/>
  <c r="V216"/>
  <c r="U217"/>
  <c r="V217"/>
  <c r="U218"/>
  <c r="V218"/>
  <c r="U219"/>
  <c r="V219"/>
  <c r="U220"/>
  <c r="V220"/>
  <c r="V221"/>
  <c r="U222"/>
  <c r="V222"/>
  <c r="U223"/>
  <c r="U224"/>
  <c r="V224"/>
  <c r="U225"/>
  <c r="U226"/>
  <c r="V226"/>
  <c r="U227"/>
  <c r="U228"/>
  <c r="U229"/>
  <c r="V229"/>
  <c r="U230"/>
  <c r="V230"/>
  <c r="U231"/>
  <c r="V231"/>
  <c r="U232"/>
  <c r="V232"/>
  <c r="U233"/>
  <c r="V233"/>
  <c r="U234"/>
  <c r="V234"/>
  <c r="U235"/>
  <c r="V235"/>
  <c r="U236"/>
  <c r="V236"/>
  <c r="U237"/>
  <c r="V237"/>
  <c r="U238"/>
  <c r="V238"/>
  <c r="U239"/>
  <c r="U240"/>
  <c r="U241"/>
  <c r="V241"/>
  <c r="U242"/>
  <c r="V242"/>
  <c r="U243"/>
  <c r="V243"/>
  <c r="U244"/>
  <c r="V244"/>
  <c r="U245"/>
  <c r="U246"/>
  <c r="V246"/>
  <c r="U247"/>
  <c r="V247"/>
  <c r="U248"/>
  <c r="V248"/>
  <c r="U249"/>
  <c r="V249"/>
  <c r="U250"/>
  <c r="V250"/>
  <c r="U251"/>
  <c r="V251"/>
  <c r="U252"/>
  <c r="V253"/>
  <c r="V254"/>
  <c r="U255"/>
  <c r="V255"/>
  <c r="W10" i="8"/>
  <c r="AA10"/>
  <c r="AC10" i="9"/>
  <c r="AC11"/>
  <c r="AC12"/>
  <c r="AC13"/>
  <c r="AC14"/>
  <c r="AC15"/>
  <c r="AC16"/>
  <c r="AC17"/>
  <c r="AC17" i="8" s="1"/>
  <c r="W18"/>
  <c r="AA18"/>
  <c r="AC18" i="9"/>
  <c r="W19" i="8"/>
  <c r="AA19"/>
  <c r="AC19" i="9"/>
  <c r="W20" i="8"/>
  <c r="AA20"/>
  <c r="AC20" i="9"/>
  <c r="W21" i="8"/>
  <c r="AA21"/>
  <c r="AC21" i="9"/>
  <c r="W22" i="8"/>
  <c r="AC22" i="9"/>
  <c r="W23" i="8"/>
  <c r="AA23"/>
  <c r="AC23" i="9"/>
  <c r="W81" i="8"/>
  <c r="AC81" i="9"/>
  <c r="W86" i="8"/>
  <c r="AC86" i="9"/>
  <c r="W89" i="8"/>
  <c r="AC89" i="9"/>
  <c r="W92" i="8"/>
  <c r="AC92" i="9"/>
  <c r="W93" i="8"/>
  <c r="AC93" i="9"/>
  <c r="W94" i="8"/>
  <c r="AC94" i="9"/>
  <c r="W95" i="8"/>
  <c r="AC95" i="9"/>
  <c r="W96" i="8"/>
  <c r="AC96" i="9"/>
  <c r="W97" i="8"/>
  <c r="AC97" i="9"/>
  <c r="W98" i="8"/>
  <c r="AC98" i="9"/>
  <c r="W99" i="8"/>
  <c r="AC99" i="9"/>
  <c r="W100" i="8"/>
  <c r="AC100" i="9"/>
  <c r="W101" i="8"/>
  <c r="AC101" i="9"/>
  <c r="W102" i="8"/>
  <c r="AC102" i="9"/>
  <c r="W103" i="8"/>
  <c r="AC103" i="9"/>
  <c r="W104" i="8"/>
  <c r="AC104" i="9"/>
  <c r="W106" i="8"/>
  <c r="AC106" i="9"/>
  <c r="W107" i="8"/>
  <c r="AC107" i="9"/>
  <c r="W108" i="8"/>
  <c r="AC108" i="9"/>
  <c r="W109" i="8"/>
  <c r="AC109" i="9"/>
  <c r="W110" i="8"/>
  <c r="AC111" i="9"/>
  <c r="W112" i="8"/>
  <c r="AC112" i="9"/>
  <c r="W113" i="8"/>
  <c r="AC113" i="9"/>
  <c r="W115" i="8"/>
  <c r="AC115" i="9"/>
  <c r="W116" i="8"/>
  <c r="AC116" i="9"/>
  <c r="W117" i="8"/>
  <c r="AC117" i="9"/>
  <c r="W118" i="8"/>
  <c r="AC118" i="9"/>
  <c r="AC119"/>
  <c r="W120" i="8"/>
  <c r="AC120" i="9"/>
  <c r="W121" i="8"/>
  <c r="AC121" i="9"/>
  <c r="W122" i="8"/>
  <c r="AC122" i="9"/>
  <c r="W123" i="8"/>
  <c r="AC123" i="9"/>
  <c r="W124" i="8"/>
  <c r="AC124" i="9"/>
  <c r="W125" i="8"/>
  <c r="AC125" i="9"/>
  <c r="AC127"/>
  <c r="W128" i="8"/>
  <c r="AC128" i="9"/>
  <c r="W129" i="8"/>
  <c r="AC129" i="9"/>
  <c r="W131" i="8"/>
  <c r="AC131" i="9"/>
  <c r="W132" i="8"/>
  <c r="AC132" i="9"/>
  <c r="W133" i="8"/>
  <c r="AC133" i="9"/>
  <c r="W134" i="8"/>
  <c r="AC134" i="9"/>
  <c r="W135" i="8"/>
  <c r="AC135" i="9"/>
  <c r="W136" i="8"/>
  <c r="AC136" i="9"/>
  <c r="W137" i="8"/>
  <c r="AC137" i="9"/>
  <c r="W138" i="8"/>
  <c r="AC138" i="9"/>
  <c r="W139" i="8"/>
  <c r="AC139" i="9"/>
  <c r="W140" i="8"/>
  <c r="AC140" i="9"/>
  <c r="W141" i="8"/>
  <c r="AC141" i="9"/>
  <c r="W142" i="8"/>
  <c r="AC142" i="9"/>
  <c r="W143" i="8"/>
  <c r="AC143" i="9"/>
  <c r="W144" i="8"/>
  <c r="AC144" i="9"/>
  <c r="AC192" i="8"/>
  <c r="AC193"/>
  <c r="W215"/>
  <c r="AC215" i="9"/>
  <c r="W216" i="8"/>
  <c r="AC216" i="9"/>
  <c r="W217" i="8"/>
  <c r="AC217" i="9"/>
  <c r="W218" i="8"/>
  <c r="AC218" i="9"/>
  <c r="W219" i="8"/>
  <c r="AC219" i="9"/>
  <c r="W220" i="8"/>
  <c r="AC220" i="9"/>
  <c r="W221" i="8"/>
  <c r="AC221" i="9"/>
  <c r="W222" i="8"/>
  <c r="AC222" i="9"/>
  <c r="W224" i="8"/>
  <c r="AC224" i="9"/>
  <c r="W226" i="8"/>
  <c r="AC226" i="9"/>
  <c r="W229" i="8"/>
  <c r="AC229" i="9"/>
  <c r="W230" i="8"/>
  <c r="AC230" i="9"/>
  <c r="W231" i="8"/>
  <c r="AC231" i="9"/>
  <c r="W232" i="8"/>
  <c r="AC232" i="9"/>
  <c r="W233" i="8"/>
  <c r="W234"/>
  <c r="AC234" i="9"/>
  <c r="W235" i="8"/>
  <c r="AC235" i="9"/>
  <c r="W236" i="8"/>
  <c r="AC236" i="9"/>
  <c r="AC236" i="8" s="1"/>
  <c r="W237"/>
  <c r="AC237" i="9"/>
  <c r="W238" i="8"/>
  <c r="AC238" i="9"/>
  <c r="W240" i="8"/>
  <c r="AC240" i="9"/>
  <c r="W241" i="8"/>
  <c r="AC241" i="9"/>
  <c r="W242" i="8"/>
  <c r="AC242" i="9"/>
  <c r="W243" i="8"/>
  <c r="AC243" i="9"/>
  <c r="W244" i="8"/>
  <c r="AC244" i="9"/>
  <c r="W245" i="8"/>
  <c r="AC245" i="9"/>
  <c r="W246" i="8"/>
  <c r="AC246" i="9"/>
  <c r="W247" i="8"/>
  <c r="AC247" i="9"/>
  <c r="W248" i="8"/>
  <c r="AC248" i="9"/>
  <c r="W249" i="8"/>
  <c r="AC249" i="9"/>
  <c r="W250" i="8"/>
  <c r="AC250" i="9"/>
  <c r="W251" i="8"/>
  <c r="AC251" i="9"/>
  <c r="W252" i="8"/>
  <c r="AC252" i="9"/>
  <c r="W253" i="8"/>
  <c r="AC253" i="9"/>
  <c r="W254" i="8"/>
  <c r="AC254" i="9"/>
  <c r="W255" i="8"/>
  <c r="AA10" i="9"/>
  <c r="AA11"/>
  <c r="AA12"/>
  <c r="AA13"/>
  <c r="AA14"/>
  <c r="AA15"/>
  <c r="AA16"/>
  <c r="AA17"/>
  <c r="AA18"/>
  <c r="AA19"/>
  <c r="AA20"/>
  <c r="AA21"/>
  <c r="AA22"/>
  <c r="AA23"/>
  <c r="AA72"/>
  <c r="AA81"/>
  <c r="AA86"/>
  <c r="AA89"/>
  <c r="AA92"/>
  <c r="AA93"/>
  <c r="AA94"/>
  <c r="AA95"/>
  <c r="AA96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5"/>
  <c r="AA116"/>
  <c r="AA117"/>
  <c r="AA118"/>
  <c r="AA119"/>
  <c r="AA120"/>
  <c r="AA122"/>
  <c r="AA123"/>
  <c r="AA124"/>
  <c r="AA125"/>
  <c r="AA128"/>
  <c r="AA129"/>
  <c r="AA131"/>
  <c r="AA132"/>
  <c r="AA134"/>
  <c r="AA135"/>
  <c r="AA136"/>
  <c r="AA137"/>
  <c r="AA138"/>
  <c r="AA139"/>
  <c r="AA140"/>
  <c r="AA141"/>
  <c r="AA142"/>
  <c r="AA143"/>
  <c r="AA144"/>
  <c r="AA215"/>
  <c r="AA216"/>
  <c r="AA217"/>
  <c r="AA218"/>
  <c r="AA219"/>
  <c r="AA220"/>
  <c r="AA222"/>
  <c r="AA224"/>
  <c r="AA226"/>
  <c r="E10" i="10"/>
  <c r="M10"/>
  <c r="AB10"/>
  <c r="E11"/>
  <c r="M11"/>
  <c r="AB13"/>
  <c r="E14"/>
  <c r="M14"/>
  <c r="E15"/>
  <c r="M15"/>
  <c r="AB15"/>
  <c r="M16"/>
  <c r="E17"/>
  <c r="M17"/>
  <c r="AB17"/>
  <c r="E18"/>
  <c r="M18"/>
  <c r="E19"/>
  <c r="M19"/>
  <c r="AB19"/>
  <c r="E20"/>
  <c r="M20"/>
  <c r="E21"/>
  <c r="M21"/>
  <c r="AB21"/>
  <c r="E22"/>
  <c r="M22"/>
  <c r="M23"/>
  <c r="AB23"/>
  <c r="AB25"/>
  <c r="AB27"/>
  <c r="AB30"/>
  <c r="AB42"/>
  <c r="AB43"/>
  <c r="AB46"/>
  <c r="E72"/>
  <c r="M72"/>
  <c r="E86"/>
  <c r="M86"/>
  <c r="E89"/>
  <c r="M89"/>
  <c r="AB89"/>
  <c r="E92"/>
  <c r="M92"/>
  <c r="AB92"/>
  <c r="E93"/>
  <c r="M93"/>
  <c r="E95"/>
  <c r="E96"/>
  <c r="M96"/>
  <c r="AB96"/>
  <c r="E97"/>
  <c r="M97"/>
  <c r="E98"/>
  <c r="M98"/>
  <c r="AB98"/>
  <c r="M99"/>
  <c r="AB99"/>
  <c r="E100"/>
  <c r="M100"/>
  <c r="E101"/>
  <c r="M101"/>
  <c r="E102"/>
  <c r="M102"/>
  <c r="AB102"/>
  <c r="E103"/>
  <c r="M103"/>
  <c r="E104"/>
  <c r="M104"/>
  <c r="AB104"/>
  <c r="E105"/>
  <c r="M105"/>
  <c r="AB105"/>
  <c r="E106"/>
  <c r="M106"/>
  <c r="E107"/>
  <c r="M107"/>
  <c r="AB107"/>
  <c r="E108"/>
  <c r="E109"/>
  <c r="AB109"/>
  <c r="E110"/>
  <c r="M110"/>
  <c r="M111"/>
  <c r="AB111"/>
  <c r="E112"/>
  <c r="M112"/>
  <c r="E113"/>
  <c r="M113"/>
  <c r="AB113"/>
  <c r="E115"/>
  <c r="M115"/>
  <c r="AB115"/>
  <c r="E116"/>
  <c r="M116"/>
  <c r="AB116"/>
  <c r="E117"/>
  <c r="M117"/>
  <c r="AB117"/>
  <c r="E118"/>
  <c r="M118"/>
  <c r="AB118"/>
  <c r="E119"/>
  <c r="M119"/>
  <c r="AB119"/>
  <c r="E120"/>
  <c r="M120"/>
  <c r="AB120"/>
  <c r="E121"/>
  <c r="M121"/>
  <c r="AB121"/>
  <c r="E122"/>
  <c r="M122"/>
  <c r="AB122"/>
  <c r="E123"/>
  <c r="M123"/>
  <c r="AB123"/>
  <c r="E124"/>
  <c r="M124"/>
  <c r="AB124"/>
  <c r="E125"/>
  <c r="M125"/>
  <c r="AB125"/>
  <c r="E127"/>
  <c r="M127"/>
  <c r="AB127"/>
  <c r="E128"/>
  <c r="M128"/>
  <c r="E129"/>
  <c r="M129"/>
  <c r="AB129"/>
  <c r="E131"/>
  <c r="M131"/>
  <c r="AB131"/>
  <c r="E132"/>
  <c r="M132"/>
  <c r="AB132"/>
  <c r="E133"/>
  <c r="M133"/>
  <c r="E134"/>
  <c r="M134"/>
  <c r="AB134"/>
  <c r="E135"/>
  <c r="M135"/>
  <c r="AB135"/>
  <c r="E136"/>
  <c r="M136"/>
  <c r="AB136"/>
  <c r="E137"/>
  <c r="M137"/>
  <c r="E138"/>
  <c r="M138"/>
  <c r="AB138"/>
  <c r="E139"/>
  <c r="M139"/>
  <c r="E140"/>
  <c r="M140"/>
  <c r="E141"/>
  <c r="M141"/>
  <c r="E142"/>
  <c r="M142"/>
  <c r="AB142"/>
  <c r="E143"/>
  <c r="M143"/>
  <c r="E144"/>
  <c r="M144"/>
  <c r="AB144"/>
  <c r="E215"/>
  <c r="AB215"/>
  <c r="E216"/>
  <c r="M216"/>
  <c r="AB216"/>
  <c r="E217"/>
  <c r="M217"/>
  <c r="AB217"/>
  <c r="E218"/>
  <c r="M218"/>
  <c r="E219"/>
  <c r="M219"/>
  <c r="E220"/>
  <c r="M220"/>
  <c r="AB220"/>
  <c r="E221"/>
  <c r="M221"/>
  <c r="AB221"/>
  <c r="E222"/>
  <c r="M222"/>
  <c r="AB222"/>
  <c r="E223"/>
  <c r="AB223"/>
  <c r="E224"/>
  <c r="M224"/>
  <c r="AB224"/>
  <c r="E226"/>
  <c r="AB226"/>
  <c r="E229"/>
  <c r="AB229"/>
  <c r="AB230"/>
  <c r="AB231"/>
  <c r="E232"/>
  <c r="AB232"/>
  <c r="E234"/>
  <c r="AB234"/>
  <c r="E235"/>
  <c r="E236"/>
  <c r="AB236"/>
  <c r="E237"/>
  <c r="AB237"/>
  <c r="AB238"/>
  <c r="E240"/>
  <c r="AB240"/>
  <c r="E241"/>
  <c r="AB241"/>
  <c r="E242"/>
  <c r="AB242"/>
  <c r="E243"/>
  <c r="AB243"/>
  <c r="E244"/>
  <c r="E245"/>
  <c r="AB245"/>
  <c r="E246"/>
  <c r="AB246"/>
  <c r="E247"/>
  <c r="AB247"/>
  <c r="E248"/>
  <c r="AB248"/>
  <c r="E249"/>
  <c r="AB249"/>
  <c r="E250"/>
  <c r="AB250"/>
  <c r="E251"/>
  <c r="AB251"/>
  <c r="E252"/>
  <c r="AB252"/>
  <c r="E253"/>
  <c r="AB253"/>
  <c r="AB254"/>
  <c r="E255"/>
  <c r="AB255"/>
  <c r="AB45"/>
  <c r="AB227"/>
  <c r="AY210" i="14"/>
  <c r="AY217"/>
  <c r="AR141" i="5"/>
  <c r="AR46"/>
  <c r="AR13"/>
  <c r="AR231"/>
  <c r="AR240"/>
  <c r="AR244"/>
  <c r="AR248"/>
  <c r="AR252"/>
  <c r="U222" i="3"/>
  <c r="U227"/>
  <c r="AM220" i="2"/>
  <c r="AB219" i="10"/>
  <c r="AY215" i="14"/>
  <c r="AY214"/>
  <c r="AR227" i="5"/>
  <c r="AM227" i="2"/>
  <c r="AR225" i="5"/>
  <c r="AM225" i="2"/>
  <c r="V225" i="7"/>
  <c r="AM230" i="2"/>
  <c r="AM228"/>
  <c r="V228" i="7"/>
  <c r="AR237" i="5"/>
  <c r="AM252" i="2"/>
  <c r="V252" i="7"/>
  <c r="AY243" i="14"/>
  <c r="AR249" i="5"/>
  <c r="AM249" i="2"/>
  <c r="AM248"/>
  <c r="AR246" i="5"/>
  <c r="AB228" i="10"/>
  <c r="AR243" i="5"/>
  <c r="AY237" i="14"/>
  <c r="AR242" i="5"/>
  <c r="AM242" i="2"/>
  <c r="AR241" i="5"/>
  <c r="AM241" i="2"/>
  <c r="AR239" i="5"/>
  <c r="AR235"/>
  <c r="AM236" i="2"/>
  <c r="U235" i="3"/>
  <c r="AY229" i="14"/>
  <c r="AY228"/>
  <c r="AY242"/>
  <c r="AR254" i="5"/>
  <c r="AR255"/>
  <c r="U255" i="3"/>
  <c r="U253"/>
  <c r="U254" i="7"/>
  <c r="AY239" i="14"/>
  <c r="AZ244" i="6"/>
  <c r="AR245" i="5"/>
  <c r="AM245" i="2"/>
  <c r="AM253"/>
  <c r="AC187" i="8"/>
  <c r="AY227" i="14"/>
  <c r="AR232" i="5"/>
  <c r="U232" i="3"/>
  <c r="AM238" i="2"/>
  <c r="AR229" i="5"/>
  <c r="AR125"/>
  <c r="AM125" i="2"/>
  <c r="U125" i="7"/>
  <c r="AY129" i="14"/>
  <c r="U133" i="3"/>
  <c r="V133" i="7"/>
  <c r="V132"/>
  <c r="AY124" i="14"/>
  <c r="AM127" i="2"/>
  <c r="U129" i="3"/>
  <c r="V126" i="7"/>
  <c r="AY134" i="14"/>
  <c r="AM138" i="2"/>
  <c r="U138" i="3"/>
  <c r="AY132" i="14"/>
  <c r="AY131"/>
  <c r="AM136" i="2"/>
  <c r="U135" i="7"/>
  <c r="AM144" i="2"/>
  <c r="AR143" i="5"/>
  <c r="AM143" i="2"/>
  <c r="AR139" i="5"/>
  <c r="U139" i="3"/>
  <c r="AB239" i="10"/>
  <c r="AM101" i="2"/>
  <c r="V101" i="7"/>
  <c r="AB100" i="10"/>
  <c r="AR100" i="5"/>
  <c r="AM99" i="2"/>
  <c r="U99" i="3"/>
  <c r="U99" i="7"/>
  <c r="AM98" i="2"/>
  <c r="AC164" i="8"/>
  <c r="AM109" i="2"/>
  <c r="AC106" i="8"/>
  <c r="AR113" i="5"/>
  <c r="AM113" i="2"/>
  <c r="AR111" i="5"/>
  <c r="AR110"/>
  <c r="AY116" i="14"/>
  <c r="AM118" i="2"/>
  <c r="U118" i="7"/>
  <c r="AY115" i="14"/>
  <c r="U117" i="7"/>
  <c r="AY52" i="13"/>
  <c r="AY32"/>
  <c r="AY53"/>
  <c r="AY65"/>
  <c r="AY137" i="14"/>
  <c r="AY119"/>
  <c r="AY107"/>
  <c r="AY102"/>
  <c r="AY96"/>
  <c r="AY84"/>
  <c r="AY141"/>
  <c r="AY135"/>
  <c r="AY123"/>
  <c r="AY121"/>
  <c r="AY82"/>
  <c r="AY16"/>
  <c r="AY65"/>
  <c r="AY55"/>
  <c r="AY54"/>
  <c r="AY14"/>
  <c r="AZ77" i="6"/>
  <c r="AZ78"/>
  <c r="AZ79"/>
  <c r="AZ88"/>
  <c r="AZ68"/>
  <c r="AZ69"/>
  <c r="AZ72"/>
  <c r="AZ15"/>
  <c r="AZ17"/>
  <c r="AZ19"/>
  <c r="AZ21"/>
  <c r="AZ23"/>
  <c r="AZ25"/>
  <c r="AR142" i="5"/>
  <c r="AR136"/>
  <c r="AR131"/>
  <c r="AR120"/>
  <c r="AR104"/>
  <c r="AR97"/>
  <c r="AR96"/>
  <c r="AR65"/>
  <c r="AR43"/>
  <c r="AR42"/>
  <c r="AR27"/>
  <c r="AR26"/>
  <c r="AR24"/>
  <c r="AR114"/>
  <c r="AR238"/>
  <c r="AR247"/>
  <c r="AM10" i="2"/>
  <c r="AM255"/>
  <c r="AM102"/>
  <c r="AM100"/>
  <c r="AM97"/>
  <c r="AM89"/>
  <c r="AM86"/>
  <c r="AM46"/>
  <c r="AM43"/>
  <c r="AM229"/>
  <c r="AM240"/>
  <c r="U91" i="3"/>
  <c r="U56"/>
  <c r="U57"/>
  <c r="U58"/>
  <c r="U60"/>
  <c r="U49"/>
  <c r="U47"/>
  <c r="U48"/>
  <c r="U45"/>
  <c r="AR219" i="5"/>
  <c r="V91" i="7"/>
  <c r="U90"/>
  <c r="V90"/>
  <c r="V87"/>
  <c r="V88"/>
  <c r="U84"/>
  <c r="U79"/>
  <c r="V79"/>
  <c r="U78"/>
  <c r="U75"/>
  <c r="V75"/>
  <c r="U70"/>
  <c r="V73"/>
  <c r="U71"/>
  <c r="V71"/>
  <c r="U66"/>
  <c r="U68"/>
  <c r="U64"/>
  <c r="V64"/>
  <c r="U62"/>
  <c r="V62"/>
  <c r="U60"/>
  <c r="U61"/>
  <c r="U56"/>
  <c r="V56"/>
  <c r="U58"/>
  <c r="V58"/>
  <c r="U53"/>
  <c r="V52"/>
  <c r="U47"/>
  <c r="V44"/>
  <c r="U38"/>
  <c r="U39"/>
  <c r="U36"/>
  <c r="V36"/>
  <c r="U35"/>
  <c r="U33"/>
  <c r="U32"/>
  <c r="V32"/>
  <c r="U31"/>
  <c r="V31"/>
  <c r="V28"/>
  <c r="V29"/>
  <c r="AC26" i="8"/>
  <c r="AC18"/>
  <c r="AC154"/>
  <c r="AC84" i="9"/>
  <c r="AC85"/>
  <c r="AC83"/>
  <c r="AC80"/>
  <c r="AC75"/>
  <c r="AC76"/>
  <c r="AC77"/>
  <c r="AC70"/>
  <c r="AA66"/>
  <c r="AC67"/>
  <c r="AC99" i="8"/>
  <c r="AC101"/>
  <c r="AC103"/>
  <c r="AC10"/>
  <c r="AC98"/>
  <c r="AC100"/>
  <c r="AC102"/>
  <c r="AC104"/>
  <c r="AC166"/>
  <c r="AC173"/>
  <c r="AC178"/>
  <c r="AB141" i="10"/>
  <c r="AB139"/>
  <c r="AB137"/>
  <c r="AB133"/>
  <c r="AB128"/>
  <c r="AB112"/>
  <c r="AB108"/>
  <c r="AB103"/>
  <c r="AB101"/>
  <c r="AB97"/>
  <c r="AB95"/>
  <c r="AB93"/>
  <c r="AB86"/>
  <c r="AB72"/>
  <c r="AA110" i="8"/>
  <c r="AC110" s="1"/>
  <c r="AC65"/>
  <c r="AC159"/>
  <c r="AC167"/>
  <c r="AC170"/>
  <c r="AA218"/>
  <c r="AB79" i="10"/>
  <c r="AB32"/>
  <c r="AB34"/>
  <c r="AB40"/>
  <c r="AB225"/>
  <c r="AY93" i="14"/>
  <c r="AZ95" i="6"/>
  <c r="U93" i="7"/>
  <c r="AZ93" i="6"/>
  <c r="V92" i="7"/>
  <c r="AY97" i="14"/>
  <c r="AC97" i="8"/>
  <c r="AB31" i="10"/>
  <c r="AB38"/>
  <c r="AC48" i="8"/>
  <c r="AB48" i="10"/>
  <c r="AB50"/>
  <c r="AB52"/>
  <c r="AC62" i="8"/>
  <c r="AA74"/>
  <c r="AB74" i="10"/>
  <c r="AA76" i="8"/>
  <c r="AC76" s="1"/>
  <c r="AB76" i="10"/>
  <c r="AB80"/>
  <c r="AA80" i="8"/>
  <c r="AB82" i="10"/>
  <c r="AA82" i="8"/>
  <c r="AA84"/>
  <c r="AB85" i="10"/>
  <c r="AA85" i="8"/>
  <c r="AB87" i="10"/>
  <c r="AA87" i="8"/>
  <c r="AA94"/>
  <c r="AC94" s="1"/>
  <c r="AB94" i="10"/>
  <c r="AA91" i="8"/>
  <c r="AB91" i="10"/>
  <c r="AB11"/>
  <c r="AB39"/>
  <c r="AA66" i="8"/>
  <c r="AB66" i="10"/>
  <c r="AB73"/>
  <c r="AA73" i="8"/>
  <c r="AB83" i="10"/>
  <c r="AA83" i="8"/>
  <c r="AC83" s="1"/>
  <c r="AA88"/>
  <c r="AB88" i="10"/>
  <c r="AB68"/>
  <c r="AB12"/>
  <c r="AR89" i="5"/>
  <c r="AC89" i="8"/>
  <c r="AC81"/>
  <c r="AR72" i="5"/>
  <c r="AM72" i="2"/>
  <c r="AR10" i="5"/>
  <c r="AR18"/>
  <c r="AR45"/>
  <c r="AR112"/>
  <c r="AR223"/>
  <c r="AR250"/>
  <c r="AM30" i="2"/>
  <c r="AM42"/>
  <c r="AM63"/>
  <c r="AM124"/>
  <c r="AM231"/>
  <c r="AM250"/>
  <c r="U10" i="3"/>
  <c r="AM45" i="2"/>
  <c r="AC165" i="8"/>
  <c r="AC86"/>
  <c r="AY17" i="13"/>
  <c r="AY244"/>
  <c r="AY118"/>
  <c r="AY130"/>
  <c r="AZ12" i="6"/>
  <c r="AR118" i="5"/>
  <c r="AR115"/>
  <c r="AR99"/>
  <c r="AR98"/>
  <c r="AR95"/>
  <c r="AR94"/>
  <c r="AR63"/>
  <c r="AR30"/>
  <c r="AR251"/>
  <c r="AR253"/>
  <c r="AR144"/>
  <c r="AR133"/>
  <c r="AR103"/>
  <c r="AR86"/>
  <c r="AR19"/>
  <c r="AR15"/>
  <c r="AR12"/>
  <c r="AM141" i="2"/>
  <c r="AM133"/>
  <c r="AM132"/>
  <c r="AM110"/>
  <c r="AM95"/>
  <c r="AM94"/>
  <c r="AM92"/>
  <c r="AM81"/>
  <c r="AM65"/>
  <c r="AM27"/>
  <c r="AM19"/>
  <c r="AM235"/>
  <c r="AM237"/>
  <c r="AM246"/>
  <c r="AM247"/>
  <c r="U85" i="3"/>
  <c r="U87"/>
  <c r="AM140" i="2"/>
  <c r="AM112"/>
  <c r="AM137"/>
  <c r="AM111"/>
  <c r="AM107"/>
  <c r="AM108"/>
  <c r="AM106"/>
  <c r="AM139"/>
  <c r="AM134"/>
  <c r="AM135"/>
  <c r="U133" i="7"/>
  <c r="V142"/>
  <c r="U140"/>
  <c r="U120"/>
  <c r="V110"/>
  <c r="V108"/>
  <c r="V33"/>
  <c r="V34"/>
  <c r="U34"/>
  <c r="V35"/>
  <c r="V61"/>
  <c r="V77"/>
  <c r="U77"/>
  <c r="AC255" i="8"/>
  <c r="AC253"/>
  <c r="AC248"/>
  <c r="AC246"/>
  <c r="AC191"/>
  <c r="AC179"/>
  <c r="AC180"/>
  <c r="AC43"/>
  <c r="V25" i="7"/>
  <c r="U162" i="3"/>
  <c r="U151"/>
  <c r="U147"/>
  <c r="U145"/>
  <c r="U124"/>
  <c r="U115"/>
  <c r="U92"/>
  <c r="AR53" i="5"/>
  <c r="U83" i="3"/>
  <c r="U91" i="7"/>
  <c r="AM29" i="2"/>
  <c r="AM38"/>
  <c r="AM44"/>
  <c r="AM60"/>
  <c r="AM66"/>
  <c r="AM68"/>
  <c r="AM78"/>
  <c r="AM85"/>
  <c r="V41" i="7"/>
  <c r="U41"/>
  <c r="V47"/>
  <c r="V53"/>
  <c r="V70"/>
  <c r="U73"/>
  <c r="V84"/>
  <c r="V85"/>
  <c r="U87"/>
  <c r="AC203" i="8"/>
  <c r="AC202"/>
  <c r="AC201"/>
  <c r="AC200"/>
  <c r="AC194"/>
  <c r="AC92"/>
  <c r="AC172"/>
  <c r="AC176"/>
  <c r="AC72"/>
  <c r="AC79" l="1"/>
  <c r="AR140" i="5"/>
  <c r="AR138"/>
  <c r="AR122"/>
  <c r="AR105"/>
  <c r="AR92"/>
  <c r="AC93" i="8"/>
  <c r="AY36" i="13"/>
  <c r="AY35"/>
  <c r="AM70" i="2"/>
  <c r="AM77"/>
  <c r="AM87"/>
  <c r="AM90"/>
  <c r="AM91"/>
  <c r="AC96" i="8"/>
  <c r="AC95"/>
  <c r="AC239"/>
  <c r="AB143" i="10"/>
  <c r="AZ129" i="6"/>
  <c r="AZ75"/>
  <c r="AR93" i="5"/>
  <c r="AR81"/>
  <c r="V83" i="7"/>
  <c r="AM251" i="2"/>
  <c r="AM103"/>
  <c r="AM22"/>
  <c r="AM20"/>
  <c r="AM18"/>
  <c r="AM216"/>
  <c r="AM218"/>
  <c r="AB22" i="10"/>
  <c r="AA22" i="8"/>
  <c r="AB140" i="10"/>
  <c r="AM115" i="2"/>
  <c r="AR107" i="5"/>
  <c r="AR106"/>
  <c r="AR101"/>
  <c r="AY100" i="13"/>
  <c r="AZ106" i="6"/>
  <c r="AC229" i="8"/>
  <c r="AC228"/>
  <c r="AM221" i="2"/>
  <c r="AC254" i="8"/>
  <c r="AC252"/>
  <c r="AC251"/>
  <c r="AC250"/>
  <c r="AC249"/>
  <c r="AC247"/>
  <c r="AB244" i="10"/>
  <c r="AR236" i="5"/>
  <c r="AR234"/>
  <c r="AR233"/>
  <c r="AZ229" i="6"/>
  <c r="AC227" i="8"/>
  <c r="AR226" i="5"/>
  <c r="AC226" i="8"/>
  <c r="AC224"/>
  <c r="AR220" i="5"/>
  <c r="AR218"/>
  <c r="AC218" i="8"/>
  <c r="AC27"/>
  <c r="AC25"/>
  <c r="AZ20" i="6"/>
  <c r="AZ18"/>
  <c r="AB16" i="10"/>
  <c r="AC16" i="8"/>
  <c r="AR14" i="5"/>
  <c r="AR221"/>
  <c r="AR224"/>
  <c r="AR11"/>
  <c r="AY29" i="13"/>
  <c r="AM11" i="2"/>
  <c r="AY10" i="14"/>
  <c r="AY126" i="13"/>
  <c r="AY91"/>
  <c r="AY117"/>
  <c r="AY121"/>
  <c r="AY140"/>
  <c r="AY74"/>
  <c r="AY131"/>
  <c r="AY43"/>
  <c r="AY116"/>
  <c r="AY73"/>
  <c r="AY105"/>
  <c r="AY132"/>
  <c r="AY114"/>
  <c r="AY141"/>
  <c r="AY81"/>
  <c r="AY90"/>
  <c r="AY92"/>
  <c r="AY119"/>
  <c r="AY70"/>
  <c r="AY77"/>
  <c r="AY113"/>
  <c r="AY123"/>
  <c r="AY120"/>
  <c r="AY78"/>
  <c r="AY128"/>
  <c r="AY82"/>
  <c r="AY84"/>
  <c r="AY50"/>
  <c r="AY72"/>
  <c r="AY101"/>
  <c r="AY47"/>
  <c r="AY124"/>
  <c r="AY115"/>
  <c r="AY96"/>
  <c r="AY133"/>
  <c r="AY71"/>
  <c r="AY142"/>
  <c r="AY106"/>
  <c r="AY139"/>
  <c r="AY95"/>
  <c r="AY111"/>
  <c r="AY64"/>
  <c r="AY135"/>
  <c r="AY122"/>
  <c r="AY110"/>
  <c r="AY69"/>
  <c r="AY137"/>
  <c r="AY125"/>
  <c r="AY66"/>
  <c r="AY67"/>
  <c r="AY86"/>
  <c r="AY20"/>
  <c r="AY27"/>
  <c r="AY31"/>
  <c r="AY25"/>
  <c r="AY24"/>
  <c r="AY16"/>
  <c r="AY15"/>
  <c r="AY14"/>
  <c r="AY45"/>
  <c r="AY112" i="14"/>
  <c r="AZ70" i="6"/>
  <c r="AZ74"/>
  <c r="AZ218"/>
  <c r="AZ226"/>
  <c r="AZ227"/>
  <c r="AR47" i="5"/>
  <c r="AR49"/>
  <c r="AR215"/>
  <c r="AR216"/>
  <c r="V59" i="7"/>
  <c r="AM83" i="2"/>
  <c r="AC22" i="8"/>
  <c r="AC132"/>
  <c r="AC134"/>
  <c r="AC230"/>
  <c r="AC133"/>
  <c r="AC135"/>
  <c r="S229" i="12"/>
  <c r="W229" s="1"/>
  <c r="AY102" i="13"/>
  <c r="AY13"/>
  <c r="AY127"/>
  <c r="AY11"/>
  <c r="AY129"/>
  <c r="AY18"/>
  <c r="AY99"/>
  <c r="AY98"/>
  <c r="AY103"/>
  <c r="AY30"/>
  <c r="AY21"/>
  <c r="AY13" i="14"/>
  <c r="AY235"/>
  <c r="AY19"/>
  <c r="AY11"/>
  <c r="AY216"/>
  <c r="AY211"/>
  <c r="AY91"/>
  <c r="AY81"/>
  <c r="BM66"/>
  <c r="AY74"/>
  <c r="AY76"/>
  <c r="AY78"/>
  <c r="AY86"/>
  <c r="AY90"/>
  <c r="BM90"/>
  <c r="AM131" i="2"/>
  <c r="AM128"/>
  <c r="AM243"/>
  <c r="AM244"/>
  <c r="AM75"/>
  <c r="AM84"/>
  <c r="AM57"/>
  <c r="U57" i="7"/>
  <c r="V57"/>
  <c r="AC174" i="8"/>
  <c r="AC175"/>
  <c r="AC136"/>
  <c r="AC42"/>
  <c r="AC125"/>
  <c r="AC84"/>
  <c r="AC186"/>
  <c r="AC126"/>
  <c r="AC131"/>
  <c r="AC127"/>
  <c r="AY245" i="14"/>
  <c r="AY238"/>
  <c r="AY219"/>
  <c r="AY122"/>
  <c r="AY100"/>
  <c r="AY83"/>
  <c r="AY22"/>
  <c r="AY17"/>
  <c r="AY68"/>
  <c r="AY70"/>
  <c r="AY75"/>
  <c r="AY77"/>
  <c r="AY69"/>
  <c r="AY72"/>
  <c r="AY73"/>
  <c r="AY246"/>
  <c r="AY244"/>
  <c r="AY231"/>
  <c r="AY230"/>
  <c r="AY138"/>
  <c r="AY133"/>
  <c r="AY127"/>
  <c r="AY125"/>
  <c r="AY95"/>
  <c r="AY94"/>
  <c r="AY15"/>
  <c r="AY79"/>
  <c r="AZ13" i="6"/>
  <c r="AZ22"/>
  <c r="AZ81"/>
  <c r="AZ91"/>
  <c r="AY221" i="14"/>
  <c r="AY134" i="13"/>
  <c r="AY104"/>
  <c r="AY89"/>
  <c r="AY88"/>
  <c r="AY83"/>
  <c r="AY85"/>
  <c r="AY62"/>
  <c r="AY63"/>
  <c r="AY44"/>
  <c r="AY37"/>
  <c r="AY19"/>
  <c r="AY28"/>
  <c r="AY26"/>
  <c r="AY247"/>
  <c r="AY107"/>
  <c r="S67" i="12"/>
  <c r="W67" s="1"/>
  <c r="W29"/>
  <c r="W36"/>
  <c r="W37"/>
  <c r="W64"/>
  <c r="W57"/>
  <c r="S85"/>
  <c r="W85" s="1"/>
  <c r="W87"/>
  <c r="AR52" i="5"/>
  <c r="AR33"/>
  <c r="AR22"/>
  <c r="AR228"/>
  <c r="AR16"/>
  <c r="AR17"/>
  <c r="AR20"/>
  <c r="AR23"/>
  <c r="AR129"/>
  <c r="AR135"/>
  <c r="AR134"/>
  <c r="AR128"/>
  <c r="AR102"/>
  <c r="AR124"/>
  <c r="AM33" i="2"/>
  <c r="AM59"/>
  <c r="AM52"/>
  <c r="AM26"/>
  <c r="AM24"/>
  <c r="AM23"/>
  <c r="AM21"/>
  <c r="AM17"/>
  <c r="AM16"/>
  <c r="AM15"/>
  <c r="AM14"/>
  <c r="AM13"/>
  <c r="AM226"/>
  <c r="AM232"/>
  <c r="AM233"/>
  <c r="AM234"/>
  <c r="AM223"/>
  <c r="AM64"/>
  <c r="AM122"/>
  <c r="AM119"/>
  <c r="AM105"/>
  <c r="AM104"/>
  <c r="AM96"/>
  <c r="AM239"/>
  <c r="AM32"/>
  <c r="U76" i="3"/>
  <c r="U59"/>
  <c r="U61"/>
  <c r="U64"/>
  <c r="S66"/>
  <c r="S67"/>
  <c r="U67" s="1"/>
  <c r="S68"/>
  <c r="S70"/>
  <c r="S71"/>
  <c r="S77"/>
  <c r="S78"/>
  <c r="AR40" i="5"/>
  <c r="U40" i="3"/>
  <c r="AR80" i="5"/>
  <c r="U80" i="3"/>
  <c r="U228"/>
  <c r="U32"/>
  <c r="S79"/>
  <c r="U79" s="1"/>
  <c r="S82"/>
  <c r="S84"/>
  <c r="S88"/>
  <c r="AR73" i="5"/>
  <c r="U73" i="3"/>
  <c r="AR79" i="5"/>
  <c r="S90" i="3"/>
  <c r="AR108" i="5"/>
  <c r="S74" i="3"/>
  <c r="S75"/>
  <c r="AM76" i="2"/>
  <c r="V76" i="7"/>
  <c r="U76"/>
  <c r="V114"/>
  <c r="AM126" i="2"/>
  <c r="AM50"/>
  <c r="V50" i="7"/>
  <c r="U50"/>
  <c r="AM80" i="2"/>
  <c r="U80" i="7"/>
  <c r="V80"/>
  <c r="AM74" i="2"/>
  <c r="V74" i="7"/>
  <c r="U74"/>
  <c r="AM217" i="2"/>
  <c r="AM222"/>
  <c r="V40" i="7"/>
  <c r="V49"/>
  <c r="AM48" i="2"/>
  <c r="V48" i="7"/>
  <c r="U48"/>
  <c r="AM55" i="2"/>
  <c r="U55" i="7"/>
  <c r="V55"/>
  <c r="AM82" i="2"/>
  <c r="U82" i="7"/>
  <c r="V82"/>
  <c r="AM37" i="2"/>
  <c r="V37" i="7"/>
  <c r="U37"/>
  <c r="AM67" i="2"/>
  <c r="V67" i="7"/>
  <c r="U67"/>
  <c r="AM215" i="2"/>
  <c r="AM219"/>
  <c r="V239" i="7"/>
  <c r="AM49" i="2"/>
  <c r="AC46" i="8"/>
  <c r="AC24"/>
  <c r="AC20"/>
  <c r="AC225"/>
  <c r="AC64"/>
  <c r="AC190"/>
  <c r="AC205"/>
  <c r="AC207"/>
  <c r="AC209"/>
  <c r="AC182"/>
  <c r="AC208"/>
  <c r="AC80"/>
  <c r="AA71" i="9"/>
  <c r="AA82"/>
  <c r="AA85"/>
  <c r="AC59" i="8"/>
  <c r="AC39"/>
  <c r="AC87" i="9"/>
  <c r="AC87" i="8" s="1"/>
  <c r="AC45"/>
  <c r="AC68" i="9"/>
  <c r="AC68" i="8" s="1"/>
  <c r="AA70" i="9"/>
  <c r="AC71"/>
  <c r="AC73"/>
  <c r="AC73" i="8" s="1"/>
  <c r="AC38"/>
  <c r="AC108"/>
  <c r="AC111"/>
  <c r="AC113"/>
  <c r="AC117"/>
  <c r="AC119"/>
  <c r="AC105"/>
  <c r="AC138"/>
  <c r="AC140"/>
  <c r="AC142"/>
  <c r="AC144"/>
  <c r="AC146"/>
  <c r="AC148"/>
  <c r="AC150"/>
  <c r="AC152"/>
  <c r="AC155"/>
  <c r="AC157"/>
  <c r="AC160"/>
  <c r="AC162"/>
  <c r="AC168"/>
  <c r="AC184"/>
  <c r="AC189"/>
  <c r="AC198"/>
  <c r="AC204"/>
  <c r="AC206"/>
  <c r="AC211"/>
  <c r="AC213"/>
  <c r="AC215"/>
  <c r="AC217"/>
  <c r="AC220"/>
  <c r="AC222"/>
  <c r="AC232"/>
  <c r="AC234"/>
  <c r="AC237"/>
  <c r="AC241"/>
  <c r="AC243"/>
  <c r="AC245"/>
  <c r="AA67" i="9"/>
  <c r="AA75"/>
  <c r="AA87"/>
  <c r="AC88"/>
  <c r="AC88" i="8" s="1"/>
  <c r="AC107"/>
  <c r="AC109"/>
  <c r="AC116"/>
  <c r="AC118"/>
  <c r="AC120"/>
  <c r="AC137"/>
  <c r="AC139"/>
  <c r="AC145"/>
  <c r="AC147"/>
  <c r="AC149"/>
  <c r="AC151"/>
  <c r="AC153"/>
  <c r="AC156"/>
  <c r="AC158"/>
  <c r="AC163"/>
  <c r="AC169"/>
  <c r="AC183"/>
  <c r="AC185"/>
  <c r="AC188"/>
  <c r="AC199"/>
  <c r="AC197"/>
  <c r="AC212"/>
  <c r="AC214"/>
  <c r="AC216"/>
  <c r="AC219"/>
  <c r="AC221"/>
  <c r="AC210"/>
  <c r="AC223"/>
  <c r="AC240"/>
  <c r="AC238"/>
  <c r="AC242"/>
  <c r="AC244"/>
  <c r="AB37" i="10"/>
  <c r="AC41" i="8"/>
  <c r="AB41" i="10"/>
  <c r="AC47" i="8"/>
  <c r="AB47" i="10"/>
  <c r="AC49" i="8"/>
  <c r="AB49" i="10"/>
  <c r="AB51"/>
  <c r="AC53" i="8"/>
  <c r="AB53" i="10"/>
  <c r="AC29" i="8"/>
  <c r="AB29" i="10"/>
  <c r="AB36"/>
  <c r="AC44" i="8"/>
  <c r="AB44" i="10"/>
  <c r="AA71" i="8"/>
  <c r="AC71" s="1"/>
  <c r="AB71" i="10"/>
  <c r="AC36" i="8"/>
  <c r="AC114"/>
  <c r="AC196"/>
  <c r="E67" i="10"/>
  <c r="AB28"/>
  <c r="AB33"/>
  <c r="AB35"/>
  <c r="AC35" i="8"/>
  <c r="AC55"/>
  <c r="AA67"/>
  <c r="AB67" i="10"/>
  <c r="AA70" i="8"/>
  <c r="AC70" s="1"/>
  <c r="AB70" i="10"/>
  <c r="AA75" i="8"/>
  <c r="AC75" s="1"/>
  <c r="AB75" i="10"/>
  <c r="AA77" i="8"/>
  <c r="AC77" s="1"/>
  <c r="AB77" i="10"/>
  <c r="AC58" i="8"/>
  <c r="AC60"/>
  <c r="AB78" i="10"/>
  <c r="AA78" i="8"/>
  <c r="AC78" s="1"/>
  <c r="AA90"/>
  <c r="AC90" s="1"/>
  <c r="AB90" i="10"/>
  <c r="AC12" i="8"/>
  <c r="AB14" i="10"/>
  <c r="AC67" i="8"/>
  <c r="AC233"/>
  <c r="AC161"/>
  <c r="AC13"/>
  <c r="AM25" i="2"/>
  <c r="AY226" i="14"/>
  <c r="AC231" i="8"/>
  <c r="AC143"/>
  <c r="AC141"/>
  <c r="AY126" i="14"/>
  <c r="BN68" i="6"/>
  <c r="AZ71"/>
  <c r="AZ80"/>
  <c r="AZ85"/>
  <c r="AZ237"/>
  <c r="AZ89"/>
  <c r="AZ140"/>
  <c r="AZ142"/>
  <c r="AM129" i="2"/>
  <c r="AC129" i="8"/>
  <c r="AC128"/>
  <c r="AC124"/>
  <c r="U123" i="3"/>
  <c r="AR123" i="5"/>
  <c r="AM123" i="2"/>
  <c r="V123" i="7"/>
  <c r="U123"/>
  <c r="AC123" i="8"/>
  <c r="AY120" i="14"/>
  <c r="AC122" i="8"/>
  <c r="AC121"/>
  <c r="AY108" i="14"/>
  <c r="AC112" i="8"/>
  <c r="AC115"/>
  <c r="AY85" i="14"/>
  <c r="AC30" i="8"/>
  <c r="AC21"/>
  <c r="AC19"/>
  <c r="AY136" i="14"/>
  <c r="AM28" i="2"/>
  <c r="U28" i="7"/>
  <c r="AM39" i="2"/>
  <c r="V39" i="7"/>
  <c r="AM88" i="2"/>
  <c r="U88" i="7"/>
  <c r="AC11" i="8"/>
  <c r="AC31"/>
  <c r="AC34"/>
  <c r="AC37"/>
  <c r="AC40"/>
  <c r="AC57"/>
  <c r="AA68" i="9"/>
  <c r="AC74"/>
  <c r="AC74" i="8" s="1"/>
  <c r="AC82" i="9"/>
  <c r="AC82" i="8" s="1"/>
  <c r="AA90" i="9"/>
  <c r="AC91"/>
  <c r="AC91" i="8" s="1"/>
  <c r="AC32"/>
  <c r="AM40" i="2"/>
  <c r="AR59" i="5"/>
  <c r="AR67"/>
  <c r="AR87"/>
  <c r="AR61"/>
  <c r="AR64"/>
  <c r="AR85"/>
  <c r="BN37" i="14"/>
  <c r="AC61" i="8"/>
  <c r="V45" i="7"/>
  <c r="AC63" i="8"/>
  <c r="AC23"/>
  <c r="AC14"/>
  <c r="AC15"/>
  <c r="AC52"/>
  <c r="AC66"/>
  <c r="AC85"/>
  <c r="AC50"/>
  <c r="AR32" i="5" l="1"/>
  <c r="AR29"/>
  <c r="U29" i="3"/>
  <c r="AR78" i="5"/>
  <c r="U78" i="3"/>
  <c r="AR71" i="5"/>
  <c r="U71" i="3"/>
  <c r="AR68" i="5"/>
  <c r="U68" i="3"/>
  <c r="AR66" i="5"/>
  <c r="U66" i="3"/>
  <c r="AR62" i="5"/>
  <c r="U62" i="3"/>
  <c r="AR31" i="5"/>
  <c r="U31" i="3"/>
  <c r="AR28" i="5"/>
  <c r="U28" i="3"/>
  <c r="AR77" i="5"/>
  <c r="U77" i="3"/>
  <c r="AR70" i="5"/>
  <c r="U70" i="3"/>
  <c r="AR84" i="5"/>
  <c r="U84" i="3"/>
  <c r="AR88" i="5"/>
  <c r="U88" i="3"/>
  <c r="AR82" i="5"/>
  <c r="U82" i="3"/>
  <c r="AR41" i="5"/>
  <c r="U41" i="3"/>
  <c r="AR75" i="5"/>
  <c r="U75" i="3"/>
  <c r="AR55" i="5"/>
  <c r="U55" i="3"/>
  <c r="AR51" i="5"/>
  <c r="U51" i="3"/>
  <c r="U44"/>
  <c r="AR44" i="5"/>
  <c r="AR37"/>
  <c r="U37" i="3"/>
  <c r="AR35" i="5"/>
  <c r="U35" i="3"/>
  <c r="AR74" i="5"/>
  <c r="U74" i="3"/>
  <c r="U54"/>
  <c r="AR54" i="5"/>
  <c r="U50" i="3"/>
  <c r="AR50" i="5"/>
  <c r="AR39"/>
  <c r="U39" i="3"/>
  <c r="AR36" i="5"/>
  <c r="U36" i="3"/>
  <c r="AR34" i="5"/>
  <c r="U34" i="3"/>
  <c r="U90"/>
  <c r="AR90" i="5"/>
  <c r="AM54" i="2"/>
  <c r="V54" i="7"/>
  <c r="U54"/>
  <c r="AM51" i="2"/>
  <c r="V51" i="7"/>
  <c r="U51"/>
  <c r="AC28" i="8"/>
  <c r="AC33"/>
  <c r="AC56"/>
  <c r="AC54"/>
  <c r="AC51"/>
  <c r="AR38" i="5"/>
  <c r="U38" i="3"/>
  <c r="Y235" i="10"/>
  <c r="AB235" s="1"/>
  <c r="AA235" i="8" l="1"/>
  <c r="AC235" s="1"/>
</calcChain>
</file>

<file path=xl/sharedStrings.xml><?xml version="1.0" encoding="utf-8"?>
<sst xmlns="http://schemas.openxmlformats.org/spreadsheetml/2006/main" count="12034" uniqueCount="502">
  <si>
    <t>Assets</t>
  </si>
  <si>
    <t>Liabilities</t>
  </si>
  <si>
    <t>Net Assets</t>
  </si>
  <si>
    <t>Current</t>
  </si>
  <si>
    <t>Capital</t>
  </si>
  <si>
    <t>Deferred</t>
  </si>
  <si>
    <t>Total</t>
  </si>
  <si>
    <t>Invested in</t>
  </si>
  <si>
    <t>City</t>
  </si>
  <si>
    <t>County</t>
  </si>
  <si>
    <t>Restricted</t>
  </si>
  <si>
    <t>Unrestricted</t>
  </si>
  <si>
    <t>Akron</t>
  </si>
  <si>
    <t>Summit</t>
  </si>
  <si>
    <t>Alliance</t>
  </si>
  <si>
    <t>Stark</t>
  </si>
  <si>
    <t>Amherst</t>
  </si>
  <si>
    <t>Lorain</t>
  </si>
  <si>
    <t>Ashland</t>
  </si>
  <si>
    <t>Ashtabula</t>
  </si>
  <si>
    <t>Athens</t>
  </si>
  <si>
    <t>Aurora</t>
  </si>
  <si>
    <t>Portage</t>
  </si>
  <si>
    <t>Avon</t>
  </si>
  <si>
    <t>Avon Lake</t>
  </si>
  <si>
    <t>Barberton</t>
  </si>
  <si>
    <t>Bay Village</t>
  </si>
  <si>
    <t>Cuyahoga</t>
  </si>
  <si>
    <t>Beachwood</t>
  </si>
  <si>
    <t>Beavercreek</t>
  </si>
  <si>
    <t>Greene</t>
  </si>
  <si>
    <t>Bedford</t>
  </si>
  <si>
    <t>Bedford Heights</t>
  </si>
  <si>
    <t>Belmont</t>
  </si>
  <si>
    <t>Bellbrook</t>
  </si>
  <si>
    <t>Bellefontaine</t>
  </si>
  <si>
    <t>Logan</t>
  </si>
  <si>
    <t>Bellevue</t>
  </si>
  <si>
    <t>Huron</t>
  </si>
  <si>
    <t>Belpre</t>
  </si>
  <si>
    <t>Washington</t>
  </si>
  <si>
    <t>Berea</t>
  </si>
  <si>
    <t>Bexley</t>
  </si>
  <si>
    <t>Franklin</t>
  </si>
  <si>
    <t>Blue Ash</t>
  </si>
  <si>
    <t>Hamilton</t>
  </si>
  <si>
    <t>Bowling Green</t>
  </si>
  <si>
    <t>Wood</t>
  </si>
  <si>
    <t>Brecksville</t>
  </si>
  <si>
    <t>Broadview Heights</t>
  </si>
  <si>
    <t>Brook Park</t>
  </si>
  <si>
    <t>Brooklyn</t>
  </si>
  <si>
    <t>Brunswick</t>
  </si>
  <si>
    <t>Medina</t>
  </si>
  <si>
    <t>Bryan</t>
  </si>
  <si>
    <t>Williams</t>
  </si>
  <si>
    <t>Bucyrus</t>
  </si>
  <si>
    <t>Crawford</t>
  </si>
  <si>
    <t>Cambridge</t>
  </si>
  <si>
    <t>Guernsey</t>
  </si>
  <si>
    <t>Canfield</t>
  </si>
  <si>
    <t>Mahoning</t>
  </si>
  <si>
    <t>Canton</t>
  </si>
  <si>
    <t>Celina</t>
  </si>
  <si>
    <t>Mercer</t>
  </si>
  <si>
    <t>Centerville</t>
  </si>
  <si>
    <t>Montgomery</t>
  </si>
  <si>
    <t>Chardon</t>
  </si>
  <si>
    <t>Cheviot</t>
  </si>
  <si>
    <t>Chillicothe</t>
  </si>
  <si>
    <t>Ross</t>
  </si>
  <si>
    <t>Cincinnati</t>
  </si>
  <si>
    <t>Clayton</t>
  </si>
  <si>
    <t xml:space="preserve">Cleveland </t>
  </si>
  <si>
    <t>Cleveland Heights</t>
  </si>
  <si>
    <t>Clyde</t>
  </si>
  <si>
    <t>Sandusky</t>
  </si>
  <si>
    <t>Columbus</t>
  </si>
  <si>
    <t>Conneaut</t>
  </si>
  <si>
    <t>Cortland</t>
  </si>
  <si>
    <t>Trumbull</t>
  </si>
  <si>
    <t>Coshocton</t>
  </si>
  <si>
    <t>Cuyahoga Falls</t>
  </si>
  <si>
    <t>Dayton</t>
  </si>
  <si>
    <t>Deer Park</t>
  </si>
  <si>
    <t>Defiance</t>
  </si>
  <si>
    <t>Delaware</t>
  </si>
  <si>
    <t>Delphos</t>
  </si>
  <si>
    <t>Allen</t>
  </si>
  <si>
    <t>Tuscarawas</t>
  </si>
  <si>
    <t>Dublin</t>
  </si>
  <si>
    <t>Eastlake</t>
  </si>
  <si>
    <t>Lake</t>
  </si>
  <si>
    <t>East Liverpool</t>
  </si>
  <si>
    <t>Columbiana</t>
  </si>
  <si>
    <t>East Palestine</t>
  </si>
  <si>
    <t>Eaton</t>
  </si>
  <si>
    <t>Preble</t>
  </si>
  <si>
    <t>Elyria</t>
  </si>
  <si>
    <t>Englewood</t>
  </si>
  <si>
    <t>Euclid</t>
  </si>
  <si>
    <t>Fairborn</t>
  </si>
  <si>
    <t>Fairfield</t>
  </si>
  <si>
    <t>Butler</t>
  </si>
  <si>
    <t>Fairlawn</t>
  </si>
  <si>
    <t>Fairview Park</t>
  </si>
  <si>
    <t>Findlay</t>
  </si>
  <si>
    <t>Hancock</t>
  </si>
  <si>
    <t>Forest Park</t>
  </si>
  <si>
    <t>Fostoria</t>
  </si>
  <si>
    <t>Seneca</t>
  </si>
  <si>
    <t>Warren</t>
  </si>
  <si>
    <t>Fremont</t>
  </si>
  <si>
    <t>Gahanna</t>
  </si>
  <si>
    <t>Garfield Heights</t>
  </si>
  <si>
    <t>Geneva</t>
  </si>
  <si>
    <t>Girard</t>
  </si>
  <si>
    <t>Grandview Heights</t>
  </si>
  <si>
    <t>Green</t>
  </si>
  <si>
    <t>Highland</t>
  </si>
  <si>
    <t>Greenville</t>
  </si>
  <si>
    <t>Darke</t>
  </si>
  <si>
    <t>Grove City</t>
  </si>
  <si>
    <t>Harrison</t>
  </si>
  <si>
    <t>Heath</t>
  </si>
  <si>
    <t>Licking</t>
  </si>
  <si>
    <t>Highland Heights</t>
  </si>
  <si>
    <t>Hillard</t>
  </si>
  <si>
    <t>Hillsboro</t>
  </si>
  <si>
    <t>Hubbard</t>
  </si>
  <si>
    <t>Huber Heights</t>
  </si>
  <si>
    <t>Hudson</t>
  </si>
  <si>
    <t>Erie</t>
  </si>
  <si>
    <t>Independence</t>
  </si>
  <si>
    <t>Ironton</t>
  </si>
  <si>
    <t>Lawrence</t>
  </si>
  <si>
    <t>Jackson</t>
  </si>
  <si>
    <t>Kent</t>
  </si>
  <si>
    <t>Kenton</t>
  </si>
  <si>
    <t>Hardin</t>
  </si>
  <si>
    <t>Kettering</t>
  </si>
  <si>
    <t>Lakewood</t>
  </si>
  <si>
    <t>Lancaster</t>
  </si>
  <si>
    <t>Lebanon</t>
  </si>
  <si>
    <t>Lima</t>
  </si>
  <si>
    <t>Hocking</t>
  </si>
  <si>
    <t>London</t>
  </si>
  <si>
    <t>Madison</t>
  </si>
  <si>
    <t>Louisville</t>
  </si>
  <si>
    <t>Loveland</t>
  </si>
  <si>
    <t>Lyndhurst</t>
  </si>
  <si>
    <t>Macedonia</t>
  </si>
  <si>
    <t>Mansfield</t>
  </si>
  <si>
    <t>Richland</t>
  </si>
  <si>
    <t>Maple Heights</t>
  </si>
  <si>
    <t>Marietta</t>
  </si>
  <si>
    <t>Marion</t>
  </si>
  <si>
    <t>Martins Ferry</t>
  </si>
  <si>
    <t>Marysville</t>
  </si>
  <si>
    <t>Union</t>
  </si>
  <si>
    <t>Mason City</t>
  </si>
  <si>
    <t>Massillon</t>
  </si>
  <si>
    <t>Maumee</t>
  </si>
  <si>
    <t>Lucas</t>
  </si>
  <si>
    <t>Mayfield Heights</t>
  </si>
  <si>
    <t>Mentor</t>
  </si>
  <si>
    <t>Mentor-On-The-Lake</t>
  </si>
  <si>
    <t>Miamisburg</t>
  </si>
  <si>
    <t>Middleburg Hts</t>
  </si>
  <si>
    <t>Middletown</t>
  </si>
  <si>
    <t>Milford</t>
  </si>
  <si>
    <t>Clermont</t>
  </si>
  <si>
    <t>Monroe</t>
  </si>
  <si>
    <t>Moraine</t>
  </si>
  <si>
    <t>Mount Healthy</t>
  </si>
  <si>
    <t>Mount Vernon</t>
  </si>
  <si>
    <t>Knox</t>
  </si>
  <si>
    <t>Munroe Falls</t>
  </si>
  <si>
    <t>Napoleon</t>
  </si>
  <si>
    <t>Henry</t>
  </si>
  <si>
    <t>Nelsonville</t>
  </si>
  <si>
    <t>Newark</t>
  </si>
  <si>
    <t>New Carlisle</t>
  </si>
  <si>
    <t>Clark</t>
  </si>
  <si>
    <t>New Philadelphia</t>
  </si>
  <si>
    <t>Niles</t>
  </si>
  <si>
    <t>North Canton</t>
  </si>
  <si>
    <t>North Olmsted</t>
  </si>
  <si>
    <t>North Royalton</t>
  </si>
  <si>
    <t>North Ridegville</t>
  </si>
  <si>
    <t>Northwood</t>
  </si>
  <si>
    <t>Norton</t>
  </si>
  <si>
    <t>Norwalk</t>
  </si>
  <si>
    <t>Norwood</t>
  </si>
  <si>
    <t>Oakwood</t>
  </si>
  <si>
    <t>Oberlin</t>
  </si>
  <si>
    <t>Olmstead Falls</t>
  </si>
  <si>
    <t>Oregon</t>
  </si>
  <si>
    <t>Orrville</t>
  </si>
  <si>
    <t>Wayne</t>
  </si>
  <si>
    <t>Oxford</t>
  </si>
  <si>
    <t>Painesville</t>
  </si>
  <si>
    <t>Parma</t>
  </si>
  <si>
    <t>Parma Heights</t>
  </si>
  <si>
    <t>Pataskala</t>
  </si>
  <si>
    <t>Pepper Pike</t>
  </si>
  <si>
    <t>Perrysburg</t>
  </si>
  <si>
    <t>Pickerington</t>
  </si>
  <si>
    <t>Piqua</t>
  </si>
  <si>
    <t>Miami</t>
  </si>
  <si>
    <t>Port Clinton</t>
  </si>
  <si>
    <t>Ottawa</t>
  </si>
  <si>
    <t>Portsmouth</t>
  </si>
  <si>
    <t>Scioto</t>
  </si>
  <si>
    <t>Powell</t>
  </si>
  <si>
    <t>Ravenna</t>
  </si>
  <si>
    <t>Reading</t>
  </si>
  <si>
    <t>Reynoldsburg</t>
  </si>
  <si>
    <t>Richmond Heights</t>
  </si>
  <si>
    <t>Rittman</t>
  </si>
  <si>
    <t>Riverside</t>
  </si>
  <si>
    <t>Rocky River</t>
  </si>
  <si>
    <t>Rossford</t>
  </si>
  <si>
    <t>Salem</t>
  </si>
  <si>
    <t>Seven Hills</t>
  </si>
  <si>
    <t>Shaker Heights</t>
  </si>
  <si>
    <t>Sharonville</t>
  </si>
  <si>
    <t>Sheffield Lake</t>
  </si>
  <si>
    <t>Shelby</t>
  </si>
  <si>
    <t>Sidney</t>
  </si>
  <si>
    <t>Silverton</t>
  </si>
  <si>
    <t>Solon</t>
  </si>
  <si>
    <t>South Euclid</t>
  </si>
  <si>
    <t>Springboro</t>
  </si>
  <si>
    <t>Springdale</t>
  </si>
  <si>
    <t>Springfield</t>
  </si>
  <si>
    <t>St. Bernard</t>
  </si>
  <si>
    <t>St. Clairsville</t>
  </si>
  <si>
    <t>St. Marys</t>
  </si>
  <si>
    <t>Auglaize</t>
  </si>
  <si>
    <t>Stow</t>
  </si>
  <si>
    <t>Streetsboro</t>
  </si>
  <si>
    <t>Strongsville</t>
  </si>
  <si>
    <t>Sylvania</t>
  </si>
  <si>
    <t>Tallmadge</t>
  </si>
  <si>
    <t>Tiffin</t>
  </si>
  <si>
    <t>Tipp City</t>
  </si>
  <si>
    <t>Toledo</t>
  </si>
  <si>
    <t>Toronto</t>
  </si>
  <si>
    <t>Jefferson</t>
  </si>
  <si>
    <t>Trenton</t>
  </si>
  <si>
    <t>Trotwood</t>
  </si>
  <si>
    <t>Troy</t>
  </si>
  <si>
    <t>Twinsburg</t>
  </si>
  <si>
    <t>Uhrichsville</t>
  </si>
  <si>
    <t>University Heights</t>
  </si>
  <si>
    <t>Upper Arlington</t>
  </si>
  <si>
    <t>Upper Sandusky</t>
  </si>
  <si>
    <t>Wyandot</t>
  </si>
  <si>
    <t>Urbana</t>
  </si>
  <si>
    <t>Champaign</t>
  </si>
  <si>
    <t>Vandalia</t>
  </si>
  <si>
    <t>Vermilion</t>
  </si>
  <si>
    <t>Wadsworth</t>
  </si>
  <si>
    <t>Wapakoneta</t>
  </si>
  <si>
    <t>Warrensville Heights</t>
  </si>
  <si>
    <t>Wauseon</t>
  </si>
  <si>
    <t>Fulton</t>
  </si>
  <si>
    <t>Waverly</t>
  </si>
  <si>
    <t>Pike</t>
  </si>
  <si>
    <t>Wellston</t>
  </si>
  <si>
    <t>West Carrollton</t>
  </si>
  <si>
    <t>Westerville</t>
  </si>
  <si>
    <t>Westlake</t>
  </si>
  <si>
    <t>Whitehall</t>
  </si>
  <si>
    <t>Wickliffe</t>
  </si>
  <si>
    <t>Willard</t>
  </si>
  <si>
    <t>Willoughby</t>
  </si>
  <si>
    <t>Willoughby Hills</t>
  </si>
  <si>
    <t>Willowick</t>
  </si>
  <si>
    <t>Wilmington</t>
  </si>
  <si>
    <t>Clinton</t>
  </si>
  <si>
    <t>Wooster</t>
  </si>
  <si>
    <t>Worthington</t>
  </si>
  <si>
    <t>Wyoming</t>
  </si>
  <si>
    <t>Xenia</t>
  </si>
  <si>
    <t>Youngstown</t>
  </si>
  <si>
    <t>Zanesville</t>
  </si>
  <si>
    <t>Muskingum</t>
  </si>
  <si>
    <t>All Cities Reporting Under GAAP</t>
  </si>
  <si>
    <t>Capital Assets</t>
  </si>
  <si>
    <t>Program Revenues - Governmental Activities</t>
  </si>
  <si>
    <t>Charges for</t>
  </si>
  <si>
    <t>Property</t>
  </si>
  <si>
    <t>Other</t>
  </si>
  <si>
    <t>Investment</t>
  </si>
  <si>
    <t>General</t>
  </si>
  <si>
    <t>Services</t>
  </si>
  <si>
    <t>Grants</t>
  </si>
  <si>
    <t>Taxes</t>
  </si>
  <si>
    <t>Earnings</t>
  </si>
  <si>
    <t>Transfers</t>
  </si>
  <si>
    <t>Revenues</t>
  </si>
  <si>
    <t>Income</t>
  </si>
  <si>
    <t xml:space="preserve">Other </t>
  </si>
  <si>
    <t>Public</t>
  </si>
  <si>
    <t>Leisure</t>
  </si>
  <si>
    <t>Basic Utility</t>
  </si>
  <si>
    <t>Interest/</t>
  </si>
  <si>
    <t>Health</t>
  </si>
  <si>
    <t>Time</t>
  </si>
  <si>
    <t>Development</t>
  </si>
  <si>
    <t>Transportation</t>
  </si>
  <si>
    <t>Service</t>
  </si>
  <si>
    <t>Government</t>
  </si>
  <si>
    <t>1 Not broken out</t>
  </si>
  <si>
    <t>For the Year Ended December 31, 2002</t>
  </si>
  <si>
    <t>Reserved</t>
  </si>
  <si>
    <t>Unreserved/</t>
  </si>
  <si>
    <t>Cash and</t>
  </si>
  <si>
    <t>Fund</t>
  </si>
  <si>
    <t>Undesignated</t>
  </si>
  <si>
    <t>Investments</t>
  </si>
  <si>
    <t>Revenue</t>
  </si>
  <si>
    <t>Balance</t>
  </si>
  <si>
    <t>Fund Balance</t>
  </si>
  <si>
    <t>Income Tax</t>
  </si>
  <si>
    <t>Inter-</t>
  </si>
  <si>
    <t>Special</t>
  </si>
  <si>
    <t>Fees, Licenses</t>
  </si>
  <si>
    <t>All Other</t>
  </si>
  <si>
    <t>governmental</t>
  </si>
  <si>
    <t>Assessments</t>
  </si>
  <si>
    <t>Community</t>
  </si>
  <si>
    <t>Other Current</t>
  </si>
  <si>
    <t>Environment</t>
  </si>
  <si>
    <t>Activities</t>
  </si>
  <si>
    <t>Expenditures</t>
  </si>
  <si>
    <t>Outlay</t>
  </si>
  <si>
    <t>Principal</t>
  </si>
  <si>
    <t>Fiscal Charges</t>
  </si>
  <si>
    <t xml:space="preserve">Tiffin </t>
  </si>
  <si>
    <t>Cleveland</t>
  </si>
  <si>
    <t>Champgain</t>
  </si>
  <si>
    <t>Interest and</t>
  </si>
  <si>
    <t>Operating</t>
  </si>
  <si>
    <t>Champagin</t>
  </si>
  <si>
    <t>|</t>
  </si>
  <si>
    <t>Long-Term Obligations</t>
  </si>
  <si>
    <t>Property,</t>
  </si>
  <si>
    <t>Mortgage and</t>
  </si>
  <si>
    <t>Non-Current</t>
  </si>
  <si>
    <t>Long-Term</t>
  </si>
  <si>
    <t>Expenses Less</t>
  </si>
  <si>
    <t>Non-Operating</t>
  </si>
  <si>
    <t>Net Working</t>
  </si>
  <si>
    <t>Obligation</t>
  </si>
  <si>
    <t>Depreciation</t>
  </si>
  <si>
    <t>Income/Loss</t>
  </si>
  <si>
    <t>Transfers-In</t>
  </si>
  <si>
    <t>Transfers-Out</t>
  </si>
  <si>
    <t>Contributions</t>
  </si>
  <si>
    <t>Bonds</t>
  </si>
  <si>
    <t>Loans</t>
  </si>
  <si>
    <t>Obligations</t>
  </si>
  <si>
    <t xml:space="preserve">Mount Healthy </t>
  </si>
  <si>
    <t>No Notes, cant breakdown enterprise</t>
  </si>
  <si>
    <t>No breakdown avaiable</t>
  </si>
  <si>
    <t>Change in</t>
  </si>
  <si>
    <t>Champiagn</t>
  </si>
  <si>
    <t>Clintion</t>
  </si>
  <si>
    <t xml:space="preserve">No Segment information avaiable </t>
  </si>
  <si>
    <t>not broken out</t>
  </si>
  <si>
    <t>Revenues/</t>
  </si>
  <si>
    <t>Expenses</t>
  </si>
  <si>
    <t>Geauga</t>
  </si>
  <si>
    <t>All</t>
  </si>
  <si>
    <t>Assessment</t>
  </si>
  <si>
    <t>Notes</t>
  </si>
  <si>
    <t>Compensated</t>
  </si>
  <si>
    <t>Payables</t>
  </si>
  <si>
    <t>Payable</t>
  </si>
  <si>
    <t>Leases</t>
  </si>
  <si>
    <t>Absences</t>
  </si>
  <si>
    <t>Revenues from the Statement of Activities</t>
  </si>
  <si>
    <t>Expenses from the Statement of Activities</t>
  </si>
  <si>
    <t>Ontario</t>
  </si>
  <si>
    <t>General Fund Revenues - Modified Accrual Basis of Accounting</t>
  </si>
  <si>
    <t>General Fund Expenditures - Modified Accrual Basis of Accounting</t>
  </si>
  <si>
    <t>Governmental Fund Expenditures - Modified Accrual Basis of Accounting</t>
  </si>
  <si>
    <t xml:space="preserve">Summary Data from the Governmental Fund Balance Sheet </t>
  </si>
  <si>
    <t>Water Enterprise Fund</t>
  </si>
  <si>
    <t>Sewer Enterprise Fund</t>
  </si>
  <si>
    <t>Electric Enterprise Fund</t>
  </si>
  <si>
    <t xml:space="preserve">Dover </t>
  </si>
  <si>
    <t>Dover</t>
  </si>
  <si>
    <t xml:space="preserve">Security of </t>
  </si>
  <si>
    <t xml:space="preserve"> Property</t>
  </si>
  <si>
    <t>Persons and</t>
  </si>
  <si>
    <t>Operating Grants</t>
  </si>
  <si>
    <t>and Interest</t>
  </si>
  <si>
    <t>and Fines</t>
  </si>
  <si>
    <t xml:space="preserve">Ontario </t>
  </si>
  <si>
    <t>1 information not available</t>
  </si>
  <si>
    <t>1 not broken out</t>
  </si>
  <si>
    <t>No Segment information provided</t>
  </si>
  <si>
    <t>No breakdown aviable</t>
  </si>
  <si>
    <t>1 Not enough info to determine</t>
  </si>
  <si>
    <t>1 Loans not broken out</t>
  </si>
  <si>
    <t>Information missing from segment info to calculate</t>
  </si>
  <si>
    <t>Information not available</t>
  </si>
  <si>
    <t>Additions to</t>
  </si>
  <si>
    <t>Deletions from</t>
  </si>
  <si>
    <t>Plant and</t>
  </si>
  <si>
    <t>Revenue/Expense</t>
  </si>
  <si>
    <t>Equipment</t>
  </si>
  <si>
    <t>Summary Data from the General Fund Balance Sheet</t>
  </si>
  <si>
    <t xml:space="preserve">Total </t>
  </si>
  <si>
    <t>General Fund</t>
  </si>
  <si>
    <t xml:space="preserve">Plant and </t>
  </si>
  <si>
    <t xml:space="preserve">                                              Expenses - Governmental Activities</t>
  </si>
  <si>
    <t>General Long-Term Obligations</t>
  </si>
  <si>
    <t xml:space="preserve">Persons and </t>
  </si>
  <si>
    <t>Taxes (1)</t>
  </si>
  <si>
    <t>Summary Data from the Statement of Net Assets - Governmental Activities</t>
  </si>
  <si>
    <t>Total General</t>
  </si>
  <si>
    <t>Total All</t>
  </si>
  <si>
    <t>Net</t>
  </si>
  <si>
    <t>Balanced</t>
  </si>
  <si>
    <t>=0</t>
  </si>
  <si>
    <t xml:space="preserve">  =0</t>
  </si>
  <si>
    <t>Inventory</t>
  </si>
  <si>
    <t>Other Financing</t>
  </si>
  <si>
    <t>Uses</t>
  </si>
  <si>
    <t>Financing</t>
  </si>
  <si>
    <t>Sources</t>
  </si>
  <si>
    <t>If = 0</t>
  </si>
  <si>
    <t>Designated</t>
  </si>
  <si>
    <t>Than One Year</t>
  </si>
  <si>
    <t>In/(Out)</t>
  </si>
  <si>
    <t xml:space="preserve">Due </t>
  </si>
  <si>
    <t>Within</t>
  </si>
  <si>
    <t>1 Year</t>
  </si>
  <si>
    <t>Items</t>
  </si>
  <si>
    <t>Revenues,</t>
  </si>
  <si>
    <t>Transfers and</t>
  </si>
  <si>
    <t>Special Items</t>
  </si>
  <si>
    <t xml:space="preserve">Special </t>
  </si>
  <si>
    <t>Due in More</t>
  </si>
  <si>
    <t xml:space="preserve">  </t>
  </si>
  <si>
    <t>.</t>
  </si>
  <si>
    <t>Fayette</t>
  </si>
  <si>
    <t>at Beginning</t>
  </si>
  <si>
    <t>of Year</t>
  </si>
  <si>
    <t>Increase/Decrease</t>
  </si>
  <si>
    <t>in Reserve for</t>
  </si>
  <si>
    <t xml:space="preserve">in Prepaids </t>
  </si>
  <si>
    <t xml:space="preserve">and/or Reserve </t>
  </si>
  <si>
    <t>for Inventory</t>
  </si>
  <si>
    <t>Assets at</t>
  </si>
  <si>
    <t>End of Year</t>
  </si>
  <si>
    <t xml:space="preserve"> </t>
  </si>
  <si>
    <t>Brookville</t>
  </si>
  <si>
    <t>Circleville</t>
  </si>
  <si>
    <t>Pickaway</t>
  </si>
  <si>
    <t>Crestline</t>
  </si>
  <si>
    <t xml:space="preserve">Bedford Heights </t>
  </si>
  <si>
    <t xml:space="preserve">Aurora </t>
  </si>
  <si>
    <t xml:space="preserve">Franklin </t>
  </si>
  <si>
    <t xml:space="preserve">Celina </t>
  </si>
  <si>
    <t xml:space="preserve">            General Revenues     - Governmental Activities</t>
  </si>
  <si>
    <t>(1) May include income and other taxes if not presented separately</t>
  </si>
  <si>
    <t>Summary Data from the Statement of Net Assets</t>
  </si>
  <si>
    <t>Summary Data from the Statement of Revenues, Expenses, and Changes in Net Assets</t>
  </si>
  <si>
    <t>Other Non-</t>
  </si>
  <si>
    <t>Current Assets</t>
  </si>
  <si>
    <t>Canal Fulton</t>
  </si>
  <si>
    <t>Indian Hill</t>
  </si>
  <si>
    <t>Kirtland</t>
  </si>
  <si>
    <t xml:space="preserve">Kirtland </t>
  </si>
  <si>
    <t>Kirkland</t>
  </si>
  <si>
    <t>Madeira</t>
  </si>
  <si>
    <t>Indian Hills</t>
  </si>
  <si>
    <t xml:space="preserve">Indian Hills </t>
  </si>
  <si>
    <t>(Continued)</t>
  </si>
  <si>
    <t>Carlisle</t>
  </si>
  <si>
    <t>Steubenville</t>
  </si>
  <si>
    <t>New Franklin</t>
  </si>
  <si>
    <t>East Cleveland</t>
  </si>
  <si>
    <t>Galion</t>
  </si>
  <si>
    <t xml:space="preserve">Galion </t>
  </si>
  <si>
    <t>Kenton - Cash Basis</t>
  </si>
  <si>
    <t>Olmsted Falls</t>
  </si>
  <si>
    <t>Governmental Fund Revenues - Modified Accrual Basis of Accounting</t>
  </si>
  <si>
    <t xml:space="preserve">Water Enterprise Fund </t>
  </si>
  <si>
    <t>As of December 31, 2008</t>
  </si>
  <si>
    <t>Sanitantion Enterprise Fund</t>
  </si>
  <si>
    <t>Sanitation Enterprise Fund</t>
  </si>
  <si>
    <t>Not in Box</t>
  </si>
  <si>
    <t>audit not released yet</t>
  </si>
  <si>
    <t>Didn't balance / Audit not yet released</t>
  </si>
  <si>
    <t>For the Year Ended December 31, 2008</t>
  </si>
</sst>
</file>

<file path=xl/styles.xml><?xml version="1.0" encoding="utf-8"?>
<styleSheet xmlns="http://schemas.openxmlformats.org/spreadsheetml/2006/main">
  <numFmts count="4">
    <numFmt numFmtId="5" formatCode="&quot;$&quot;#,##0_);\(&quot;$&quot;#,##0\)"/>
    <numFmt numFmtId="43" formatCode="_(* #,##0.00_);_(* \(#,##0.00\);_(* &quot;-&quot;??_);_(@_)"/>
    <numFmt numFmtId="164" formatCode="_(* #,##0_);_(* \(#,##0\);_(* &quot;-&quot;??_);_(@_)"/>
    <numFmt numFmtId="165" formatCode="0_);\(0\)"/>
  </numFmts>
  <fonts count="11">
    <font>
      <sz val="10"/>
      <name val="Arial"/>
    </font>
    <font>
      <sz val="10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rgb="FF9C000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</borders>
  <cellStyleXfs count="5">
    <xf numFmtId="0" fontId="0" fillId="0" borderId="0" applyProtection="0"/>
    <xf numFmtId="43" fontId="1" fillId="0" borderId="0" applyFont="0" applyFill="0" applyBorder="0" applyAlignment="0" applyProtection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0" fontId="10" fillId="4" borderId="0" applyNumberFormat="0" applyBorder="0" applyAlignment="0" applyProtection="0"/>
  </cellStyleXfs>
  <cellXfs count="162">
    <xf numFmtId="0" fontId="0" fillId="0" borderId="0" xfId="0"/>
    <xf numFmtId="37" fontId="2" fillId="0" borderId="0" xfId="0" applyNumberFormat="1" applyFont="1"/>
    <xf numFmtId="37" fontId="3" fillId="0" borderId="0" xfId="0" applyNumberFormat="1" applyFont="1"/>
    <xf numFmtId="37" fontId="3" fillId="0" borderId="0" xfId="0" applyNumberFormat="1" applyFont="1" applyAlignment="1">
      <alignment horizontal="center"/>
    </xf>
    <xf numFmtId="37" fontId="3" fillId="0" borderId="1" xfId="0" applyNumberFormat="1" applyFont="1" applyBorder="1" applyAlignment="1">
      <alignment horizontal="centerContinuous"/>
    </xf>
    <xf numFmtId="37" fontId="3" fillId="0" borderId="0" xfId="0" applyNumberFormat="1" applyFont="1" applyBorder="1"/>
    <xf numFmtId="37" fontId="3" fillId="0" borderId="0" xfId="0" applyNumberFormat="1" applyFont="1" applyBorder="1" applyAlignment="1">
      <alignment horizontal="center"/>
    </xf>
    <xf numFmtId="37" fontId="3" fillId="0" borderId="1" xfId="0" applyNumberFormat="1" applyFont="1" applyFill="1" applyBorder="1" applyAlignment="1">
      <alignment horizontal="center"/>
    </xf>
    <xf numFmtId="37" fontId="3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3" fillId="0" borderId="0" xfId="0" applyFont="1"/>
    <xf numFmtId="3" fontId="3" fillId="0" borderId="0" xfId="0" applyNumberFormat="1" applyFont="1" applyBorder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3" fillId="0" borderId="0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3" fontId="3" fillId="0" borderId="0" xfId="0" applyNumberFormat="1" applyFont="1"/>
    <xf numFmtId="0" fontId="3" fillId="0" borderId="0" xfId="0" applyFont="1" applyFill="1" applyBorder="1" applyAlignment="1">
      <alignment horizontal="center"/>
    </xf>
    <xf numFmtId="0" fontId="3" fillId="0" borderId="0" xfId="0" applyFont="1" applyBorder="1"/>
    <xf numFmtId="37" fontId="2" fillId="0" borderId="0" xfId="0" applyNumberFormat="1" applyFont="1" applyBorder="1" applyAlignment="1"/>
    <xf numFmtId="37" fontId="3" fillId="0" borderId="0" xfId="2" applyNumberFormat="1" applyFont="1" applyBorder="1" applyAlignment="1">
      <alignment horizontal="right"/>
    </xf>
    <xf numFmtId="37" fontId="2" fillId="0" borderId="0" xfId="0" applyNumberFormat="1" applyFont="1" applyBorder="1"/>
    <xf numFmtId="3" fontId="2" fillId="0" borderId="0" xfId="0" applyNumberFormat="1" applyFont="1" applyBorder="1" applyAlignment="1">
      <alignment horizontal="left"/>
    </xf>
    <xf numFmtId="3" fontId="2" fillId="0" borderId="0" xfId="0" applyNumberFormat="1" applyFont="1" applyBorder="1"/>
    <xf numFmtId="3" fontId="3" fillId="0" borderId="0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3" fillId="0" borderId="0" xfId="0" applyFont="1" applyFill="1" applyBorder="1"/>
    <xf numFmtId="37" fontId="2" fillId="0" borderId="0" xfId="0" applyNumberFormat="1" applyFont="1" applyBorder="1" applyAlignment="1">
      <alignment horizontal="left"/>
    </xf>
    <xf numFmtId="3" fontId="3" fillId="0" borderId="0" xfId="0" applyNumberFormat="1" applyFont="1" applyAlignment="1">
      <alignment horizontal="center"/>
    </xf>
    <xf numFmtId="3" fontId="2" fillId="0" borderId="0" xfId="0" applyNumberFormat="1" applyFont="1"/>
    <xf numFmtId="37" fontId="3" fillId="0" borderId="0" xfId="0" applyNumberFormat="1" applyFont="1" applyAlignment="1">
      <alignment horizontal="right"/>
    </xf>
    <xf numFmtId="37" fontId="2" fillId="0" borderId="0" xfId="0" applyNumberFormat="1" applyFont="1" applyBorder="1" applyAlignment="1">
      <alignment horizontal="center"/>
    </xf>
    <xf numFmtId="37" fontId="3" fillId="0" borderId="1" xfId="0" applyNumberFormat="1" applyFont="1" applyFill="1" applyBorder="1" applyAlignment="1">
      <alignment horizontal="centerContinuous"/>
    </xf>
    <xf numFmtId="37" fontId="3" fillId="0" borderId="0" xfId="0" applyNumberFormat="1" applyFont="1" applyFill="1" applyBorder="1"/>
    <xf numFmtId="37" fontId="3" fillId="0" borderId="0" xfId="2" applyNumberFormat="1" applyFont="1" applyBorder="1"/>
    <xf numFmtId="37" fontId="3" fillId="0" borderId="0" xfId="0" applyNumberFormat="1" applyFont="1" applyBorder="1" applyAlignment="1">
      <alignment horizontal="right"/>
    </xf>
    <xf numFmtId="37" fontId="2" fillId="0" borderId="0" xfId="2" applyNumberFormat="1" applyFont="1" applyBorder="1" applyAlignment="1">
      <alignment horizontal="centerContinuous"/>
    </xf>
    <xf numFmtId="37" fontId="2" fillId="0" borderId="0" xfId="2" applyNumberFormat="1" applyFont="1" applyBorder="1"/>
    <xf numFmtId="37" fontId="3" fillId="0" borderId="0" xfId="2" applyNumberFormat="1" applyFont="1" applyBorder="1" applyAlignment="1">
      <alignment horizontal="left"/>
    </xf>
    <xf numFmtId="37" fontId="3" fillId="0" borderId="0" xfId="2" applyNumberFormat="1" applyFont="1" applyBorder="1" applyAlignment="1">
      <alignment horizontal="center"/>
    </xf>
    <xf numFmtId="37" fontId="2" fillId="0" borderId="0" xfId="2" applyNumberFormat="1" applyFont="1" applyBorder="1" applyAlignment="1">
      <alignment horizontal="left"/>
    </xf>
    <xf numFmtId="3" fontId="2" fillId="0" borderId="0" xfId="2" applyFont="1" applyBorder="1" applyAlignment="1">
      <alignment horizontal="left"/>
    </xf>
    <xf numFmtId="37" fontId="3" fillId="0" borderId="0" xfId="0" applyNumberFormat="1" applyFont="1" applyFill="1"/>
    <xf numFmtId="37" fontId="3" fillId="0" borderId="0" xfId="2" applyNumberFormat="1" applyFont="1" applyFill="1" applyBorder="1" applyAlignment="1">
      <alignment horizontal="right"/>
    </xf>
    <xf numFmtId="5" fontId="3" fillId="0" borderId="0" xfId="0" applyNumberFormat="1" applyFont="1" applyFill="1"/>
    <xf numFmtId="0" fontId="3" fillId="0" borderId="0" xfId="0" applyFont="1" applyFill="1"/>
    <xf numFmtId="37" fontId="3" fillId="0" borderId="0" xfId="0" applyNumberFormat="1" applyFont="1" applyFill="1" applyAlignment="1">
      <alignment horizontal="right"/>
    </xf>
    <xf numFmtId="3" fontId="3" fillId="0" borderId="0" xfId="0" applyNumberFormat="1" applyFont="1" applyFill="1"/>
    <xf numFmtId="3" fontId="3" fillId="0" borderId="0" xfId="0" applyNumberFormat="1" applyFont="1" applyFill="1" applyBorder="1"/>
    <xf numFmtId="0" fontId="0" fillId="0" borderId="0" xfId="0" applyFill="1"/>
    <xf numFmtId="3" fontId="3" fillId="0" borderId="0" xfId="2" applyNumberFormat="1" applyFont="1" applyFill="1" applyBorder="1"/>
    <xf numFmtId="37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 applyBorder="1" applyAlignment="1">
      <alignment horizontal="center"/>
    </xf>
    <xf numFmtId="37" fontId="3" fillId="0" borderId="0" xfId="2" applyNumberFormat="1" applyFont="1" applyFill="1" applyBorder="1"/>
    <xf numFmtId="0" fontId="3" fillId="0" borderId="0" xfId="0" applyFont="1" applyBorder="1" applyAlignment="1"/>
    <xf numFmtId="37" fontId="0" fillId="0" borderId="0" xfId="0" applyNumberFormat="1"/>
    <xf numFmtId="3" fontId="2" fillId="2" borderId="0" xfId="0" applyNumberFormat="1" applyFont="1" applyFill="1" applyBorder="1"/>
    <xf numFmtId="3" fontId="3" fillId="2" borderId="0" xfId="0" applyNumberFormat="1" applyFont="1" applyFill="1" applyBorder="1"/>
    <xf numFmtId="3" fontId="3" fillId="2" borderId="0" xfId="0" applyNumberFormat="1" applyFont="1" applyFill="1"/>
    <xf numFmtId="37" fontId="3" fillId="2" borderId="0" xfId="0" applyNumberFormat="1" applyFont="1" applyFill="1" applyBorder="1"/>
    <xf numFmtId="37" fontId="2" fillId="2" borderId="0" xfId="0" applyNumberFormat="1" applyFont="1" applyFill="1" applyBorder="1"/>
    <xf numFmtId="37" fontId="3" fillId="2" borderId="0" xfId="0" applyNumberFormat="1" applyFont="1" applyFill="1" applyBorder="1" applyAlignment="1">
      <alignment horizontal="center"/>
    </xf>
    <xf numFmtId="5" fontId="3" fillId="0" borderId="0" xfId="0" applyNumberFormat="1" applyFont="1" applyFill="1" applyBorder="1"/>
    <xf numFmtId="37" fontId="0" fillId="0" borderId="0" xfId="0" applyNumberFormat="1" applyFill="1"/>
    <xf numFmtId="5" fontId="0" fillId="0" borderId="0" xfId="0" applyNumberFormat="1" applyFill="1"/>
    <xf numFmtId="37" fontId="3" fillId="0" borderId="0" xfId="0" applyNumberFormat="1" applyFont="1" applyBorder="1" applyAlignment="1"/>
    <xf numFmtId="5" fontId="3" fillId="0" borderId="0" xfId="0" applyNumberFormat="1" applyFont="1" applyFill="1" applyAlignment="1">
      <alignment horizontal="right"/>
    </xf>
    <xf numFmtId="37" fontId="5" fillId="0" borderId="0" xfId="0" applyNumberFormat="1" applyFont="1"/>
    <xf numFmtId="37" fontId="2" fillId="0" borderId="0" xfId="0" applyNumberFormat="1" applyFont="1" applyAlignment="1"/>
    <xf numFmtId="37" fontId="0" fillId="0" borderId="0" xfId="0" applyNumberFormat="1" applyAlignment="1">
      <alignment horizontal="center"/>
    </xf>
    <xf numFmtId="0" fontId="3" fillId="0" borderId="1" xfId="0" applyFont="1" applyBorder="1" applyAlignment="1"/>
    <xf numFmtId="37" fontId="2" fillId="0" borderId="0" xfId="0" applyNumberFormat="1" applyFont="1" applyBorder="1" applyAlignment="1">
      <alignment horizontal="right"/>
    </xf>
    <xf numFmtId="37" fontId="2" fillId="0" borderId="0" xfId="0" applyNumberFormat="1" applyFont="1" applyFill="1" applyBorder="1" applyAlignment="1">
      <alignment horizontal="left"/>
    </xf>
    <xf numFmtId="37" fontId="2" fillId="0" borderId="0" xfId="0" applyNumberFormat="1" applyFont="1" applyFill="1" applyBorder="1"/>
    <xf numFmtId="3" fontId="2" fillId="0" borderId="0" xfId="2" applyFont="1" applyFill="1" applyBorder="1" applyAlignment="1">
      <alignment horizontal="left"/>
    </xf>
    <xf numFmtId="37" fontId="3" fillId="0" borderId="0" xfId="0" applyNumberFormat="1" applyFont="1" applyFill="1" applyBorder="1" applyAlignment="1">
      <alignment horizontal="centerContinuous"/>
    </xf>
    <xf numFmtId="37" fontId="3" fillId="0" borderId="2" xfId="0" applyNumberFormat="1" applyFont="1" applyFill="1" applyBorder="1" applyAlignment="1">
      <alignment horizontal="center"/>
    </xf>
    <xf numFmtId="5" fontId="3" fillId="0" borderId="0" xfId="0" applyNumberFormat="1" applyFont="1" applyFill="1" applyBorder="1" applyAlignment="1">
      <alignment horizontal="right"/>
    </xf>
    <xf numFmtId="37" fontId="2" fillId="0" borderId="0" xfId="0" applyNumberFormat="1" applyFont="1" applyFill="1"/>
    <xf numFmtId="37" fontId="3" fillId="0" borderId="0" xfId="0" applyNumberFormat="1" applyFont="1" applyFill="1" applyAlignment="1">
      <alignment horizontal="center"/>
    </xf>
    <xf numFmtId="37" fontId="2" fillId="0" borderId="0" xfId="2" applyNumberFormat="1" applyFont="1" applyBorder="1" applyAlignment="1"/>
    <xf numFmtId="37" fontId="3" fillId="0" borderId="0" xfId="2" applyNumberFormat="1" applyFont="1" applyBorder="1" applyAlignment="1"/>
    <xf numFmtId="37" fontId="3" fillId="0" borderId="0" xfId="2" applyNumberFormat="1" applyFont="1" applyFill="1" applyBorder="1" applyAlignment="1"/>
    <xf numFmtId="37" fontId="2" fillId="0" borderId="0" xfId="2" applyNumberFormat="1" applyFont="1" applyFill="1" applyBorder="1"/>
    <xf numFmtId="37" fontId="2" fillId="0" borderId="0" xfId="2" applyNumberFormat="1" applyFont="1" applyFill="1" applyBorder="1" applyAlignment="1">
      <alignment horizontal="centerContinuous"/>
    </xf>
    <xf numFmtId="37" fontId="3" fillId="0" borderId="0" xfId="2" applyNumberFormat="1" applyFont="1" applyFill="1" applyBorder="1" applyAlignment="1">
      <alignment horizontal="left"/>
    </xf>
    <xf numFmtId="37" fontId="2" fillId="0" borderId="0" xfId="2" applyNumberFormat="1" applyFont="1" applyFill="1" applyBorder="1" applyAlignment="1">
      <alignment horizontal="left"/>
    </xf>
    <xf numFmtId="37" fontId="3" fillId="0" borderId="0" xfId="2" applyNumberFormat="1" applyFont="1" applyFill="1" applyBorder="1" applyAlignment="1">
      <alignment horizontal="center"/>
    </xf>
    <xf numFmtId="5" fontId="3" fillId="0" borderId="0" xfId="2" applyNumberFormat="1" applyFont="1" applyFill="1" applyBorder="1"/>
    <xf numFmtId="5" fontId="2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left"/>
    </xf>
    <xf numFmtId="37" fontId="3" fillId="0" borderId="0" xfId="0" applyNumberFormat="1" applyFont="1" applyFill="1" applyBorder="1" applyAlignment="1"/>
    <xf numFmtId="5" fontId="3" fillId="0" borderId="0" xfId="2" applyNumberFormat="1" applyFont="1" applyFill="1" applyBorder="1" applyAlignment="1">
      <alignment horizontal="right"/>
    </xf>
    <xf numFmtId="5" fontId="3" fillId="0" borderId="0" xfId="2" applyNumberFormat="1" applyFont="1" applyFill="1" applyBorder="1" applyAlignment="1"/>
    <xf numFmtId="0" fontId="6" fillId="0" borderId="0" xfId="0" applyFont="1" applyFill="1"/>
    <xf numFmtId="0" fontId="3" fillId="0" borderId="0" xfId="0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3" fontId="3" fillId="0" borderId="1" xfId="0" quotePrefix="1" applyNumberFormat="1" applyFont="1" applyFill="1" applyBorder="1" applyAlignment="1">
      <alignment horizontal="center"/>
    </xf>
    <xf numFmtId="0" fontId="3" fillId="0" borderId="1" xfId="0" quotePrefix="1" applyFont="1" applyFill="1" applyBorder="1" applyAlignment="1">
      <alignment horizontal="center"/>
    </xf>
    <xf numFmtId="164" fontId="3" fillId="0" borderId="0" xfId="1" applyNumberFormat="1" applyFont="1" applyFill="1"/>
    <xf numFmtId="37" fontId="3" fillId="0" borderId="0" xfId="0" quotePrefix="1" applyNumberFormat="1" applyFont="1" applyFill="1" applyAlignment="1">
      <alignment horizontal="center"/>
    </xf>
    <xf numFmtId="37" fontId="3" fillId="0" borderId="1" xfId="2" applyNumberFormat="1" applyFont="1" applyFill="1" applyBorder="1" applyAlignment="1">
      <alignment horizontal="center"/>
    </xf>
    <xf numFmtId="37" fontId="0" fillId="0" borderId="0" xfId="0" applyNumberFormat="1" applyFill="1" applyAlignment="1">
      <alignment horizontal="center"/>
    </xf>
    <xf numFmtId="37" fontId="6" fillId="0" borderId="0" xfId="0" applyNumberFormat="1" applyFont="1" applyFill="1"/>
    <xf numFmtId="37" fontId="7" fillId="0" borderId="0" xfId="0" applyNumberFormat="1" applyFont="1" applyFill="1"/>
    <xf numFmtId="0" fontId="8" fillId="0" borderId="0" xfId="0" applyFont="1"/>
    <xf numFmtId="3" fontId="9" fillId="0" borderId="0" xfId="0" applyNumberFormat="1" applyFont="1"/>
    <xf numFmtId="0" fontId="9" fillId="0" borderId="0" xfId="0" applyFont="1"/>
    <xf numFmtId="37" fontId="9" fillId="0" borderId="0" xfId="0" applyNumberFormat="1" applyFont="1"/>
    <xf numFmtId="37" fontId="9" fillId="0" borderId="0" xfId="0" applyNumberFormat="1" applyFont="1" applyAlignment="1">
      <alignment horizontal="right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5" fontId="9" fillId="0" borderId="0" xfId="0" applyNumberFormat="1" applyFont="1" applyFill="1"/>
    <xf numFmtId="37" fontId="9" fillId="0" borderId="0" xfId="0" applyNumberFormat="1" applyFont="1" applyFill="1"/>
    <xf numFmtId="3" fontId="9" fillId="0" borderId="0" xfId="0" applyNumberFormat="1" applyFont="1" applyFill="1"/>
    <xf numFmtId="37" fontId="9" fillId="0" borderId="0" xfId="0" applyNumberFormat="1" applyFont="1" applyFill="1" applyAlignment="1">
      <alignment horizontal="right"/>
    </xf>
    <xf numFmtId="37" fontId="3" fillId="3" borderId="0" xfId="0" applyNumberFormat="1" applyFont="1" applyFill="1"/>
    <xf numFmtId="0" fontId="3" fillId="3" borderId="0" xfId="0" applyFont="1" applyFill="1"/>
    <xf numFmtId="5" fontId="3" fillId="3" borderId="0" xfId="0" applyNumberFormat="1" applyFont="1" applyFill="1"/>
    <xf numFmtId="0" fontId="0" fillId="3" borderId="0" xfId="0" applyFill="1"/>
    <xf numFmtId="37" fontId="0" fillId="3" borderId="0" xfId="0" applyNumberFormat="1" applyFill="1"/>
    <xf numFmtId="37" fontId="3" fillId="3" borderId="0" xfId="0" applyNumberFormat="1" applyFont="1" applyFill="1" applyBorder="1"/>
    <xf numFmtId="37" fontId="3" fillId="3" borderId="0" xfId="2" applyNumberFormat="1" applyFont="1" applyFill="1" applyBorder="1" applyAlignment="1">
      <alignment horizontal="right"/>
    </xf>
    <xf numFmtId="5" fontId="3" fillId="3" borderId="0" xfId="2" applyNumberFormat="1" applyFont="1" applyFill="1" applyBorder="1" applyAlignment="1">
      <alignment horizontal="right"/>
    </xf>
    <xf numFmtId="5" fontId="3" fillId="3" borderId="0" xfId="0" applyNumberFormat="1" applyFont="1" applyFill="1" applyBorder="1"/>
    <xf numFmtId="3" fontId="3" fillId="3" borderId="0" xfId="0" applyNumberFormat="1" applyFont="1" applyFill="1"/>
    <xf numFmtId="0" fontId="3" fillId="3" borderId="0" xfId="0" applyFont="1" applyFill="1" applyBorder="1"/>
    <xf numFmtId="37" fontId="3" fillId="3" borderId="0" xfId="0" applyNumberFormat="1" applyFont="1" applyFill="1" applyAlignment="1">
      <alignment horizontal="right"/>
    </xf>
    <xf numFmtId="5" fontId="3" fillId="3" borderId="0" xfId="2" applyNumberFormat="1" applyFont="1" applyFill="1" applyBorder="1"/>
    <xf numFmtId="3" fontId="3" fillId="3" borderId="0" xfId="2" applyNumberFormat="1" applyFont="1" applyFill="1" applyBorder="1"/>
    <xf numFmtId="3" fontId="3" fillId="3" borderId="0" xfId="0" applyNumberFormat="1" applyFont="1" applyFill="1" applyBorder="1"/>
    <xf numFmtId="0" fontId="9" fillId="3" borderId="0" xfId="0" applyFont="1" applyFill="1"/>
    <xf numFmtId="5" fontId="3" fillId="3" borderId="0" xfId="0" applyNumberFormat="1" applyFont="1" applyFill="1" applyBorder="1" applyAlignment="1">
      <alignment horizontal="right"/>
    </xf>
    <xf numFmtId="37" fontId="9" fillId="3" borderId="0" xfId="0" applyNumberFormat="1" applyFont="1" applyFill="1"/>
    <xf numFmtId="5" fontId="0" fillId="3" borderId="0" xfId="0" applyNumberFormat="1" applyFill="1"/>
    <xf numFmtId="37" fontId="3" fillId="3" borderId="0" xfId="0" applyNumberFormat="1" applyFont="1" applyFill="1" applyBorder="1" applyAlignment="1">
      <alignment horizontal="right"/>
    </xf>
    <xf numFmtId="5" fontId="2" fillId="3" borderId="0" xfId="0" applyNumberFormat="1" applyFont="1" applyFill="1" applyBorder="1" applyAlignment="1">
      <alignment horizontal="center"/>
    </xf>
    <xf numFmtId="37" fontId="2" fillId="3" borderId="0" xfId="0" applyNumberFormat="1" applyFont="1" applyFill="1" applyBorder="1" applyAlignment="1">
      <alignment horizontal="center"/>
    </xf>
    <xf numFmtId="37" fontId="3" fillId="3" borderId="0" xfId="2" applyNumberFormat="1" applyFont="1" applyFill="1" applyBorder="1"/>
    <xf numFmtId="37" fontId="3" fillId="3" borderId="0" xfId="2" applyNumberFormat="1" applyFont="1" applyFill="1" applyBorder="1" applyAlignment="1"/>
    <xf numFmtId="37" fontId="3" fillId="3" borderId="0" xfId="3" applyNumberFormat="1" applyFont="1" applyFill="1" applyBorder="1"/>
    <xf numFmtId="37" fontId="3" fillId="0" borderId="0" xfId="0" applyNumberFormat="1" applyFont="1" applyFill="1" applyProtection="1"/>
    <xf numFmtId="38" fontId="3" fillId="0" borderId="0" xfId="0" applyNumberFormat="1" applyFont="1" applyFill="1" applyBorder="1"/>
    <xf numFmtId="38" fontId="3" fillId="0" borderId="0" xfId="0" applyNumberFormat="1" applyFont="1" applyFill="1"/>
    <xf numFmtId="38" fontId="3" fillId="0" borderId="0" xfId="2" applyNumberFormat="1" applyFont="1" applyFill="1" applyBorder="1" applyAlignment="1">
      <alignment horizontal="right"/>
    </xf>
    <xf numFmtId="38" fontId="3" fillId="0" borderId="0" xfId="2" applyNumberFormat="1" applyFont="1" applyFill="1" applyBorder="1"/>
    <xf numFmtId="165" fontId="3" fillId="0" borderId="0" xfId="0" applyNumberFormat="1" applyFont="1" applyFill="1"/>
    <xf numFmtId="165" fontId="0" fillId="0" borderId="0" xfId="0" applyNumberFormat="1" applyFill="1"/>
    <xf numFmtId="37" fontId="3" fillId="0" borderId="1" xfId="0" applyNumberFormat="1" applyFont="1" applyFill="1" applyBorder="1" applyAlignment="1">
      <alignment horizontal="center"/>
    </xf>
    <xf numFmtId="37" fontId="3" fillId="0" borderId="0" xfId="4" applyNumberFormat="1" applyFont="1" applyFill="1" applyBorder="1" applyAlignment="1">
      <alignment horizontal="right"/>
    </xf>
    <xf numFmtId="37" fontId="3" fillId="0" borderId="0" xfId="2" applyNumberFormat="1" applyFont="1" applyFill="1" applyBorder="1" applyAlignment="1">
      <alignment horizontal="right" vertical="center"/>
    </xf>
    <xf numFmtId="3" fontId="8" fillId="0" borderId="0" xfId="0" applyNumberFormat="1" applyFont="1"/>
    <xf numFmtId="0" fontId="1" fillId="0" borderId="0" xfId="0" applyFont="1"/>
    <xf numFmtId="37" fontId="3" fillId="0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37" fontId="3" fillId="0" borderId="0" xfId="0" applyNumberFormat="1" applyFont="1" applyFill="1" applyAlignment="1">
      <alignment horizontal="center"/>
    </xf>
    <xf numFmtId="37" fontId="3" fillId="0" borderId="1" xfId="0" applyNumberFormat="1" applyFont="1" applyBorder="1" applyAlignment="1">
      <alignment horizontal="center"/>
    </xf>
  </cellXfs>
  <cellStyles count="5">
    <cellStyle name="Bad" xfId="4" builtinId="27"/>
    <cellStyle name="Comma" xfId="1" builtinId="3"/>
    <cellStyle name="Comma0" xfId="2"/>
    <cellStyle name="Currency0" xfId="3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OMyser/Local%20Settings/Temporary%20Internet%20Files/Content.Outlook/WCKR9L9G/2008%20Cities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OMyser/Local%20Settings/Temporary%20Internet%20Files/Content.Outlook/WCKR9L9G/2008%20Cities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OMyser/Local%20Settings/Temporary%20Internet%20Files/Content.Outlook/WCKR9L9G/2008%20Citi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mt net assets"/>
      <sheetName val="Stmt of activities-GA rev"/>
      <sheetName val="Stmt of activities-GAexp"/>
      <sheetName val="Gen Bal"/>
      <sheetName val="GV Fund BS"/>
      <sheetName val="Gen rev"/>
      <sheetName val="Gen exp"/>
      <sheetName val="GVFund Rev"/>
      <sheetName val="GVFund Exp"/>
      <sheetName val="Water"/>
      <sheetName val="Sewer"/>
      <sheetName val="Electric"/>
      <sheetName val="Sanitation"/>
      <sheetName val="LT Lia GA"/>
    </sheetNames>
    <sheetDataSet>
      <sheetData sheetId="0">
        <row r="23">
          <cell r="Y23">
            <v>22663557</v>
          </cell>
        </row>
        <row r="24">
          <cell r="Y24">
            <v>7822853</v>
          </cell>
        </row>
        <row r="25">
          <cell r="Y25">
            <v>30149086</v>
          </cell>
        </row>
        <row r="26">
          <cell r="Y26">
            <v>13038059</v>
          </cell>
        </row>
        <row r="27">
          <cell r="Y27">
            <v>15139332</v>
          </cell>
        </row>
        <row r="28">
          <cell r="Y28">
            <v>61063954</v>
          </cell>
        </row>
        <row r="29">
          <cell r="Y29">
            <v>17114043</v>
          </cell>
        </row>
        <row r="30">
          <cell r="Y30">
            <v>70070950</v>
          </cell>
        </row>
        <row r="31">
          <cell r="Y31">
            <v>44497395</v>
          </cell>
        </row>
        <row r="32">
          <cell r="Y32">
            <v>81391413</v>
          </cell>
        </row>
        <row r="33">
          <cell r="Y33">
            <v>33972307</v>
          </cell>
        </row>
        <row r="34">
          <cell r="Y34">
            <v>83274457</v>
          </cell>
        </row>
        <row r="35">
          <cell r="Y35">
            <v>22773865</v>
          </cell>
        </row>
        <row r="36">
          <cell r="Y36">
            <v>10561828</v>
          </cell>
        </row>
        <row r="37">
          <cell r="Y37">
            <v>49659576</v>
          </cell>
        </row>
        <row r="38">
          <cell r="Y38">
            <v>35242838</v>
          </cell>
        </row>
        <row r="39">
          <cell r="Y39">
            <v>20233899</v>
          </cell>
        </row>
        <row r="40">
          <cell r="Y40">
            <v>21898175</v>
          </cell>
        </row>
        <row r="41">
          <cell r="Y41">
            <v>10453801</v>
          </cell>
        </row>
        <row r="42">
          <cell r="Y42">
            <v>15701772</v>
          </cell>
        </row>
        <row r="43">
          <cell r="Y43">
            <v>129706746</v>
          </cell>
        </row>
        <row r="44">
          <cell r="Y44">
            <v>3103166</v>
          </cell>
        </row>
        <row r="45">
          <cell r="Y45">
            <v>23586034</v>
          </cell>
        </row>
        <row r="46">
          <cell r="Y46">
            <v>55679738</v>
          </cell>
        </row>
        <row r="47">
          <cell r="Y47">
            <v>40859539</v>
          </cell>
        </row>
        <row r="48">
          <cell r="Y48">
            <v>4517285</v>
          </cell>
        </row>
        <row r="49">
          <cell r="Y49">
            <v>43850327</v>
          </cell>
        </row>
        <row r="50">
          <cell r="Y50">
            <v>860262</v>
          </cell>
        </row>
        <row r="51">
          <cell r="Y51">
            <v>26483403</v>
          </cell>
        </row>
        <row r="52">
          <cell r="Y52">
            <v>9315945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3">
          <cell r="E23">
            <v>0</v>
          </cell>
        </row>
      </sheetData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tmt net assets"/>
      <sheetName val="Stmt of activities-GA rev"/>
      <sheetName val="Stmt of activities-GAexp"/>
      <sheetName val="Gen Bal"/>
      <sheetName val="GV Fund BS"/>
      <sheetName val="Gen rev"/>
      <sheetName val="Gen exp"/>
      <sheetName val="GVFund Rev"/>
      <sheetName val="GVFund Exp"/>
      <sheetName val="Water"/>
      <sheetName val="Sewer"/>
      <sheetName val="Electric"/>
      <sheetName val="Sanitation"/>
      <sheetName val="LT Lia GA"/>
    </sheetNames>
    <sheetDataSet>
      <sheetData sheetId="0">
        <row r="53">
          <cell r="Y53">
            <v>636500000</v>
          </cell>
        </row>
        <row r="54">
          <cell r="Y54">
            <v>64552901</v>
          </cell>
        </row>
        <row r="55">
          <cell r="Y55">
            <v>14708035</v>
          </cell>
        </row>
        <row r="56">
          <cell r="Y56">
            <v>1201368000</v>
          </cell>
        </row>
        <row r="57">
          <cell r="Y57">
            <v>7842686</v>
          </cell>
        </row>
        <row r="58">
          <cell r="Y58">
            <v>19349247</v>
          </cell>
        </row>
        <row r="59">
          <cell r="Y59">
            <v>5652364</v>
          </cell>
        </row>
        <row r="60">
          <cell r="Y60">
            <v>7138577</v>
          </cell>
        </row>
        <row r="61">
          <cell r="Y61">
            <v>6946880</v>
          </cell>
        </row>
        <row r="62">
          <cell r="Y62">
            <v>99473412</v>
          </cell>
        </row>
        <row r="63">
          <cell r="Y63">
            <v>395391630</v>
          </cell>
        </row>
        <row r="64">
          <cell r="Y64">
            <v>3145680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tmt net assets"/>
      <sheetName val="Stmt of activities-GA rev"/>
      <sheetName val="Stmt of activities-GAexp"/>
      <sheetName val="Gen Bal"/>
      <sheetName val="GV Fund BS"/>
      <sheetName val="Gen rev"/>
      <sheetName val="Gen exp"/>
      <sheetName val="GVFund Rev"/>
      <sheetName val="GVFund Exp"/>
      <sheetName val="Water"/>
      <sheetName val="Sewer"/>
      <sheetName val="Electric"/>
      <sheetName val="Sanitation"/>
      <sheetName val="LT Lia GA"/>
    </sheetNames>
    <sheetDataSet>
      <sheetData sheetId="0">
        <row r="145">
          <cell r="O145">
            <v>8609622</v>
          </cell>
          <cell r="Y145">
            <v>68374407</v>
          </cell>
        </row>
        <row r="146">
          <cell r="O146">
            <v>4866274</v>
          </cell>
          <cell r="Y146">
            <v>63267765</v>
          </cell>
        </row>
        <row r="147">
          <cell r="O147">
            <v>3079114</v>
          </cell>
          <cell r="Y147">
            <v>48339744</v>
          </cell>
        </row>
        <row r="148">
          <cell r="O148">
            <v>1720412</v>
          </cell>
          <cell r="Y148">
            <v>2762892</v>
          </cell>
        </row>
        <row r="149">
          <cell r="O149">
            <v>6501951</v>
          </cell>
          <cell r="Y149">
            <v>48781525</v>
          </cell>
        </row>
        <row r="150">
          <cell r="O150">
            <v>1447371</v>
          </cell>
          <cell r="Y150">
            <v>8967783</v>
          </cell>
        </row>
        <row r="151">
          <cell r="O151">
            <v>1447407</v>
          </cell>
          <cell r="Y151">
            <v>34764783</v>
          </cell>
        </row>
        <row r="152">
          <cell r="Y152">
            <v>0</v>
          </cell>
        </row>
        <row r="153">
          <cell r="O153">
            <v>1406586</v>
          </cell>
          <cell r="Y153">
            <v>3620757</v>
          </cell>
        </row>
        <row r="154">
          <cell r="O154">
            <v>555263</v>
          </cell>
          <cell r="Y154">
            <v>7350132</v>
          </cell>
        </row>
        <row r="155">
          <cell r="O155">
            <v>2781234</v>
          </cell>
          <cell r="Y155">
            <v>31671143</v>
          </cell>
        </row>
        <row r="156">
          <cell r="O156">
            <v>19765839</v>
          </cell>
          <cell r="Y156">
            <v>59201165</v>
          </cell>
        </row>
        <row r="157">
          <cell r="O157">
            <v>1491186</v>
          </cell>
          <cell r="Y157">
            <v>29100289</v>
          </cell>
        </row>
        <row r="158">
          <cell r="O158">
            <v>2932671</v>
          </cell>
          <cell r="Y158">
            <v>34353403</v>
          </cell>
        </row>
        <row r="159">
          <cell r="O159">
            <v>36769478</v>
          </cell>
          <cell r="Y159">
            <v>46591142</v>
          </cell>
        </row>
        <row r="160">
          <cell r="O160">
            <v>9519942</v>
          </cell>
          <cell r="Y160">
            <v>69076610</v>
          </cell>
        </row>
        <row r="161">
          <cell r="O161">
            <v>19338023</v>
          </cell>
          <cell r="Y161">
            <v>112673376</v>
          </cell>
        </row>
        <row r="162">
          <cell r="O162">
            <v>3774418</v>
          </cell>
          <cell r="Y162">
            <v>9397332</v>
          </cell>
        </row>
        <row r="163">
          <cell r="O163">
            <v>3644624</v>
          </cell>
          <cell r="Y163">
            <v>17283541</v>
          </cell>
        </row>
        <row r="164">
          <cell r="O164">
            <v>2680703</v>
          </cell>
          <cell r="Y164">
            <v>29845627</v>
          </cell>
        </row>
        <row r="165">
          <cell r="Y165">
            <v>0</v>
          </cell>
        </row>
        <row r="166">
          <cell r="O166">
            <v>1030191</v>
          </cell>
          <cell r="Y166">
            <v>54368418</v>
          </cell>
        </row>
        <row r="167">
          <cell r="O167">
            <v>4512935</v>
          </cell>
          <cell r="Y167">
            <v>38678060</v>
          </cell>
        </row>
        <row r="168">
          <cell r="Y168">
            <v>0</v>
          </cell>
        </row>
        <row r="169">
          <cell r="O169">
            <v>255925</v>
          </cell>
          <cell r="Y169">
            <v>26348765</v>
          </cell>
        </row>
        <row r="170">
          <cell r="O170">
            <v>13818983</v>
          </cell>
          <cell r="Y170">
            <v>58856350</v>
          </cell>
        </row>
        <row r="171">
          <cell r="O171">
            <v>77765</v>
          </cell>
          <cell r="Y171">
            <v>48100064</v>
          </cell>
        </row>
        <row r="172">
          <cell r="O172">
            <v>4237919</v>
          </cell>
          <cell r="Y172">
            <v>46424645</v>
          </cell>
        </row>
        <row r="173">
          <cell r="O173">
            <v>5917807</v>
          </cell>
          <cell r="Y173">
            <v>40148100</v>
          </cell>
        </row>
        <row r="174">
          <cell r="Y174">
            <v>0</v>
          </cell>
        </row>
        <row r="175">
          <cell r="O175">
            <v>7409757</v>
          </cell>
          <cell r="Y175">
            <v>28083080</v>
          </cell>
        </row>
        <row r="176">
          <cell r="O176">
            <v>284525</v>
          </cell>
          <cell r="Y176">
            <v>7675674</v>
          </cell>
        </row>
        <row r="177">
          <cell r="O177">
            <v>6725503</v>
          </cell>
          <cell r="Y177">
            <v>15373349</v>
          </cell>
        </row>
        <row r="178">
          <cell r="O178">
            <v>498289</v>
          </cell>
          <cell r="Y178">
            <v>75278725</v>
          </cell>
        </row>
        <row r="179">
          <cell r="O179">
            <v>14274112</v>
          </cell>
          <cell r="Y179">
            <v>46216973</v>
          </cell>
        </row>
        <row r="180">
          <cell r="O180">
            <v>4798984</v>
          </cell>
          <cell r="Y180">
            <v>65491357</v>
          </cell>
        </row>
        <row r="181">
          <cell r="O181">
            <v>541876</v>
          </cell>
          <cell r="Y181">
            <v>9412401</v>
          </cell>
        </row>
        <row r="182">
          <cell r="O182">
            <v>3143113</v>
          </cell>
          <cell r="Y182">
            <v>23197860</v>
          </cell>
        </row>
        <row r="183">
          <cell r="O183">
            <v>24739428</v>
          </cell>
          <cell r="Y183">
            <v>28255662</v>
          </cell>
        </row>
        <row r="184">
          <cell r="O184">
            <v>7286784</v>
          </cell>
          <cell r="Y184">
            <v>49957545</v>
          </cell>
        </row>
        <row r="185">
          <cell r="O185">
            <v>1703287</v>
          </cell>
          <cell r="Y185">
            <v>7794302</v>
          </cell>
        </row>
        <row r="186">
          <cell r="O186">
            <v>27150776</v>
          </cell>
          <cell r="Y186">
            <v>47540050</v>
          </cell>
        </row>
        <row r="187">
          <cell r="Y187">
            <v>0</v>
          </cell>
        </row>
        <row r="188">
          <cell r="O188">
            <v>1191774</v>
          </cell>
          <cell r="Y188">
            <v>7229402</v>
          </cell>
        </row>
        <row r="189">
          <cell r="O189">
            <v>1312559</v>
          </cell>
          <cell r="Y189">
            <v>16087469</v>
          </cell>
        </row>
        <row r="190">
          <cell r="O190">
            <v>22981130</v>
          </cell>
          <cell r="Y190">
            <v>42568695</v>
          </cell>
        </row>
        <row r="191">
          <cell r="O191">
            <v>3542129</v>
          </cell>
          <cell r="Y191">
            <v>5842994</v>
          </cell>
        </row>
        <row r="192">
          <cell r="O192">
            <v>3670553</v>
          </cell>
          <cell r="Y192">
            <v>17800947</v>
          </cell>
        </row>
        <row r="193">
          <cell r="O193">
            <v>23374117</v>
          </cell>
          <cell r="Y193">
            <v>51835041</v>
          </cell>
        </row>
        <row r="194">
          <cell r="O194">
            <v>14107249</v>
          </cell>
          <cell r="Y194">
            <v>15398746</v>
          </cell>
        </row>
        <row r="195">
          <cell r="O195">
            <v>28392757</v>
          </cell>
          <cell r="Y195">
            <v>106633008</v>
          </cell>
        </row>
        <row r="196">
          <cell r="O196">
            <v>15387076</v>
          </cell>
          <cell r="Y196">
            <v>28192528</v>
          </cell>
        </row>
        <row r="198">
          <cell r="O198">
            <v>2657755</v>
          </cell>
          <cell r="Y198">
            <v>14619696</v>
          </cell>
        </row>
        <row r="199">
          <cell r="O199">
            <v>1203663</v>
          </cell>
          <cell r="Y199">
            <v>21976199</v>
          </cell>
        </row>
        <row r="200">
          <cell r="O200">
            <v>9345368</v>
          </cell>
          <cell r="Y200">
            <v>56925291</v>
          </cell>
        </row>
        <row r="201">
          <cell r="O201">
            <v>1865296</v>
          </cell>
          <cell r="Y201">
            <v>4852801</v>
          </cell>
        </row>
        <row r="202">
          <cell r="O202">
            <v>22320256</v>
          </cell>
          <cell r="Y202">
            <v>133384571</v>
          </cell>
        </row>
        <row r="203">
          <cell r="O203">
            <v>30456759</v>
          </cell>
          <cell r="Y203">
            <v>45655225</v>
          </cell>
        </row>
        <row r="204">
          <cell r="O204">
            <v>12534124</v>
          </cell>
          <cell r="Y204">
            <v>50563255</v>
          </cell>
        </row>
        <row r="205">
          <cell r="O205">
            <v>6396004</v>
          </cell>
          <cell r="Y205">
            <v>48574162</v>
          </cell>
        </row>
        <row r="206">
          <cell r="O206">
            <v>23303326</v>
          </cell>
          <cell r="Y206">
            <v>97335686</v>
          </cell>
        </row>
        <row r="207">
          <cell r="O207">
            <v>4478751</v>
          </cell>
          <cell r="Y207">
            <v>22624559</v>
          </cell>
        </row>
        <row r="208">
          <cell r="O208">
            <v>1186318</v>
          </cell>
          <cell r="Y208">
            <v>6383091</v>
          </cell>
        </row>
        <row r="209">
          <cell r="O209">
            <v>299433</v>
          </cell>
          <cell r="Y209">
            <v>33178722</v>
          </cell>
        </row>
        <row r="210">
          <cell r="O210">
            <v>5022036</v>
          </cell>
          <cell r="Y210">
            <v>25105268</v>
          </cell>
        </row>
        <row r="211">
          <cell r="O211">
            <v>29251965</v>
          </cell>
          <cell r="Y211">
            <v>48574653</v>
          </cell>
        </row>
        <row r="212">
          <cell r="Y212">
            <v>0</v>
          </cell>
        </row>
        <row r="213">
          <cell r="O213">
            <v>37593583</v>
          </cell>
          <cell r="Y213">
            <v>165907787</v>
          </cell>
        </row>
        <row r="214">
          <cell r="O214">
            <v>15596705</v>
          </cell>
          <cell r="Y214">
            <v>47289021</v>
          </cell>
        </row>
      </sheetData>
      <sheetData sheetId="1"/>
      <sheetData sheetId="2"/>
      <sheetData sheetId="3">
        <row r="145">
          <cell r="S145">
            <v>5674076</v>
          </cell>
        </row>
        <row r="146">
          <cell r="S146">
            <v>13255418</v>
          </cell>
        </row>
        <row r="147">
          <cell r="S147">
            <v>14365604</v>
          </cell>
        </row>
        <row r="148">
          <cell r="S148">
            <v>202473</v>
          </cell>
        </row>
        <row r="149">
          <cell r="S149">
            <v>4853201</v>
          </cell>
        </row>
        <row r="150">
          <cell r="S150">
            <v>1718742</v>
          </cell>
        </row>
        <row r="151">
          <cell r="S151">
            <v>1934071</v>
          </cell>
        </row>
        <row r="152">
          <cell r="S152">
            <v>0</v>
          </cell>
        </row>
        <row r="153">
          <cell r="S153">
            <v>-172013</v>
          </cell>
        </row>
        <row r="154">
          <cell r="S154">
            <v>1687325</v>
          </cell>
        </row>
        <row r="155">
          <cell r="S155">
            <v>2494606</v>
          </cell>
        </row>
        <row r="156">
          <cell r="S156">
            <v>3079062</v>
          </cell>
        </row>
        <row r="157">
          <cell r="S157">
            <v>14151912</v>
          </cell>
        </row>
        <row r="158">
          <cell r="S158">
            <v>3934726</v>
          </cell>
        </row>
        <row r="159">
          <cell r="S159">
            <v>3180410</v>
          </cell>
        </row>
        <row r="160">
          <cell r="S160">
            <v>1561548</v>
          </cell>
        </row>
        <row r="161">
          <cell r="S161">
            <v>3489277</v>
          </cell>
        </row>
        <row r="162">
          <cell r="S162">
            <v>986738</v>
          </cell>
        </row>
        <row r="163">
          <cell r="S163">
            <v>1686923</v>
          </cell>
        </row>
        <row r="164">
          <cell r="S164">
            <v>3105103</v>
          </cell>
        </row>
        <row r="165">
          <cell r="S165">
            <v>0</v>
          </cell>
        </row>
        <row r="166">
          <cell r="S166">
            <v>6410130</v>
          </cell>
        </row>
        <row r="167">
          <cell r="S167">
            <v>9584668</v>
          </cell>
        </row>
        <row r="168">
          <cell r="S168">
            <v>0</v>
          </cell>
        </row>
        <row r="169">
          <cell r="S169">
            <v>1597875</v>
          </cell>
        </row>
        <row r="170">
          <cell r="S170">
            <v>17362213</v>
          </cell>
        </row>
        <row r="171">
          <cell r="S171">
            <v>2860250</v>
          </cell>
        </row>
        <row r="172">
          <cell r="S172">
            <v>6238984</v>
          </cell>
        </row>
        <row r="173">
          <cell r="S173">
            <v>7434492</v>
          </cell>
        </row>
        <row r="174">
          <cell r="S174">
            <v>0</v>
          </cell>
        </row>
        <row r="175">
          <cell r="S175">
            <v>175631</v>
          </cell>
        </row>
        <row r="176">
          <cell r="S176">
            <v>743566</v>
          </cell>
        </row>
        <row r="177">
          <cell r="S177">
            <v>5011337</v>
          </cell>
        </row>
        <row r="178">
          <cell r="S178">
            <v>5948298</v>
          </cell>
        </row>
        <row r="179">
          <cell r="S179">
            <v>2877065</v>
          </cell>
        </row>
        <row r="180">
          <cell r="S180">
            <v>18821637</v>
          </cell>
        </row>
        <row r="181">
          <cell r="S181">
            <v>1154870</v>
          </cell>
        </row>
        <row r="182">
          <cell r="S182">
            <v>263653</v>
          </cell>
        </row>
        <row r="183">
          <cell r="S183">
            <v>6844068</v>
          </cell>
        </row>
        <row r="184">
          <cell r="S184">
            <v>3951147</v>
          </cell>
        </row>
        <row r="185">
          <cell r="S185">
            <v>1101412</v>
          </cell>
        </row>
        <row r="186">
          <cell r="S186">
            <v>6888802</v>
          </cell>
        </row>
        <row r="187">
          <cell r="S187">
            <v>0</v>
          </cell>
        </row>
        <row r="188">
          <cell r="S188">
            <v>893129</v>
          </cell>
        </row>
        <row r="189">
          <cell r="S189">
            <v>7191887</v>
          </cell>
        </row>
        <row r="190">
          <cell r="S190">
            <v>6513767</v>
          </cell>
        </row>
        <row r="191">
          <cell r="S191">
            <v>2866913</v>
          </cell>
        </row>
        <row r="192">
          <cell r="S192">
            <v>664676</v>
          </cell>
        </row>
        <row r="193">
          <cell r="S193">
            <v>3824419</v>
          </cell>
        </row>
        <row r="194">
          <cell r="S194">
            <v>5945004</v>
          </cell>
        </row>
        <row r="195">
          <cell r="S195">
            <v>11726538</v>
          </cell>
        </row>
        <row r="196">
          <cell r="S196">
            <v>5115890</v>
          </cell>
        </row>
        <row r="198">
          <cell r="S198">
            <v>313905</v>
          </cell>
        </row>
        <row r="199">
          <cell r="S199">
            <v>930306</v>
          </cell>
        </row>
        <row r="200">
          <cell r="S200">
            <v>4454558</v>
          </cell>
        </row>
        <row r="201">
          <cell r="S201">
            <v>982245</v>
          </cell>
        </row>
        <row r="202">
          <cell r="S202">
            <v>26511416</v>
          </cell>
        </row>
        <row r="203">
          <cell r="S203">
            <v>4947801</v>
          </cell>
        </row>
        <row r="204">
          <cell r="S204">
            <v>6192106</v>
          </cell>
        </row>
        <row r="205">
          <cell r="S205">
            <v>7355826</v>
          </cell>
        </row>
        <row r="206">
          <cell r="S206">
            <v>6097555</v>
          </cell>
        </row>
        <row r="207">
          <cell r="S207">
            <v>9048550</v>
          </cell>
        </row>
        <row r="208">
          <cell r="S208">
            <v>244619</v>
          </cell>
        </row>
        <row r="209">
          <cell r="S209">
            <v>4681655</v>
          </cell>
        </row>
        <row r="210">
          <cell r="S210">
            <v>161073</v>
          </cell>
        </row>
        <row r="211">
          <cell r="S211">
            <v>5634646</v>
          </cell>
        </row>
        <row r="212">
          <cell r="S212">
            <v>0</v>
          </cell>
        </row>
        <row r="213">
          <cell r="S213">
            <v>11836717</v>
          </cell>
        </row>
        <row r="214">
          <cell r="S214">
            <v>1175996</v>
          </cell>
        </row>
      </sheetData>
      <sheetData sheetId="4">
        <row r="145">
          <cell r="S145">
            <v>3504311</v>
          </cell>
        </row>
        <row r="146">
          <cell r="S146">
            <v>26657174</v>
          </cell>
        </row>
        <row r="147">
          <cell r="S147">
            <v>20387472</v>
          </cell>
        </row>
        <row r="148">
          <cell r="S148">
            <v>558373</v>
          </cell>
        </row>
        <row r="149">
          <cell r="S149">
            <v>11410777</v>
          </cell>
        </row>
        <row r="150">
          <cell r="S150">
            <v>3712461</v>
          </cell>
        </row>
        <row r="151">
          <cell r="S151">
            <v>4291530</v>
          </cell>
        </row>
        <row r="152">
          <cell r="S152">
            <v>0</v>
          </cell>
        </row>
        <row r="153">
          <cell r="S153">
            <v>-281232</v>
          </cell>
        </row>
        <row r="154">
          <cell r="S154">
            <v>3516726</v>
          </cell>
        </row>
        <row r="155">
          <cell r="S155">
            <v>6342557</v>
          </cell>
        </row>
        <row r="156">
          <cell r="S156">
            <v>9716056</v>
          </cell>
        </row>
        <row r="157">
          <cell r="S157">
            <v>15518170</v>
          </cell>
        </row>
        <row r="158">
          <cell r="S158">
            <v>6160108</v>
          </cell>
        </row>
        <row r="159">
          <cell r="S159">
            <v>13476659</v>
          </cell>
        </row>
        <row r="160">
          <cell r="S160">
            <v>9008822</v>
          </cell>
        </row>
        <row r="161">
          <cell r="S161">
            <v>17589568</v>
          </cell>
        </row>
        <row r="162">
          <cell r="S162">
            <v>4908634</v>
          </cell>
        </row>
        <row r="163">
          <cell r="S163">
            <v>4033347</v>
          </cell>
        </row>
        <row r="164">
          <cell r="S164">
            <v>12288609</v>
          </cell>
        </row>
        <row r="165">
          <cell r="S165">
            <v>0</v>
          </cell>
        </row>
        <row r="166">
          <cell r="S166">
            <v>12460354</v>
          </cell>
        </row>
        <row r="167">
          <cell r="S167">
            <v>13184792</v>
          </cell>
        </row>
        <row r="168">
          <cell r="S168">
            <v>0</v>
          </cell>
        </row>
        <row r="169">
          <cell r="S169">
            <v>6715444</v>
          </cell>
        </row>
        <row r="170">
          <cell r="S170">
            <v>30046228</v>
          </cell>
        </row>
        <row r="171">
          <cell r="S171">
            <v>4075216</v>
          </cell>
        </row>
        <row r="172">
          <cell r="S172">
            <v>13966522</v>
          </cell>
        </row>
        <row r="173">
          <cell r="S173">
            <v>13934062</v>
          </cell>
        </row>
        <row r="174">
          <cell r="S174">
            <v>0</v>
          </cell>
        </row>
        <row r="175">
          <cell r="S175">
            <v>-2088057</v>
          </cell>
        </row>
        <row r="176">
          <cell r="S176">
            <v>1169485</v>
          </cell>
        </row>
        <row r="177">
          <cell r="S177">
            <v>2154506</v>
          </cell>
        </row>
        <row r="178">
          <cell r="S178">
            <v>4384494</v>
          </cell>
        </row>
        <row r="179">
          <cell r="S179">
            <v>920166</v>
          </cell>
        </row>
        <row r="180">
          <cell r="S180">
            <v>22876441</v>
          </cell>
        </row>
        <row r="181">
          <cell r="S181">
            <v>2916151</v>
          </cell>
        </row>
        <row r="182">
          <cell r="S182">
            <v>4613679</v>
          </cell>
        </row>
        <row r="183">
          <cell r="S183">
            <v>8496399</v>
          </cell>
        </row>
        <row r="184">
          <cell r="S184">
            <v>14107512</v>
          </cell>
        </row>
        <row r="185">
          <cell r="S185">
            <v>3477241</v>
          </cell>
        </row>
        <row r="186">
          <cell r="S186">
            <v>17752728</v>
          </cell>
        </row>
        <row r="187">
          <cell r="S187">
            <v>0</v>
          </cell>
        </row>
        <row r="188">
          <cell r="S188">
            <v>1638378</v>
          </cell>
        </row>
        <row r="189">
          <cell r="S189">
            <v>6056605</v>
          </cell>
        </row>
        <row r="190">
          <cell r="S190">
            <v>13227196</v>
          </cell>
        </row>
        <row r="191">
          <cell r="S191">
            <v>3865856</v>
          </cell>
        </row>
        <row r="192">
          <cell r="S192">
            <v>1864206</v>
          </cell>
        </row>
        <row r="193">
          <cell r="S193">
            <v>9858842</v>
          </cell>
        </row>
        <row r="194">
          <cell r="S194">
            <v>9652293</v>
          </cell>
        </row>
        <row r="195">
          <cell r="S195">
            <v>44340042</v>
          </cell>
        </row>
        <row r="196">
          <cell r="S196">
            <v>8476025</v>
          </cell>
        </row>
        <row r="198">
          <cell r="S198">
            <v>2055968</v>
          </cell>
        </row>
        <row r="199">
          <cell r="S199">
            <v>4759859</v>
          </cell>
        </row>
        <row r="200">
          <cell r="S200">
            <v>11229236</v>
          </cell>
        </row>
        <row r="201">
          <cell r="S201">
            <v>1570709</v>
          </cell>
        </row>
        <row r="202">
          <cell r="S202">
            <v>46138366</v>
          </cell>
        </row>
        <row r="203">
          <cell r="S203">
            <v>26635949</v>
          </cell>
        </row>
        <row r="204">
          <cell r="S204">
            <v>20579073</v>
          </cell>
        </row>
        <row r="205">
          <cell r="S205">
            <v>7856753</v>
          </cell>
        </row>
        <row r="206">
          <cell r="S206">
            <v>37522890</v>
          </cell>
        </row>
        <row r="207">
          <cell r="S207">
            <v>10123186</v>
          </cell>
        </row>
        <row r="208">
          <cell r="S208">
            <v>1379032</v>
          </cell>
        </row>
        <row r="209">
          <cell r="S209">
            <v>13891752</v>
          </cell>
        </row>
        <row r="210">
          <cell r="S210">
            <v>8448347</v>
          </cell>
        </row>
        <row r="211">
          <cell r="S211">
            <v>16090685</v>
          </cell>
        </row>
        <row r="212">
          <cell r="S212">
            <v>0</v>
          </cell>
        </row>
        <row r="213">
          <cell r="S213">
            <v>34979214</v>
          </cell>
        </row>
        <row r="214">
          <cell r="S214">
            <v>27020434</v>
          </cell>
        </row>
      </sheetData>
      <sheetData sheetId="5">
        <row r="145">
          <cell r="U145">
            <v>8694165</v>
          </cell>
          <cell r="W145">
            <v>24858</v>
          </cell>
        </row>
        <row r="146">
          <cell r="U146">
            <v>9631180</v>
          </cell>
          <cell r="W146">
            <v>15115</v>
          </cell>
        </row>
        <row r="147">
          <cell r="U147">
            <v>16768687</v>
          </cell>
          <cell r="W147">
            <v>44434</v>
          </cell>
        </row>
        <row r="148">
          <cell r="U148">
            <v>2868877</v>
          </cell>
          <cell r="W148">
            <v>8100</v>
          </cell>
        </row>
        <row r="149">
          <cell r="U149">
            <v>13326460</v>
          </cell>
          <cell r="W149">
            <v>10853</v>
          </cell>
        </row>
        <row r="150">
          <cell r="U150">
            <v>2069726</v>
          </cell>
          <cell r="W150">
            <v>0</v>
          </cell>
        </row>
        <row r="151">
          <cell r="U151">
            <v>5034889</v>
          </cell>
          <cell r="W151">
            <v>42287</v>
          </cell>
        </row>
        <row r="152">
          <cell r="U152">
            <v>0</v>
          </cell>
          <cell r="W152">
            <v>0</v>
          </cell>
        </row>
        <row r="153">
          <cell r="U153">
            <v>1277309</v>
          </cell>
          <cell r="W153">
            <v>0</v>
          </cell>
        </row>
        <row r="154">
          <cell r="U154">
            <v>2262389</v>
          </cell>
          <cell r="W154">
            <v>0</v>
          </cell>
        </row>
        <row r="155">
          <cell r="U155">
            <v>5329569</v>
          </cell>
          <cell r="W155">
            <v>193533</v>
          </cell>
        </row>
        <row r="156">
          <cell r="U156">
            <v>11292620</v>
          </cell>
          <cell r="W156">
            <v>18941545</v>
          </cell>
        </row>
        <row r="157">
          <cell r="U157">
            <v>8886885</v>
          </cell>
          <cell r="W157">
            <v>10053</v>
          </cell>
        </row>
        <row r="158">
          <cell r="U158">
            <v>8100450</v>
          </cell>
          <cell r="W158">
            <v>800000</v>
          </cell>
        </row>
        <row r="159">
          <cell r="U159">
            <v>20097005</v>
          </cell>
          <cell r="W159">
            <v>556287</v>
          </cell>
        </row>
        <row r="160">
          <cell r="U160">
            <v>4013643</v>
          </cell>
          <cell r="W160">
            <v>6460000</v>
          </cell>
        </row>
        <row r="161">
          <cell r="U161">
            <v>13254053</v>
          </cell>
          <cell r="W161">
            <v>414793</v>
          </cell>
        </row>
        <row r="162">
          <cell r="U162">
            <v>4633310</v>
          </cell>
          <cell r="W162">
            <v>0</v>
          </cell>
        </row>
        <row r="163">
          <cell r="U163">
            <v>5917891</v>
          </cell>
          <cell r="W163">
            <v>0</v>
          </cell>
        </row>
        <row r="164">
          <cell r="U164">
            <v>7888079</v>
          </cell>
          <cell r="W164">
            <v>14343</v>
          </cell>
        </row>
        <row r="165">
          <cell r="U165">
            <v>0</v>
          </cell>
          <cell r="W165">
            <v>0</v>
          </cell>
        </row>
        <row r="166">
          <cell r="U166">
            <v>10895335</v>
          </cell>
          <cell r="W166">
            <v>0</v>
          </cell>
        </row>
        <row r="167">
          <cell r="U167">
            <v>8034322</v>
          </cell>
          <cell r="W167">
            <v>500</v>
          </cell>
        </row>
        <row r="168">
          <cell r="U168">
            <v>0</v>
          </cell>
          <cell r="W168">
            <v>0</v>
          </cell>
        </row>
        <row r="169">
          <cell r="U169">
            <v>3940437</v>
          </cell>
          <cell r="W169">
            <v>94836</v>
          </cell>
        </row>
        <row r="170">
          <cell r="U170">
            <v>22623736</v>
          </cell>
          <cell r="W170">
            <v>43238</v>
          </cell>
        </row>
        <row r="171">
          <cell r="U171">
            <v>5437766</v>
          </cell>
          <cell r="W171">
            <v>0</v>
          </cell>
        </row>
        <row r="172">
          <cell r="U172">
            <v>12742768</v>
          </cell>
          <cell r="W172">
            <v>3578664</v>
          </cell>
        </row>
        <row r="173">
          <cell r="U173">
            <v>14234996</v>
          </cell>
          <cell r="W173">
            <v>855530</v>
          </cell>
        </row>
        <row r="174">
          <cell r="U174">
            <v>0</v>
          </cell>
          <cell r="W174">
            <v>0</v>
          </cell>
        </row>
        <row r="175">
          <cell r="U175">
            <v>14675565</v>
          </cell>
          <cell r="W175">
            <v>312790</v>
          </cell>
        </row>
        <row r="176">
          <cell r="U176">
            <v>1613345</v>
          </cell>
          <cell r="W176">
            <v>0</v>
          </cell>
        </row>
        <row r="177">
          <cell r="U177">
            <v>9056581</v>
          </cell>
          <cell r="W177">
            <v>0</v>
          </cell>
        </row>
        <row r="178">
          <cell r="U178">
            <v>20587098</v>
          </cell>
          <cell r="W178">
            <v>0</v>
          </cell>
        </row>
        <row r="179">
          <cell r="U179">
            <v>7527164</v>
          </cell>
          <cell r="W179">
            <v>0</v>
          </cell>
        </row>
        <row r="180">
          <cell r="U180">
            <v>14263312</v>
          </cell>
          <cell r="W180">
            <v>1852</v>
          </cell>
        </row>
        <row r="181">
          <cell r="U181">
            <v>3887927</v>
          </cell>
          <cell r="W181">
            <v>5000</v>
          </cell>
        </row>
        <row r="182">
          <cell r="U182">
            <v>10754165</v>
          </cell>
          <cell r="W182">
            <v>0</v>
          </cell>
        </row>
        <row r="183">
          <cell r="U183">
            <v>6645924</v>
          </cell>
          <cell r="W183">
            <v>12</v>
          </cell>
        </row>
        <row r="184">
          <cell r="U184">
            <v>7623259</v>
          </cell>
          <cell r="W184">
            <v>20600</v>
          </cell>
        </row>
        <row r="185">
          <cell r="U185">
            <v>8293863</v>
          </cell>
          <cell r="W185">
            <v>41818</v>
          </cell>
        </row>
        <row r="186">
          <cell r="U186">
            <v>13287834</v>
          </cell>
          <cell r="W186">
            <v>0</v>
          </cell>
        </row>
        <row r="187">
          <cell r="U187">
            <v>0</v>
          </cell>
          <cell r="W187">
            <v>0</v>
          </cell>
        </row>
        <row r="188">
          <cell r="U188">
            <v>2857978</v>
          </cell>
          <cell r="W188">
            <v>0</v>
          </cell>
        </row>
        <row r="189">
          <cell r="U189">
            <v>6092979</v>
          </cell>
          <cell r="W189">
            <v>0</v>
          </cell>
        </row>
        <row r="190">
          <cell r="U190">
            <v>20043558</v>
          </cell>
          <cell r="W190">
            <v>29730</v>
          </cell>
        </row>
        <row r="191">
          <cell r="U191">
            <v>5155839</v>
          </cell>
          <cell r="W191">
            <v>3087</v>
          </cell>
        </row>
        <row r="192">
          <cell r="U192">
            <v>2031775</v>
          </cell>
          <cell r="W192">
            <v>3453037</v>
          </cell>
        </row>
        <row r="193">
          <cell r="U193">
            <v>17841300</v>
          </cell>
          <cell r="W193">
            <v>900</v>
          </cell>
        </row>
        <row r="194">
          <cell r="U194">
            <v>8573919</v>
          </cell>
          <cell r="W194">
            <v>225212</v>
          </cell>
        </row>
        <row r="195">
          <cell r="U195">
            <v>38167513</v>
          </cell>
          <cell r="W195">
            <v>90000</v>
          </cell>
        </row>
        <row r="196">
          <cell r="U196">
            <v>16211732</v>
          </cell>
          <cell r="W196">
            <v>0</v>
          </cell>
        </row>
        <row r="198">
          <cell r="U198">
            <v>3145306</v>
          </cell>
          <cell r="W198">
            <v>0</v>
          </cell>
        </row>
        <row r="199">
          <cell r="U199">
            <v>3663264</v>
          </cell>
          <cell r="W199">
            <v>164033</v>
          </cell>
        </row>
        <row r="200">
          <cell r="U200">
            <v>5463209</v>
          </cell>
          <cell r="W200">
            <v>9843478</v>
          </cell>
        </row>
        <row r="201">
          <cell r="U201">
            <v>2895306</v>
          </cell>
          <cell r="W201">
            <v>27720</v>
          </cell>
        </row>
        <row r="202">
          <cell r="U202">
            <v>36490015</v>
          </cell>
          <cell r="W202">
            <v>14175</v>
          </cell>
        </row>
        <row r="203">
          <cell r="U203">
            <v>17731864</v>
          </cell>
          <cell r="W203">
            <v>0</v>
          </cell>
        </row>
        <row r="204">
          <cell r="U204">
            <v>9902550</v>
          </cell>
          <cell r="W204">
            <v>548955</v>
          </cell>
        </row>
        <row r="205">
          <cell r="U205">
            <v>19243101</v>
          </cell>
          <cell r="W205">
            <v>40036</v>
          </cell>
        </row>
        <row r="206">
          <cell r="U206">
            <v>38156539</v>
          </cell>
          <cell r="W206">
            <v>5520</v>
          </cell>
        </row>
        <row r="207">
          <cell r="U207">
            <v>14430979</v>
          </cell>
          <cell r="W207">
            <v>10915</v>
          </cell>
        </row>
        <row r="208">
          <cell r="U208">
            <v>1704195</v>
          </cell>
          <cell r="W208">
            <v>0</v>
          </cell>
        </row>
        <row r="209">
          <cell r="U209">
            <v>4506361</v>
          </cell>
          <cell r="W209">
            <v>0</v>
          </cell>
        </row>
        <row r="210">
          <cell r="U210">
            <v>12205420</v>
          </cell>
          <cell r="W210">
            <v>14901</v>
          </cell>
        </row>
        <row r="211">
          <cell r="U211">
            <v>19443833</v>
          </cell>
          <cell r="W211">
            <v>0</v>
          </cell>
        </row>
        <row r="212">
          <cell r="U212">
            <v>0</v>
          </cell>
          <cell r="W212">
            <v>0</v>
          </cell>
        </row>
        <row r="213">
          <cell r="U213">
            <v>31845317</v>
          </cell>
          <cell r="W213">
            <v>33950</v>
          </cell>
        </row>
        <row r="214">
          <cell r="U214">
            <v>6519214</v>
          </cell>
          <cell r="W214">
            <v>4890000</v>
          </cell>
        </row>
      </sheetData>
      <sheetData sheetId="6">
        <row r="145">
          <cell r="AC145">
            <v>2925489</v>
          </cell>
          <cell r="AE145">
            <v>0</v>
          </cell>
        </row>
        <row r="146">
          <cell r="AC146">
            <v>7507955</v>
          </cell>
          <cell r="AE146">
            <v>0</v>
          </cell>
        </row>
        <row r="147">
          <cell r="AC147">
            <v>14210231</v>
          </cell>
          <cell r="AE147">
            <v>0</v>
          </cell>
        </row>
        <row r="148">
          <cell r="AC148">
            <v>2715436</v>
          </cell>
          <cell r="AE148">
            <v>0</v>
          </cell>
        </row>
        <row r="149">
          <cell r="AC149">
            <v>10811079</v>
          </cell>
          <cell r="AE149">
            <v>0</v>
          </cell>
        </row>
        <row r="150">
          <cell r="AC150">
            <v>1904994</v>
          </cell>
          <cell r="AE150">
            <v>0</v>
          </cell>
        </row>
        <row r="151">
          <cell r="AC151">
            <v>3592472</v>
          </cell>
          <cell r="AE151">
            <v>0</v>
          </cell>
        </row>
        <row r="152">
          <cell r="AC152">
            <v>0</v>
          </cell>
          <cell r="AE152">
            <v>0</v>
          </cell>
        </row>
        <row r="153">
          <cell r="AC153">
            <v>1287891</v>
          </cell>
          <cell r="AE153">
            <v>0</v>
          </cell>
        </row>
        <row r="154">
          <cell r="AC154">
            <v>2165491</v>
          </cell>
          <cell r="AE154">
            <v>0</v>
          </cell>
        </row>
        <row r="155">
          <cell r="AC155">
            <v>5544172</v>
          </cell>
          <cell r="AE155">
            <v>0</v>
          </cell>
        </row>
        <row r="156">
          <cell r="AC156">
            <v>28909668</v>
          </cell>
          <cell r="AE156">
            <v>0</v>
          </cell>
        </row>
        <row r="157">
          <cell r="AC157">
            <v>3369724</v>
          </cell>
          <cell r="AE157">
            <v>0</v>
          </cell>
        </row>
        <row r="158">
          <cell r="AC158">
            <v>6884747</v>
          </cell>
          <cell r="AE158">
            <v>0</v>
          </cell>
        </row>
        <row r="159">
          <cell r="AC159">
            <v>21460095</v>
          </cell>
          <cell r="AE159">
            <v>0</v>
          </cell>
        </row>
        <row r="160">
          <cell r="AC160">
            <v>10219153</v>
          </cell>
          <cell r="AE160">
            <v>0</v>
          </cell>
        </row>
        <row r="161">
          <cell r="AC161">
            <v>11464571</v>
          </cell>
          <cell r="AE161">
            <v>0</v>
          </cell>
        </row>
        <row r="162">
          <cell r="AC162">
            <v>5377794</v>
          </cell>
          <cell r="AE162">
            <v>0</v>
          </cell>
        </row>
        <row r="163">
          <cell r="AC163">
            <v>4504738</v>
          </cell>
          <cell r="AE163">
            <v>0</v>
          </cell>
        </row>
        <row r="164">
          <cell r="AC164">
            <v>6887972</v>
          </cell>
          <cell r="AE164">
            <v>0</v>
          </cell>
        </row>
        <row r="165">
          <cell r="AC165">
            <v>0</v>
          </cell>
          <cell r="AE165">
            <v>0</v>
          </cell>
        </row>
        <row r="166">
          <cell r="AC166">
            <v>8102806</v>
          </cell>
          <cell r="AE166">
            <v>0</v>
          </cell>
        </row>
        <row r="167">
          <cell r="AC167">
            <v>7078203</v>
          </cell>
          <cell r="AE167">
            <v>0</v>
          </cell>
        </row>
        <row r="168">
          <cell r="AC168">
            <v>0</v>
          </cell>
          <cell r="AE168">
            <v>0</v>
          </cell>
        </row>
        <row r="169">
          <cell r="AC169">
            <v>3992183</v>
          </cell>
          <cell r="AE169">
            <v>0</v>
          </cell>
        </row>
        <row r="170">
          <cell r="AC170">
            <v>16199292</v>
          </cell>
          <cell r="AE170">
            <v>0</v>
          </cell>
        </row>
        <row r="171">
          <cell r="AC171">
            <v>4046601</v>
          </cell>
          <cell r="AE171">
            <v>0</v>
          </cell>
        </row>
        <row r="172">
          <cell r="AC172">
            <v>12686432</v>
          </cell>
          <cell r="AE172">
            <v>0</v>
          </cell>
        </row>
        <row r="173">
          <cell r="AC173">
            <v>12248327</v>
          </cell>
          <cell r="AE173">
            <v>0</v>
          </cell>
        </row>
        <row r="174">
          <cell r="AC174">
            <v>0</v>
          </cell>
          <cell r="AE174">
            <v>0</v>
          </cell>
        </row>
        <row r="175">
          <cell r="AC175">
            <v>15883615</v>
          </cell>
          <cell r="AE175">
            <v>0</v>
          </cell>
        </row>
        <row r="176">
          <cell r="AC176">
            <v>1378702</v>
          </cell>
          <cell r="AE176">
            <v>0</v>
          </cell>
        </row>
        <row r="177">
          <cell r="AC177">
            <v>9133437</v>
          </cell>
          <cell r="AE177">
            <v>0</v>
          </cell>
        </row>
        <row r="178">
          <cell r="AC178">
            <v>13702890</v>
          </cell>
          <cell r="AE178">
            <v>0</v>
          </cell>
        </row>
        <row r="179">
          <cell r="AC179">
            <v>3370304</v>
          </cell>
          <cell r="AE179">
            <v>0</v>
          </cell>
        </row>
        <row r="180">
          <cell r="AC180">
            <v>10882616</v>
          </cell>
          <cell r="AE180">
            <v>0</v>
          </cell>
        </row>
        <row r="181">
          <cell r="AC181">
            <v>3367943</v>
          </cell>
          <cell r="AE181">
            <v>0</v>
          </cell>
        </row>
        <row r="182">
          <cell r="AC182">
            <v>11260151</v>
          </cell>
          <cell r="AE182">
            <v>0</v>
          </cell>
        </row>
        <row r="183">
          <cell r="AC183">
            <v>5509457</v>
          </cell>
          <cell r="AE183">
            <v>0</v>
          </cell>
        </row>
        <row r="184">
          <cell r="AC184">
            <v>6811844</v>
          </cell>
          <cell r="AE184">
            <v>0</v>
          </cell>
        </row>
        <row r="185">
          <cell r="AC185">
            <v>8383527</v>
          </cell>
          <cell r="AE185">
            <v>0</v>
          </cell>
        </row>
        <row r="186">
          <cell r="AC186">
            <v>12398657</v>
          </cell>
          <cell r="AE186">
            <v>0</v>
          </cell>
        </row>
        <row r="187">
          <cell r="AC187">
            <v>0</v>
          </cell>
          <cell r="AE187">
            <v>0</v>
          </cell>
        </row>
        <row r="188">
          <cell r="AC188">
            <v>2870715</v>
          </cell>
          <cell r="AE188">
            <v>0</v>
          </cell>
        </row>
        <row r="189">
          <cell r="AC189">
            <v>1954531</v>
          </cell>
          <cell r="AE189">
            <v>0</v>
          </cell>
        </row>
        <row r="190">
          <cell r="AC190">
            <v>14809907</v>
          </cell>
          <cell r="AE190">
            <v>0</v>
          </cell>
        </row>
        <row r="191">
          <cell r="AC191">
            <v>4072748</v>
          </cell>
          <cell r="AE191">
            <v>0</v>
          </cell>
        </row>
        <row r="192">
          <cell r="AC192">
            <v>4355112</v>
          </cell>
          <cell r="AE192">
            <v>0</v>
          </cell>
        </row>
        <row r="193">
          <cell r="AC193">
            <v>16784967</v>
          </cell>
          <cell r="AE193">
            <v>0</v>
          </cell>
        </row>
        <row r="194">
          <cell r="AC194">
            <v>7992336</v>
          </cell>
          <cell r="AE194">
            <v>0</v>
          </cell>
        </row>
        <row r="195">
          <cell r="AC195">
            <v>37550738</v>
          </cell>
          <cell r="AE195">
            <v>0</v>
          </cell>
        </row>
        <row r="196">
          <cell r="AC196">
            <v>13613100</v>
          </cell>
          <cell r="AE196">
            <v>0</v>
          </cell>
        </row>
        <row r="198">
          <cell r="AC198">
            <v>3048731</v>
          </cell>
          <cell r="AE198">
            <v>0</v>
          </cell>
        </row>
        <row r="199">
          <cell r="AC199">
            <v>3754221</v>
          </cell>
          <cell r="AE199">
            <v>0</v>
          </cell>
        </row>
        <row r="200">
          <cell r="AC200">
            <v>15463047</v>
          </cell>
          <cell r="AE200">
            <v>0</v>
          </cell>
        </row>
        <row r="201">
          <cell r="AC201">
            <v>2499037</v>
          </cell>
          <cell r="AE201">
            <v>0</v>
          </cell>
        </row>
        <row r="202">
          <cell r="AC202">
            <v>29985165</v>
          </cell>
          <cell r="AE202">
            <v>0</v>
          </cell>
        </row>
        <row r="203">
          <cell r="AC203">
            <v>16851155</v>
          </cell>
          <cell r="AE203">
            <v>0</v>
          </cell>
        </row>
        <row r="204">
          <cell r="AC204">
            <v>7769154</v>
          </cell>
          <cell r="AE204">
            <v>0</v>
          </cell>
        </row>
        <row r="205">
          <cell r="AC205">
            <v>16890561</v>
          </cell>
          <cell r="AE205">
            <v>0</v>
          </cell>
        </row>
        <row r="206">
          <cell r="AC206">
            <v>36574240</v>
          </cell>
          <cell r="AE206">
            <v>0</v>
          </cell>
        </row>
        <row r="207">
          <cell r="AC207">
            <v>10092052</v>
          </cell>
          <cell r="AE207">
            <v>0</v>
          </cell>
        </row>
        <row r="208">
          <cell r="AC208">
            <v>387367</v>
          </cell>
          <cell r="AE208">
            <v>0</v>
          </cell>
        </row>
        <row r="209">
          <cell r="AC209">
            <v>3840387</v>
          </cell>
          <cell r="AE209">
            <v>0</v>
          </cell>
        </row>
        <row r="210">
          <cell r="AC210">
            <v>13370169</v>
          </cell>
          <cell r="AE210">
            <v>0</v>
          </cell>
        </row>
        <row r="211">
          <cell r="AC211">
            <v>18957512</v>
          </cell>
          <cell r="AE211">
            <v>0</v>
          </cell>
        </row>
        <row r="212">
          <cell r="AC212">
            <v>0</v>
          </cell>
          <cell r="AE212">
            <v>0</v>
          </cell>
        </row>
        <row r="213">
          <cell r="AC213">
            <v>20987939</v>
          </cell>
          <cell r="AE213">
            <v>0</v>
          </cell>
        </row>
        <row r="214">
          <cell r="AC214">
            <v>10651766</v>
          </cell>
          <cell r="AE214">
            <v>0</v>
          </cell>
        </row>
      </sheetData>
      <sheetData sheetId="7">
        <row r="145">
          <cell r="U145">
            <v>14185500</v>
          </cell>
          <cell r="W145">
            <v>5413852</v>
          </cell>
        </row>
        <row r="146">
          <cell r="U146">
            <v>16707651</v>
          </cell>
          <cell r="W146">
            <v>1660665</v>
          </cell>
        </row>
        <row r="147">
          <cell r="U147">
            <v>20388272</v>
          </cell>
          <cell r="W147">
            <v>26938178</v>
          </cell>
        </row>
        <row r="148">
          <cell r="U148">
            <v>3995590</v>
          </cell>
          <cell r="W148">
            <v>884567</v>
          </cell>
        </row>
        <row r="149">
          <cell r="U149">
            <v>17329601</v>
          </cell>
          <cell r="W149">
            <v>4904829</v>
          </cell>
        </row>
        <row r="150">
          <cell r="U150">
            <v>3424983</v>
          </cell>
          <cell r="W150">
            <v>477823</v>
          </cell>
        </row>
        <row r="151">
          <cell r="U151">
            <v>7229361</v>
          </cell>
          <cell r="W151">
            <v>2210983</v>
          </cell>
        </row>
        <row r="152">
          <cell r="U152">
            <v>0</v>
          </cell>
          <cell r="W152">
            <v>0</v>
          </cell>
        </row>
        <row r="153">
          <cell r="U153">
            <v>2809666</v>
          </cell>
          <cell r="W153">
            <v>92587</v>
          </cell>
        </row>
        <row r="154">
          <cell r="U154">
            <v>6845026</v>
          </cell>
          <cell r="W154">
            <v>0</v>
          </cell>
        </row>
        <row r="155">
          <cell r="U155">
            <v>13524324</v>
          </cell>
          <cell r="W155">
            <v>313590</v>
          </cell>
        </row>
        <row r="156">
          <cell r="U156">
            <v>38707039</v>
          </cell>
          <cell r="W156">
            <v>25609412</v>
          </cell>
        </row>
        <row r="157">
          <cell r="U157">
            <v>13045643</v>
          </cell>
          <cell r="W157">
            <v>7333502</v>
          </cell>
        </row>
        <row r="158">
          <cell r="U158">
            <v>11522737</v>
          </cell>
          <cell r="W158">
            <v>2736060</v>
          </cell>
        </row>
        <row r="159">
          <cell r="U159">
            <v>34263618</v>
          </cell>
          <cell r="W159">
            <v>5014157</v>
          </cell>
        </row>
        <row r="160">
          <cell r="U160">
            <v>22331543</v>
          </cell>
          <cell r="W160">
            <v>11555000</v>
          </cell>
        </row>
        <row r="161">
          <cell r="U161">
            <v>24801531</v>
          </cell>
          <cell r="W161">
            <v>20859971</v>
          </cell>
        </row>
        <row r="162">
          <cell r="U162">
            <v>6852062</v>
          </cell>
          <cell r="W162">
            <v>202210</v>
          </cell>
        </row>
        <row r="163">
          <cell r="U163">
            <v>9625982</v>
          </cell>
          <cell r="W163">
            <v>1743390</v>
          </cell>
        </row>
        <row r="164">
          <cell r="U164">
            <v>12386792</v>
          </cell>
          <cell r="W164">
            <v>1228193</v>
          </cell>
        </row>
        <row r="165">
          <cell r="U165">
            <v>0</v>
          </cell>
          <cell r="W165">
            <v>0</v>
          </cell>
        </row>
        <row r="166">
          <cell r="U166">
            <v>12813311</v>
          </cell>
          <cell r="W166">
            <v>2055060</v>
          </cell>
        </row>
        <row r="167">
          <cell r="U167">
            <v>11625774</v>
          </cell>
          <cell r="W167">
            <v>1579428</v>
          </cell>
        </row>
        <row r="169">
          <cell r="U169">
            <v>6299507</v>
          </cell>
          <cell r="W169">
            <v>342836</v>
          </cell>
        </row>
        <row r="170">
          <cell r="U170">
            <v>30598111</v>
          </cell>
          <cell r="W170">
            <v>5078342</v>
          </cell>
        </row>
        <row r="171">
          <cell r="U171">
            <v>8824509</v>
          </cell>
          <cell r="W171">
            <v>272848</v>
          </cell>
        </row>
        <row r="172">
          <cell r="U172">
            <v>14201586</v>
          </cell>
          <cell r="W172">
            <v>7181408</v>
          </cell>
        </row>
        <row r="173">
          <cell r="U173">
            <v>19149645</v>
          </cell>
          <cell r="W173">
            <v>2496007</v>
          </cell>
        </row>
        <row r="174">
          <cell r="U174">
            <v>0</v>
          </cell>
          <cell r="W174">
            <v>0</v>
          </cell>
        </row>
        <row r="175">
          <cell r="U175">
            <v>17244687</v>
          </cell>
          <cell r="W175">
            <v>3252790</v>
          </cell>
        </row>
        <row r="176">
          <cell r="U176">
            <v>4761513</v>
          </cell>
          <cell r="W176">
            <v>510920</v>
          </cell>
        </row>
        <row r="177">
          <cell r="U177">
            <v>12387059</v>
          </cell>
          <cell r="W177">
            <v>2542450</v>
          </cell>
        </row>
        <row r="178">
          <cell r="U178">
            <v>25134684</v>
          </cell>
          <cell r="W178">
            <v>6755000</v>
          </cell>
        </row>
        <row r="179">
          <cell r="U179">
            <v>19754425</v>
          </cell>
          <cell r="W179">
            <v>9881684</v>
          </cell>
        </row>
        <row r="180">
          <cell r="U180">
            <v>21043931</v>
          </cell>
          <cell r="W180">
            <v>1540811</v>
          </cell>
        </row>
        <row r="181">
          <cell r="U181">
            <v>5500425</v>
          </cell>
          <cell r="W181">
            <v>1298221</v>
          </cell>
        </row>
        <row r="182">
          <cell r="U182">
            <v>17111680</v>
          </cell>
          <cell r="W182">
            <v>20000</v>
          </cell>
        </row>
        <row r="183">
          <cell r="U183">
            <v>9679161</v>
          </cell>
          <cell r="W183">
            <v>7737041</v>
          </cell>
        </row>
        <row r="184">
          <cell r="U184">
            <v>12757263</v>
          </cell>
          <cell r="W184">
            <v>406442</v>
          </cell>
        </row>
        <row r="185">
          <cell r="U185">
            <v>10441622</v>
          </cell>
          <cell r="W185">
            <v>887565</v>
          </cell>
        </row>
        <row r="186">
          <cell r="U186">
            <v>19416538</v>
          </cell>
          <cell r="W186">
            <v>1450000</v>
          </cell>
        </row>
        <row r="187">
          <cell r="U187">
            <v>0</v>
          </cell>
          <cell r="W187">
            <v>0</v>
          </cell>
        </row>
        <row r="188">
          <cell r="U188">
            <v>4745216</v>
          </cell>
          <cell r="W188">
            <v>361214</v>
          </cell>
        </row>
        <row r="189">
          <cell r="U189">
            <v>12027917</v>
          </cell>
          <cell r="W189">
            <v>3823245</v>
          </cell>
        </row>
        <row r="190">
          <cell r="U190">
            <v>29293451</v>
          </cell>
          <cell r="W190">
            <v>7679730</v>
          </cell>
        </row>
        <row r="191">
          <cell r="U191">
            <v>7310739</v>
          </cell>
          <cell r="W191">
            <v>831448</v>
          </cell>
        </row>
        <row r="192">
          <cell r="U192">
            <v>7781879</v>
          </cell>
          <cell r="W192">
            <v>4585817</v>
          </cell>
        </row>
        <row r="193">
          <cell r="U193">
            <v>26633451</v>
          </cell>
          <cell r="W193">
            <v>7997429</v>
          </cell>
        </row>
        <row r="194">
          <cell r="U194">
            <v>12617504</v>
          </cell>
          <cell r="W194">
            <v>10830206</v>
          </cell>
        </row>
        <row r="195">
          <cell r="U195">
            <v>55284293</v>
          </cell>
          <cell r="W195">
            <v>12656546</v>
          </cell>
        </row>
        <row r="196">
          <cell r="U196">
            <v>27017399</v>
          </cell>
          <cell r="W196">
            <v>5518358</v>
          </cell>
        </row>
        <row r="198">
          <cell r="U198">
            <v>8290464</v>
          </cell>
          <cell r="W198">
            <v>817827</v>
          </cell>
        </row>
        <row r="199">
          <cell r="U199">
            <v>7591415</v>
          </cell>
          <cell r="W199">
            <v>1026536</v>
          </cell>
        </row>
        <row r="200">
          <cell r="U200">
            <v>22193324</v>
          </cell>
          <cell r="W200">
            <v>13598030</v>
          </cell>
        </row>
        <row r="201">
          <cell r="U201">
            <v>3217450</v>
          </cell>
          <cell r="W201">
            <v>1043828</v>
          </cell>
        </row>
        <row r="202">
          <cell r="U202">
            <v>56398511</v>
          </cell>
          <cell r="W202">
            <v>10875455</v>
          </cell>
        </row>
        <row r="203">
          <cell r="U203">
            <v>23249166</v>
          </cell>
          <cell r="W203">
            <v>19745337</v>
          </cell>
        </row>
        <row r="204">
          <cell r="U204">
            <v>16707470</v>
          </cell>
          <cell r="W204">
            <v>12425280</v>
          </cell>
        </row>
        <row r="205">
          <cell r="U205">
            <v>21807484</v>
          </cell>
          <cell r="W205">
            <v>3033362</v>
          </cell>
        </row>
        <row r="206">
          <cell r="U206">
            <v>67022767</v>
          </cell>
          <cell r="W206">
            <v>6597022</v>
          </cell>
        </row>
        <row r="207">
          <cell r="U207">
            <v>14896398</v>
          </cell>
          <cell r="W207">
            <v>2623490</v>
          </cell>
        </row>
        <row r="208">
          <cell r="U208">
            <v>3959408</v>
          </cell>
          <cell r="W208">
            <v>2248526</v>
          </cell>
        </row>
        <row r="209">
          <cell r="U209">
            <v>7949987</v>
          </cell>
          <cell r="W209">
            <v>405196</v>
          </cell>
        </row>
        <row r="210">
          <cell r="U210">
            <v>16420543</v>
          </cell>
          <cell r="W210">
            <v>14901</v>
          </cell>
        </row>
        <row r="211">
          <cell r="U211">
            <v>34724101</v>
          </cell>
          <cell r="W211">
            <v>19419177</v>
          </cell>
        </row>
        <row r="212">
          <cell r="U212">
            <v>0</v>
          </cell>
          <cell r="W212">
            <v>0</v>
          </cell>
        </row>
        <row r="213">
          <cell r="U213">
            <v>53284089</v>
          </cell>
          <cell r="W213">
            <v>26918051</v>
          </cell>
        </row>
        <row r="214">
          <cell r="U214">
            <v>17892053</v>
          </cell>
          <cell r="W214">
            <v>23147322</v>
          </cell>
        </row>
      </sheetData>
      <sheetData sheetId="8">
        <row r="145">
          <cell r="AH145">
            <v>14318777</v>
          </cell>
          <cell r="AL145">
            <v>5387271</v>
          </cell>
        </row>
        <row r="146">
          <cell r="AH146">
            <v>14122387</v>
          </cell>
          <cell r="AL146">
            <v>3845508</v>
          </cell>
        </row>
        <row r="147">
          <cell r="AH147">
            <v>24865899</v>
          </cell>
          <cell r="AL147">
            <v>5125000</v>
          </cell>
        </row>
        <row r="148">
          <cell r="AH148">
            <v>4561687</v>
          </cell>
          <cell r="AL148">
            <v>375462</v>
          </cell>
        </row>
        <row r="149">
          <cell r="AH149">
            <v>17364225</v>
          </cell>
          <cell r="AL149">
            <v>2785286</v>
          </cell>
        </row>
        <row r="150">
          <cell r="AH150">
            <v>3489084</v>
          </cell>
          <cell r="AL150">
            <v>15333</v>
          </cell>
        </row>
        <row r="151">
          <cell r="AH151">
            <v>8258637</v>
          </cell>
          <cell r="AL151">
            <v>2258101</v>
          </cell>
        </row>
        <row r="152">
          <cell r="AH152">
            <v>0</v>
          </cell>
          <cell r="AL152">
            <v>0</v>
          </cell>
        </row>
        <row r="153">
          <cell r="AH153">
            <v>2838507</v>
          </cell>
          <cell r="AL153">
            <v>99729</v>
          </cell>
        </row>
        <row r="154">
          <cell r="AH154">
            <v>6424041</v>
          </cell>
          <cell r="AL154">
            <v>0</v>
          </cell>
        </row>
        <row r="155">
          <cell r="AH155">
            <v>13637466</v>
          </cell>
          <cell r="AL155">
            <v>117657</v>
          </cell>
        </row>
        <row r="156">
          <cell r="AH156">
            <v>40945435</v>
          </cell>
          <cell r="AL156">
            <v>23059011</v>
          </cell>
        </row>
        <row r="157">
          <cell r="AH157">
            <v>17658753</v>
          </cell>
          <cell r="AL157">
            <v>7252781</v>
          </cell>
        </row>
        <row r="158">
          <cell r="AH158">
            <v>12659013</v>
          </cell>
          <cell r="AL158">
            <v>2690320</v>
          </cell>
        </row>
        <row r="159">
          <cell r="AH159">
            <v>38725632</v>
          </cell>
          <cell r="AL159">
            <v>2096550</v>
          </cell>
        </row>
        <row r="160">
          <cell r="AH160">
            <v>26180543</v>
          </cell>
          <cell r="AL160">
            <v>7600000</v>
          </cell>
        </row>
        <row r="161">
          <cell r="AH161">
            <v>43866907</v>
          </cell>
          <cell r="AL161">
            <v>2702894</v>
          </cell>
        </row>
        <row r="162">
          <cell r="AH162">
            <v>7178966</v>
          </cell>
          <cell r="AL162">
            <v>197000</v>
          </cell>
        </row>
        <row r="163">
          <cell r="AH163">
            <v>9643708</v>
          </cell>
          <cell r="AL163">
            <v>1743390</v>
          </cell>
        </row>
        <row r="164">
          <cell r="AH164">
            <v>13552980</v>
          </cell>
          <cell r="AL164">
            <v>1213850</v>
          </cell>
        </row>
        <row r="165">
          <cell r="AH165">
            <v>0</v>
          </cell>
          <cell r="AL165">
            <v>0</v>
          </cell>
        </row>
        <row r="166">
          <cell r="AH166">
            <v>16181594</v>
          </cell>
          <cell r="AL166">
            <v>2055060</v>
          </cell>
        </row>
        <row r="167">
          <cell r="AH167">
            <v>10838720</v>
          </cell>
          <cell r="AL167">
            <v>1404933</v>
          </cell>
        </row>
        <row r="168">
          <cell r="AH168">
            <v>0</v>
          </cell>
          <cell r="AL168">
            <v>0</v>
          </cell>
        </row>
        <row r="169">
          <cell r="AH169">
            <v>7798582</v>
          </cell>
          <cell r="AL169">
            <v>976500</v>
          </cell>
        </row>
        <row r="170">
          <cell r="AH170">
            <v>27836862</v>
          </cell>
          <cell r="AL170">
            <v>5985420</v>
          </cell>
        </row>
        <row r="171">
          <cell r="AH171">
            <v>7778320</v>
          </cell>
          <cell r="AL171">
            <v>1154752</v>
          </cell>
        </row>
        <row r="172">
          <cell r="AH172">
            <v>16270565</v>
          </cell>
          <cell r="AL172">
            <v>5195247</v>
          </cell>
        </row>
        <row r="173">
          <cell r="AH173">
            <v>18392419</v>
          </cell>
          <cell r="AL173">
            <v>2355593</v>
          </cell>
        </row>
        <row r="174">
          <cell r="AH174">
            <v>0</v>
          </cell>
          <cell r="AL174">
            <v>0</v>
          </cell>
        </row>
        <row r="175">
          <cell r="AH175">
            <v>21520950</v>
          </cell>
          <cell r="AL175">
            <v>2940000</v>
          </cell>
        </row>
        <row r="176">
          <cell r="AH176">
            <v>4735165</v>
          </cell>
          <cell r="AL176">
            <v>461948</v>
          </cell>
        </row>
        <row r="177">
          <cell r="AH177">
            <v>16011620</v>
          </cell>
          <cell r="AL177">
            <v>1282450</v>
          </cell>
        </row>
        <row r="178">
          <cell r="AH178">
            <v>19563686</v>
          </cell>
          <cell r="AL178">
            <v>7009023</v>
          </cell>
        </row>
        <row r="179">
          <cell r="AH179">
            <v>23485233</v>
          </cell>
          <cell r="AL179">
            <v>7250862</v>
          </cell>
        </row>
        <row r="180">
          <cell r="AH180">
            <v>18406177</v>
          </cell>
          <cell r="AL180">
            <v>1245924</v>
          </cell>
        </row>
        <row r="181">
          <cell r="AH181">
            <v>6000110</v>
          </cell>
          <cell r="AL181">
            <v>1119809</v>
          </cell>
        </row>
        <row r="182">
          <cell r="AH182">
            <v>17833581</v>
          </cell>
          <cell r="AL182">
            <v>20000</v>
          </cell>
        </row>
        <row r="183">
          <cell r="AH183">
            <v>9738750</v>
          </cell>
          <cell r="AL183">
            <v>714245</v>
          </cell>
        </row>
        <row r="184">
          <cell r="AH184">
            <v>12319469</v>
          </cell>
          <cell r="AL184">
            <v>1069788</v>
          </cell>
        </row>
        <row r="185">
          <cell r="AH185">
            <v>10742919</v>
          </cell>
          <cell r="AL185">
            <v>806448</v>
          </cell>
        </row>
        <row r="186">
          <cell r="AH186">
            <v>18371656</v>
          </cell>
          <cell r="AL186">
            <v>1450000</v>
          </cell>
        </row>
        <row r="187">
          <cell r="AH187">
            <v>0</v>
          </cell>
          <cell r="AL187">
            <v>0</v>
          </cell>
        </row>
        <row r="188">
          <cell r="AH188">
            <v>4599075</v>
          </cell>
          <cell r="AL188">
            <v>305323</v>
          </cell>
        </row>
        <row r="189">
          <cell r="AH189">
            <v>11590470</v>
          </cell>
          <cell r="AL189">
            <v>3823245</v>
          </cell>
        </row>
        <row r="190">
          <cell r="AH190">
            <v>31158220</v>
          </cell>
          <cell r="AL190">
            <v>7915000</v>
          </cell>
        </row>
        <row r="191">
          <cell r="AH191">
            <v>6040502</v>
          </cell>
          <cell r="AL191">
            <v>1116448</v>
          </cell>
        </row>
        <row r="192">
          <cell r="AH192">
            <v>7990540</v>
          </cell>
          <cell r="AL192">
            <v>5159769</v>
          </cell>
        </row>
        <row r="193">
          <cell r="AH193">
            <v>27266741</v>
          </cell>
          <cell r="AL193">
            <v>4876617</v>
          </cell>
        </row>
        <row r="194">
          <cell r="AH194">
            <v>22512125</v>
          </cell>
          <cell r="AL194">
            <v>1212007</v>
          </cell>
        </row>
        <row r="195">
          <cell r="AH195">
            <v>61345151</v>
          </cell>
          <cell r="AL195">
            <v>4296546</v>
          </cell>
        </row>
        <row r="196">
          <cell r="AH196">
            <v>26763743</v>
          </cell>
          <cell r="AL196">
            <v>4966559</v>
          </cell>
        </row>
        <row r="198">
          <cell r="AH198">
            <v>8296327</v>
          </cell>
          <cell r="AL198">
            <v>275827</v>
          </cell>
        </row>
        <row r="199">
          <cell r="AH199">
            <v>8972304</v>
          </cell>
          <cell r="AL199">
            <v>524425</v>
          </cell>
        </row>
        <row r="200">
          <cell r="AH200">
            <v>23435968</v>
          </cell>
          <cell r="AL200">
            <v>14085128</v>
          </cell>
        </row>
        <row r="201">
          <cell r="AH201">
            <v>4572857</v>
          </cell>
          <cell r="AL201">
            <v>854002</v>
          </cell>
        </row>
        <row r="202">
          <cell r="AH202">
            <v>55898421</v>
          </cell>
          <cell r="AL202">
            <v>10281118</v>
          </cell>
        </row>
        <row r="203">
          <cell r="AH203">
            <v>43235251</v>
          </cell>
          <cell r="AL203">
            <v>1257232</v>
          </cell>
        </row>
        <row r="204">
          <cell r="AH204">
            <v>15140032</v>
          </cell>
          <cell r="AL204">
            <v>6130987</v>
          </cell>
        </row>
        <row r="205">
          <cell r="AH205">
            <v>21683084</v>
          </cell>
          <cell r="AL205">
            <v>2961504</v>
          </cell>
        </row>
        <row r="206">
          <cell r="AH206">
            <v>65600389</v>
          </cell>
          <cell r="AL206">
            <v>6330657</v>
          </cell>
        </row>
        <row r="207">
          <cell r="AH207">
            <v>13400499</v>
          </cell>
          <cell r="AL207">
            <v>2612575</v>
          </cell>
        </row>
        <row r="208">
          <cell r="AH208">
            <v>4928116</v>
          </cell>
          <cell r="AL208">
            <v>1743183</v>
          </cell>
        </row>
        <row r="209">
          <cell r="AH209">
            <v>6911531</v>
          </cell>
          <cell r="AL209">
            <v>1212769</v>
          </cell>
        </row>
        <row r="210">
          <cell r="AH210">
            <v>17792056</v>
          </cell>
          <cell r="AL210">
            <v>0</v>
          </cell>
        </row>
        <row r="211">
          <cell r="AH211">
            <v>56893997</v>
          </cell>
          <cell r="AL211">
            <v>734445</v>
          </cell>
        </row>
        <row r="212">
          <cell r="AH212">
            <v>0</v>
          </cell>
          <cell r="AL212">
            <v>0</v>
          </cell>
        </row>
        <row r="213">
          <cell r="AH213">
            <v>58156113</v>
          </cell>
          <cell r="AL213">
            <v>10434101</v>
          </cell>
        </row>
        <row r="214">
          <cell r="AH214">
            <v>25778773</v>
          </cell>
          <cell r="AL214">
            <v>14526884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U255"/>
  <sheetViews>
    <sheetView view="pageBreakPreview" zoomScale="75" zoomScaleNormal="140" zoomScaleSheetLayoutView="7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A26" sqref="A26"/>
    </sheetView>
  </sheetViews>
  <sheetFormatPr defaultColWidth="9.109375" defaultRowHeight="12.75" customHeight="1"/>
  <cols>
    <col min="1" max="1" width="16" style="44" customWidth="1"/>
    <col min="2" max="2" width="1.6640625" style="47" customWidth="1"/>
    <col min="3" max="3" width="12" style="44" customWidth="1"/>
    <col min="4" max="4" width="1.6640625" style="47" customWidth="1"/>
    <col min="5" max="5" width="11.6640625" style="44" customWidth="1"/>
    <col min="6" max="6" width="1.6640625" style="44" customWidth="1"/>
    <col min="7" max="7" width="12.88671875" style="44" bestFit="1" customWidth="1"/>
    <col min="8" max="8" width="1.6640625" style="44" customWidth="1"/>
    <col min="9" max="9" width="12.6640625" style="44" customWidth="1"/>
    <col min="10" max="10" width="1.6640625" style="44" customWidth="1"/>
    <col min="11" max="11" width="12.88671875" style="44" bestFit="1" customWidth="1"/>
    <col min="12" max="12" width="1.6640625" style="44" customWidth="1"/>
    <col min="13" max="13" width="11.6640625" style="44" customWidth="1"/>
    <col min="14" max="14" width="1.6640625" style="44" customWidth="1"/>
    <col min="15" max="15" width="12.5546875" style="44" customWidth="1"/>
    <col min="16" max="16" width="1.6640625" style="44" customWidth="1"/>
    <col min="17" max="17" width="11.6640625" style="44" customWidth="1"/>
    <col min="18" max="18" width="2.6640625" style="44" customWidth="1"/>
    <col min="19" max="19" width="11.6640625" style="44" customWidth="1"/>
    <col min="20" max="20" width="1.6640625" style="44" customWidth="1"/>
    <col min="21" max="21" width="11.6640625" style="44" customWidth="1"/>
    <col min="22" max="22" width="1.6640625" style="44" customWidth="1"/>
    <col min="23" max="23" width="11.6640625" style="44" customWidth="1"/>
    <col min="24" max="24" width="1.6640625" style="44" customWidth="1"/>
    <col min="25" max="25" width="11.6640625" style="44" customWidth="1"/>
    <col min="26" max="26" width="2.6640625" style="44" customWidth="1"/>
    <col min="27" max="27" width="2.6640625" style="44" hidden="1" customWidth="1"/>
    <col min="28" max="28" width="12.6640625" style="44" customWidth="1"/>
    <col min="29" max="29" width="16.44140625" style="44" customWidth="1"/>
    <col min="30" max="16384" width="9.109375" style="44"/>
  </cols>
  <sheetData>
    <row r="1" spans="1:28" ht="12.75" customHeight="1">
      <c r="A1" s="80" t="s">
        <v>424</v>
      </c>
    </row>
    <row r="2" spans="1:28" ht="12.75" customHeight="1">
      <c r="A2" s="80" t="s">
        <v>495</v>
      </c>
    </row>
    <row r="3" spans="1:28" ht="12.75" customHeight="1">
      <c r="A3" s="80" t="s">
        <v>289</v>
      </c>
    </row>
    <row r="4" spans="1:28" ht="12.75" customHeight="1">
      <c r="A4" s="80"/>
    </row>
    <row r="6" spans="1:28" ht="12.75" customHeight="1">
      <c r="A6" s="80"/>
      <c r="E6" s="158" t="s">
        <v>0</v>
      </c>
      <c r="F6" s="158"/>
      <c r="G6" s="158"/>
      <c r="H6" s="158"/>
      <c r="I6" s="158"/>
      <c r="J6" s="77"/>
      <c r="K6" s="77"/>
      <c r="M6" s="158" t="s">
        <v>1</v>
      </c>
      <c r="N6" s="158"/>
      <c r="O6" s="158"/>
      <c r="P6" s="77"/>
      <c r="Q6" s="77"/>
      <c r="S6" s="158" t="s">
        <v>2</v>
      </c>
      <c r="T6" s="158"/>
      <c r="U6" s="158"/>
      <c r="V6" s="158"/>
      <c r="W6" s="158"/>
      <c r="X6" s="77"/>
      <c r="Y6" s="77"/>
    </row>
    <row r="7" spans="1:28" ht="12.75" customHeight="1">
      <c r="A7" s="35"/>
      <c r="C7" s="35"/>
      <c r="E7" s="81" t="s">
        <v>3</v>
      </c>
      <c r="F7" s="81"/>
      <c r="G7" s="81" t="s">
        <v>4</v>
      </c>
      <c r="H7" s="81"/>
      <c r="I7" s="81" t="s">
        <v>474</v>
      </c>
      <c r="J7" s="81"/>
      <c r="K7" s="81" t="s">
        <v>6</v>
      </c>
      <c r="M7" s="81" t="s">
        <v>3</v>
      </c>
      <c r="N7" s="8"/>
      <c r="O7" s="81" t="s">
        <v>448</v>
      </c>
      <c r="P7" s="81"/>
      <c r="Q7" s="81" t="s">
        <v>6</v>
      </c>
      <c r="S7" s="8" t="s">
        <v>7</v>
      </c>
      <c r="T7" s="8"/>
      <c r="U7" s="8"/>
      <c r="V7" s="8"/>
      <c r="W7" s="8"/>
      <c r="X7" s="8"/>
      <c r="Y7" s="81" t="s">
        <v>6</v>
      </c>
      <c r="AB7" s="81" t="s">
        <v>428</v>
      </c>
    </row>
    <row r="8" spans="1:28" ht="12.75" customHeight="1">
      <c r="A8" s="78" t="s">
        <v>8</v>
      </c>
      <c r="C8" s="78" t="s">
        <v>9</v>
      </c>
      <c r="E8" s="7" t="s">
        <v>0</v>
      </c>
      <c r="F8" s="8"/>
      <c r="G8" s="7" t="s">
        <v>0</v>
      </c>
      <c r="H8" s="8"/>
      <c r="I8" s="7" t="s">
        <v>475</v>
      </c>
      <c r="J8" s="8"/>
      <c r="K8" s="7" t="s">
        <v>0</v>
      </c>
      <c r="M8" s="7" t="s">
        <v>1</v>
      </c>
      <c r="N8" s="8"/>
      <c r="O8" s="7" t="s">
        <v>438</v>
      </c>
      <c r="P8" s="8"/>
      <c r="Q8" s="7" t="s">
        <v>1</v>
      </c>
      <c r="S8" s="7" t="s">
        <v>290</v>
      </c>
      <c r="T8" s="8"/>
      <c r="U8" s="7" t="s">
        <v>10</v>
      </c>
      <c r="V8" s="8"/>
      <c r="W8" s="7" t="s">
        <v>11</v>
      </c>
      <c r="X8" s="8"/>
      <c r="Y8" s="7" t="s">
        <v>2</v>
      </c>
      <c r="AB8" s="81" t="s">
        <v>436</v>
      </c>
    </row>
    <row r="9" spans="1:28" ht="12.75" customHeight="1">
      <c r="A9" s="8"/>
      <c r="C9" s="8"/>
      <c r="E9" s="8"/>
      <c r="F9" s="8"/>
      <c r="G9" s="8"/>
      <c r="H9" s="8"/>
      <c r="I9" s="8"/>
      <c r="J9" s="8"/>
      <c r="K9" s="8"/>
      <c r="M9" s="8"/>
      <c r="N9" s="8"/>
      <c r="O9" s="8"/>
      <c r="P9" s="8"/>
      <c r="Q9" s="8"/>
      <c r="S9" s="8"/>
      <c r="T9" s="8"/>
      <c r="U9" s="8"/>
      <c r="V9" s="8"/>
      <c r="W9" s="8"/>
      <c r="X9" s="8"/>
      <c r="Y9" s="8"/>
    </row>
    <row r="10" spans="1:28" s="46" customFormat="1" ht="12.75" customHeight="1">
      <c r="A10" s="46" t="s">
        <v>12</v>
      </c>
      <c r="C10" s="46" t="s">
        <v>13</v>
      </c>
      <c r="E10" s="46">
        <f>+K10-G10-I10</f>
        <v>214514642</v>
      </c>
      <c r="G10" s="46">
        <v>1038939189</v>
      </c>
      <c r="I10" s="46">
        <v>0</v>
      </c>
      <c r="K10" s="46">
        <v>1253453831</v>
      </c>
      <c r="M10" s="46">
        <f t="shared" ref="M10:M72" si="0">+Q10-O10</f>
        <v>381772830</v>
      </c>
      <c r="O10" s="46">
        <v>510919988</v>
      </c>
      <c r="Q10" s="46">
        <v>892692818</v>
      </c>
      <c r="S10" s="46">
        <v>352615832</v>
      </c>
      <c r="U10" s="46">
        <v>67956219</v>
      </c>
      <c r="W10" s="46">
        <v>-59811038</v>
      </c>
      <c r="Y10" s="46">
        <f>S10+U10+W10</f>
        <v>360761013</v>
      </c>
      <c r="AB10" s="46">
        <f t="shared" ref="AB10:AB72" si="1">+K10-Q10-Y10</f>
        <v>0</v>
      </c>
    </row>
    <row r="11" spans="1:28" ht="12.75" customHeight="1">
      <c r="A11" s="44" t="s">
        <v>14</v>
      </c>
      <c r="B11" s="44"/>
      <c r="C11" s="44" t="s">
        <v>15</v>
      </c>
      <c r="D11" s="44"/>
      <c r="E11" s="146">
        <f t="shared" ref="E11:E72" si="2">+K11-G11-I11</f>
        <v>16836507</v>
      </c>
      <c r="G11" s="44">
        <f>2855539+16943658</f>
        <v>19799197</v>
      </c>
      <c r="I11" s="44">
        <v>0</v>
      </c>
      <c r="K11" s="44">
        <v>36635704</v>
      </c>
      <c r="M11" s="44">
        <f t="shared" si="0"/>
        <v>3454693</v>
      </c>
      <c r="O11" s="44">
        <v>3675744</v>
      </c>
      <c r="Q11" s="44">
        <v>7130437</v>
      </c>
      <c r="S11" s="44">
        <v>17764197</v>
      </c>
      <c r="U11" s="44">
        <f>29505267-2624597-17764197</f>
        <v>9116473</v>
      </c>
      <c r="W11" s="44">
        <v>2624597</v>
      </c>
      <c r="Y11" s="44">
        <f>S11+U11+W11</f>
        <v>29505267</v>
      </c>
      <c r="AB11" s="44">
        <f t="shared" si="1"/>
        <v>0</v>
      </c>
    </row>
    <row r="12" spans="1:28" ht="12.75" customHeight="1">
      <c r="A12" s="44" t="s">
        <v>16</v>
      </c>
      <c r="C12" s="44" t="s">
        <v>17</v>
      </c>
      <c r="E12" s="44">
        <v>10055293</v>
      </c>
      <c r="G12" s="44">
        <f>1398148+21874005</f>
        <v>23272153</v>
      </c>
      <c r="I12" s="44">
        <f>+K12-G12-E12</f>
        <v>4107353</v>
      </c>
      <c r="K12" s="44">
        <v>37434799</v>
      </c>
      <c r="M12" s="44">
        <f>+Q12-O12</f>
        <v>2460052</v>
      </c>
      <c r="O12" s="44">
        <v>3629675</v>
      </c>
      <c r="Q12" s="44">
        <v>6089727</v>
      </c>
      <c r="S12" s="44">
        <v>19614275</v>
      </c>
      <c r="U12" s="44">
        <f>31345072-4453972-19614275</f>
        <v>7276825</v>
      </c>
      <c r="W12" s="44">
        <v>4453972</v>
      </c>
      <c r="Y12" s="44">
        <f>S12+U12+W12</f>
        <v>31345072</v>
      </c>
      <c r="AB12" s="44">
        <f>+K12-Q12-Y12</f>
        <v>0</v>
      </c>
    </row>
    <row r="13" spans="1:28" ht="12.75" customHeight="1">
      <c r="A13" s="44" t="s">
        <v>18</v>
      </c>
      <c r="C13" s="44" t="s">
        <v>18</v>
      </c>
      <c r="E13" s="44">
        <v>6323639</v>
      </c>
      <c r="G13" s="44">
        <f>5981027+14959724</f>
        <v>20940751</v>
      </c>
      <c r="I13" s="44">
        <v>0</v>
      </c>
      <c r="K13" s="44">
        <v>31577988</v>
      </c>
      <c r="M13" s="44">
        <f t="shared" si="0"/>
        <v>4082639</v>
      </c>
      <c r="O13" s="44">
        <v>3371115</v>
      </c>
      <c r="Q13" s="44">
        <v>7453754</v>
      </c>
      <c r="S13" s="44">
        <v>17364157</v>
      </c>
      <c r="U13" s="44">
        <v>5354993</v>
      </c>
      <c r="W13" s="44">
        <v>1405084</v>
      </c>
      <c r="Y13" s="44">
        <f>S13+U13+W13</f>
        <v>24124234</v>
      </c>
      <c r="AB13" s="44">
        <f t="shared" si="1"/>
        <v>0</v>
      </c>
    </row>
    <row r="14" spans="1:28" ht="12.75" customHeight="1">
      <c r="A14" s="44" t="s">
        <v>19</v>
      </c>
      <c r="C14" s="44" t="s">
        <v>19</v>
      </c>
      <c r="E14" s="44">
        <f t="shared" si="2"/>
        <v>11288197</v>
      </c>
      <c r="G14" s="44">
        <f>4370473+15089434</f>
        <v>19459907</v>
      </c>
      <c r="I14" s="44">
        <v>0</v>
      </c>
      <c r="K14" s="44">
        <v>30748104</v>
      </c>
      <c r="M14" s="44">
        <f t="shared" si="0"/>
        <v>4633106</v>
      </c>
      <c r="O14" s="44">
        <v>2032928</v>
      </c>
      <c r="Q14" s="44">
        <v>6666034</v>
      </c>
      <c r="S14" s="44">
        <v>19022629</v>
      </c>
      <c r="U14" s="44">
        <f>24082070-19022629-1312330</f>
        <v>3747111</v>
      </c>
      <c r="W14" s="44">
        <v>1312330</v>
      </c>
      <c r="Y14" s="44">
        <f t="shared" ref="Y14:Y72" si="3">S14+U14+W14</f>
        <v>24082070</v>
      </c>
      <c r="AB14" s="44">
        <f t="shared" si="1"/>
        <v>0</v>
      </c>
    </row>
    <row r="15" spans="1:28" ht="12.75" customHeight="1">
      <c r="A15" s="44" t="s">
        <v>20</v>
      </c>
      <c r="C15" s="44" t="s">
        <v>20</v>
      </c>
      <c r="E15" s="44">
        <f t="shared" si="2"/>
        <v>10408033</v>
      </c>
      <c r="G15" s="44">
        <f>35221777+19699374</f>
        <v>54921151</v>
      </c>
      <c r="I15" s="44">
        <v>0</v>
      </c>
      <c r="K15" s="44">
        <v>65329184</v>
      </c>
      <c r="M15" s="44">
        <f t="shared" si="0"/>
        <v>4588330</v>
      </c>
      <c r="O15" s="44">
        <v>4034032</v>
      </c>
      <c r="Q15" s="44">
        <v>8622362</v>
      </c>
      <c r="S15" s="44">
        <v>49436151</v>
      </c>
      <c r="U15" s="44">
        <f>56706822-49436151-944353</f>
        <v>6326318</v>
      </c>
      <c r="W15" s="44">
        <v>944353</v>
      </c>
      <c r="Y15" s="44">
        <f t="shared" si="3"/>
        <v>56706822</v>
      </c>
      <c r="AB15" s="44">
        <f t="shared" si="1"/>
        <v>0</v>
      </c>
    </row>
    <row r="16" spans="1:28" ht="12.75" customHeight="1">
      <c r="A16" s="44" t="s">
        <v>467</v>
      </c>
      <c r="C16" s="44" t="s">
        <v>22</v>
      </c>
      <c r="E16" s="44">
        <v>15226802</v>
      </c>
      <c r="G16" s="44">
        <f>34154953+28488693</f>
        <v>62643646</v>
      </c>
      <c r="I16" s="44">
        <v>0</v>
      </c>
      <c r="K16" s="44">
        <v>86563656</v>
      </c>
      <c r="M16" s="44">
        <f t="shared" si="0"/>
        <v>6787089</v>
      </c>
      <c r="O16" s="44">
        <v>10616870</v>
      </c>
      <c r="Q16" s="44">
        <v>17403959</v>
      </c>
      <c r="S16" s="44">
        <v>51393525</v>
      </c>
      <c r="U16" s="44">
        <f>69159697-7907159-51393525</f>
        <v>9859013</v>
      </c>
      <c r="W16" s="44">
        <v>7907159</v>
      </c>
      <c r="Y16" s="44">
        <f t="shared" si="3"/>
        <v>69159697</v>
      </c>
      <c r="AB16" s="44">
        <f t="shared" si="1"/>
        <v>0</v>
      </c>
    </row>
    <row r="17" spans="1:28" ht="12.75" customHeight="1">
      <c r="A17" s="44" t="s">
        <v>23</v>
      </c>
      <c r="C17" s="44" t="s">
        <v>17</v>
      </c>
      <c r="E17" s="44">
        <f t="shared" si="2"/>
        <v>52226696</v>
      </c>
      <c r="G17" s="44">
        <f>11774578+61631840</f>
        <v>73406418</v>
      </c>
      <c r="I17" s="44">
        <v>0</v>
      </c>
      <c r="K17" s="44">
        <v>125633114</v>
      </c>
      <c r="M17" s="44">
        <f t="shared" si="0"/>
        <v>10683350</v>
      </c>
      <c r="O17" s="44">
        <v>55856076</v>
      </c>
      <c r="Q17" s="44">
        <v>66539426</v>
      </c>
      <c r="S17" s="44">
        <v>20640517</v>
      </c>
      <c r="U17" s="44">
        <f>59093688-20640517-3691065</f>
        <v>34762106</v>
      </c>
      <c r="W17" s="44">
        <v>3691065</v>
      </c>
      <c r="Y17" s="44">
        <f t="shared" si="3"/>
        <v>59093688</v>
      </c>
      <c r="AB17" s="44">
        <f t="shared" si="1"/>
        <v>0</v>
      </c>
    </row>
    <row r="18" spans="1:28" ht="12.75" customHeight="1">
      <c r="A18" s="44" t="s">
        <v>24</v>
      </c>
      <c r="C18" s="44" t="s">
        <v>17</v>
      </c>
      <c r="E18" s="44">
        <f t="shared" si="2"/>
        <v>27288034</v>
      </c>
      <c r="G18" s="44">
        <f>5594465+51551806</f>
        <v>57146271</v>
      </c>
      <c r="I18" s="44">
        <v>0</v>
      </c>
      <c r="K18" s="44">
        <v>84434305</v>
      </c>
      <c r="M18" s="44">
        <f t="shared" si="0"/>
        <v>8437692</v>
      </c>
      <c r="O18" s="44">
        <v>8553201</v>
      </c>
      <c r="Q18" s="44">
        <v>16990893</v>
      </c>
      <c r="S18" s="44">
        <v>48910675</v>
      </c>
      <c r="U18" s="44">
        <f>67443412-48910675-8923144</f>
        <v>9609593</v>
      </c>
      <c r="W18" s="44">
        <v>8923144</v>
      </c>
      <c r="Y18" s="44">
        <f t="shared" si="3"/>
        <v>67443412</v>
      </c>
      <c r="AB18" s="44">
        <f t="shared" si="1"/>
        <v>0</v>
      </c>
    </row>
    <row r="19" spans="1:28" ht="12.75" customHeight="1">
      <c r="A19" s="44" t="s">
        <v>25</v>
      </c>
      <c r="C19" s="44" t="s">
        <v>13</v>
      </c>
      <c r="E19" s="44">
        <f t="shared" si="2"/>
        <v>15726805</v>
      </c>
      <c r="G19" s="44">
        <f>7707741+16898119</f>
        <v>24605860</v>
      </c>
      <c r="I19" s="44">
        <v>0</v>
      </c>
      <c r="K19" s="44">
        <v>40332665</v>
      </c>
      <c r="M19" s="44">
        <f t="shared" si="0"/>
        <v>8558722</v>
      </c>
      <c r="O19" s="44">
        <v>6513454</v>
      </c>
      <c r="Q19" s="44">
        <v>15072176</v>
      </c>
      <c r="S19" s="44">
        <v>18149544</v>
      </c>
      <c r="U19" s="44">
        <f>25260489-18149544-2318794</f>
        <v>4792151</v>
      </c>
      <c r="W19" s="44">
        <v>2318794</v>
      </c>
      <c r="Y19" s="44">
        <f t="shared" si="3"/>
        <v>25260489</v>
      </c>
      <c r="AB19" s="44">
        <f t="shared" si="1"/>
        <v>0</v>
      </c>
    </row>
    <row r="20" spans="1:28" ht="12.75" customHeight="1">
      <c r="A20" s="44" t="s">
        <v>26</v>
      </c>
      <c r="C20" s="44" t="s">
        <v>27</v>
      </c>
      <c r="E20" s="44">
        <f t="shared" si="2"/>
        <v>27773972</v>
      </c>
      <c r="G20" s="44">
        <f>284067+22334115</f>
        <v>22618182</v>
      </c>
      <c r="I20" s="44">
        <v>0</v>
      </c>
      <c r="K20" s="44">
        <v>50392154</v>
      </c>
      <c r="M20" s="44">
        <f t="shared" si="0"/>
        <v>12312172</v>
      </c>
      <c r="O20" s="44">
        <v>10413968</v>
      </c>
      <c r="Q20" s="44">
        <v>22726140</v>
      </c>
      <c r="S20" s="44">
        <v>9327552</v>
      </c>
      <c r="U20" s="44">
        <f>27666014-9327552-6321701</f>
        <v>12016761</v>
      </c>
      <c r="W20" s="44">
        <v>6321701</v>
      </c>
      <c r="Y20" s="44">
        <f t="shared" si="3"/>
        <v>27666014</v>
      </c>
      <c r="AB20" s="44">
        <f t="shared" si="1"/>
        <v>0</v>
      </c>
    </row>
    <row r="21" spans="1:28" ht="12.75" customHeight="1">
      <c r="A21" s="44" t="s">
        <v>28</v>
      </c>
      <c r="C21" s="44" t="s">
        <v>27</v>
      </c>
      <c r="E21" s="44">
        <f t="shared" si="2"/>
        <v>49908709</v>
      </c>
      <c r="G21" s="44">
        <f>13180236+75458585</f>
        <v>88638821</v>
      </c>
      <c r="I21" s="44">
        <v>0</v>
      </c>
      <c r="K21" s="44">
        <v>138547530</v>
      </c>
      <c r="M21" s="44">
        <f t="shared" si="0"/>
        <v>9861398</v>
      </c>
      <c r="O21" s="44">
        <v>16171787</v>
      </c>
      <c r="Q21" s="44">
        <v>26033185</v>
      </c>
      <c r="S21" s="44">
        <v>72898821</v>
      </c>
      <c r="U21" s="44">
        <f>5618839+14063+828200+215509</f>
        <v>6676611</v>
      </c>
      <c r="W21" s="44">
        <v>32938913</v>
      </c>
      <c r="Y21" s="44">
        <f t="shared" si="3"/>
        <v>112514345</v>
      </c>
      <c r="AB21" s="44">
        <f t="shared" si="1"/>
        <v>0</v>
      </c>
    </row>
    <row r="22" spans="1:28" ht="12.75" customHeight="1">
      <c r="A22" s="44" t="s">
        <v>29</v>
      </c>
      <c r="C22" s="44" t="s">
        <v>30</v>
      </c>
      <c r="E22" s="44">
        <f t="shared" si="2"/>
        <v>28241952</v>
      </c>
      <c r="G22" s="44">
        <f>11770694+188817331</f>
        <v>200588025</v>
      </c>
      <c r="I22" s="44">
        <v>0</v>
      </c>
      <c r="J22" s="44" t="s">
        <v>450</v>
      </c>
      <c r="K22" s="44">
        <v>228829977</v>
      </c>
      <c r="M22" s="44">
        <f t="shared" si="0"/>
        <v>15386461</v>
      </c>
      <c r="O22" s="44">
        <v>8127962</v>
      </c>
      <c r="Q22" s="44">
        <v>23514423</v>
      </c>
      <c r="S22" s="44">
        <v>192384730</v>
      </c>
      <c r="U22" s="44">
        <f>5993986+3869395+106680+26572</f>
        <v>9996633</v>
      </c>
      <c r="W22" s="44">
        <v>2934191</v>
      </c>
      <c r="Y22" s="44">
        <f t="shared" si="3"/>
        <v>205315554</v>
      </c>
      <c r="AB22" s="44">
        <f t="shared" si="1"/>
        <v>0</v>
      </c>
    </row>
    <row r="23" spans="1:28" ht="12.75" customHeight="1">
      <c r="A23" s="44" t="s">
        <v>31</v>
      </c>
      <c r="C23" s="44" t="s">
        <v>27</v>
      </c>
      <c r="E23" s="44">
        <v>14243839</v>
      </c>
      <c r="G23" s="44">
        <f>3422795+34181010</f>
        <v>37603805</v>
      </c>
      <c r="I23" s="44">
        <v>0</v>
      </c>
      <c r="K23" s="44">
        <v>61588223</v>
      </c>
      <c r="M23" s="44">
        <f t="shared" si="0"/>
        <v>6875012</v>
      </c>
      <c r="O23" s="44">
        <v>12261743</v>
      </c>
      <c r="Q23" s="44">
        <v>19136755</v>
      </c>
      <c r="S23" s="44">
        <v>26093966</v>
      </c>
      <c r="U23" s="44">
        <f>952794+933485+161449+1441636+2173046</f>
        <v>5662410</v>
      </c>
      <c r="W23" s="44">
        <v>10695092</v>
      </c>
      <c r="Y23" s="44">
        <f t="shared" si="3"/>
        <v>42451468</v>
      </c>
      <c r="AB23" s="44">
        <f t="shared" si="1"/>
        <v>0</v>
      </c>
    </row>
    <row r="24" spans="1:28" ht="12.75" customHeight="1">
      <c r="A24" s="44" t="s">
        <v>466</v>
      </c>
      <c r="C24" s="44" t="s">
        <v>27</v>
      </c>
      <c r="E24" s="44">
        <v>6069567</v>
      </c>
      <c r="G24" s="44">
        <f>1716387+19757555</f>
        <v>21473942</v>
      </c>
      <c r="I24" s="44">
        <v>0</v>
      </c>
      <c r="K24" s="44">
        <v>34864272</v>
      </c>
      <c r="M24" s="44">
        <v>12200715</v>
      </c>
      <c r="O24" s="44">
        <v>6416284</v>
      </c>
      <c r="Q24" s="44">
        <v>12200715</v>
      </c>
      <c r="S24" s="44">
        <v>16474336</v>
      </c>
      <c r="U24" s="44">
        <f>90950+787465+104698</f>
        <v>983113</v>
      </c>
      <c r="W24" s="44">
        <v>5206108</v>
      </c>
      <c r="Y24" s="44">
        <f t="shared" si="3"/>
        <v>22663557</v>
      </c>
      <c r="AB24" s="44">
        <f t="shared" si="1"/>
        <v>0</v>
      </c>
    </row>
    <row r="25" spans="1:28" ht="12.75" customHeight="1">
      <c r="A25" s="44" t="s">
        <v>34</v>
      </c>
      <c r="B25" s="47" t="s">
        <v>461</v>
      </c>
      <c r="C25" s="44" t="s">
        <v>30</v>
      </c>
      <c r="E25" s="44">
        <f t="shared" ref="E25:E53" si="4">+K25-G25-I25</f>
        <v>5523161</v>
      </c>
      <c r="G25" s="44">
        <f>369451+4298462</f>
        <v>4667913</v>
      </c>
      <c r="I25" s="44">
        <v>0</v>
      </c>
      <c r="K25" s="44">
        <v>10191074</v>
      </c>
      <c r="M25" s="44">
        <f t="shared" ref="M25:M53" si="5">+Q25-O25</f>
        <v>2257452</v>
      </c>
      <c r="O25" s="44">
        <v>110769</v>
      </c>
      <c r="Q25" s="44">
        <v>2368221</v>
      </c>
      <c r="S25" s="44">
        <v>4667913</v>
      </c>
      <c r="U25" s="44">
        <f>1759610+265819+92660+46320+64088</f>
        <v>2228497</v>
      </c>
      <c r="W25" s="44">
        <v>926443</v>
      </c>
      <c r="Y25" s="44">
        <f t="shared" si="3"/>
        <v>7822853</v>
      </c>
      <c r="AB25" s="44">
        <f t="shared" si="1"/>
        <v>0</v>
      </c>
    </row>
    <row r="26" spans="1:28" ht="12.75" customHeight="1">
      <c r="A26" s="44" t="s">
        <v>35</v>
      </c>
      <c r="C26" s="44" t="s">
        <v>36</v>
      </c>
      <c r="E26" s="44">
        <f t="shared" si="4"/>
        <v>11448330</v>
      </c>
      <c r="G26" s="44">
        <f>14274461+7875039</f>
        <v>22149500</v>
      </c>
      <c r="I26" s="44">
        <v>0</v>
      </c>
      <c r="K26" s="44">
        <v>33597830</v>
      </c>
      <c r="M26" s="44">
        <f t="shared" si="5"/>
        <v>2034174</v>
      </c>
      <c r="O26" s="44">
        <v>1414570</v>
      </c>
      <c r="Q26" s="44">
        <v>3448744</v>
      </c>
      <c r="S26" s="44">
        <v>21324150</v>
      </c>
      <c r="U26" s="44">
        <f>3563593+88835+401697+749215+551984</f>
        <v>5355324</v>
      </c>
      <c r="W26" s="44">
        <v>3469612</v>
      </c>
      <c r="Y26" s="44">
        <f t="shared" si="3"/>
        <v>30149086</v>
      </c>
      <c r="AB26" s="44">
        <f t="shared" si="1"/>
        <v>0</v>
      </c>
    </row>
    <row r="27" spans="1:28" ht="12.75" customHeight="1">
      <c r="A27" s="44" t="s">
        <v>37</v>
      </c>
      <c r="C27" s="44" t="s">
        <v>38</v>
      </c>
      <c r="E27" s="44">
        <f>+K27-G27-I27</f>
        <v>7440213</v>
      </c>
      <c r="G27" s="44">
        <f>719694+8050812</f>
        <v>8770506</v>
      </c>
      <c r="I27" s="44">
        <v>0</v>
      </c>
      <c r="K27" s="44">
        <v>16210719</v>
      </c>
      <c r="M27" s="44">
        <f t="shared" si="5"/>
        <v>1443609</v>
      </c>
      <c r="O27" s="44">
        <v>1729051</v>
      </c>
      <c r="Q27" s="44">
        <v>3172660</v>
      </c>
      <c r="S27" s="44">
        <v>7435506</v>
      </c>
      <c r="U27" s="44">
        <f>637519+23376+6760+70471+1149544</f>
        <v>1887670</v>
      </c>
      <c r="W27" s="44">
        <v>3714883</v>
      </c>
      <c r="Y27" s="44">
        <f t="shared" si="3"/>
        <v>13038059</v>
      </c>
      <c r="AB27" s="44">
        <f t="shared" si="1"/>
        <v>0</v>
      </c>
    </row>
    <row r="28" spans="1:28" ht="12.75" customHeight="1">
      <c r="A28" s="44" t="s">
        <v>39</v>
      </c>
      <c r="C28" s="44" t="s">
        <v>40</v>
      </c>
      <c r="E28" s="44">
        <f>+K28-G28-I28</f>
        <v>3038817</v>
      </c>
      <c r="G28" s="44">
        <f>2024318+11799654</f>
        <v>13823972</v>
      </c>
      <c r="I28" s="44">
        <v>0</v>
      </c>
      <c r="K28" s="44">
        <v>16862789</v>
      </c>
      <c r="M28" s="44">
        <f t="shared" si="5"/>
        <v>623016</v>
      </c>
      <c r="O28" s="44">
        <v>1100441</v>
      </c>
      <c r="Q28" s="44">
        <v>1723457</v>
      </c>
      <c r="S28" s="44">
        <v>12661845</v>
      </c>
      <c r="U28" s="44">
        <f>392063+22966+6598+81413</f>
        <v>503040</v>
      </c>
      <c r="W28" s="44">
        <v>1974447</v>
      </c>
      <c r="Y28" s="44">
        <f t="shared" si="3"/>
        <v>15139332</v>
      </c>
      <c r="AB28" s="44">
        <f t="shared" si="1"/>
        <v>0</v>
      </c>
    </row>
    <row r="29" spans="1:28" ht="12.75" customHeight="1">
      <c r="A29" s="44" t="s">
        <v>41</v>
      </c>
      <c r="C29" s="44" t="s">
        <v>27</v>
      </c>
      <c r="E29" s="44">
        <f>+K29-G29-I29</f>
        <v>34450288</v>
      </c>
      <c r="G29" s="44">
        <v>50374577</v>
      </c>
      <c r="I29" s="44">
        <v>0</v>
      </c>
      <c r="K29" s="44">
        <v>84824865</v>
      </c>
      <c r="M29" s="44">
        <f t="shared" si="5"/>
        <v>12595975</v>
      </c>
      <c r="O29" s="44">
        <v>11164936</v>
      </c>
      <c r="Q29" s="44">
        <v>23760911</v>
      </c>
      <c r="S29" s="44">
        <v>57022154</v>
      </c>
      <c r="U29" s="44">
        <f>301374+905303+1764245</f>
        <v>2970922</v>
      </c>
      <c r="W29" s="44">
        <v>1070878</v>
      </c>
      <c r="Y29" s="44">
        <f t="shared" si="3"/>
        <v>61063954</v>
      </c>
      <c r="AB29" s="44">
        <f t="shared" si="1"/>
        <v>0</v>
      </c>
    </row>
    <row r="30" spans="1:28" ht="12.75" customHeight="1">
      <c r="A30" s="44" t="s">
        <v>42</v>
      </c>
      <c r="C30" s="44" t="s">
        <v>43</v>
      </c>
      <c r="E30" s="44">
        <f t="shared" si="4"/>
        <v>12547122</v>
      </c>
      <c r="G30" s="44">
        <v>18619289</v>
      </c>
      <c r="I30" s="44">
        <v>0</v>
      </c>
      <c r="K30" s="44">
        <v>31166411</v>
      </c>
      <c r="M30" s="44">
        <f t="shared" si="5"/>
        <v>4464441</v>
      </c>
      <c r="O30" s="44">
        <v>9587927</v>
      </c>
      <c r="Q30" s="44">
        <v>14052368</v>
      </c>
      <c r="S30" s="44">
        <v>11004188</v>
      </c>
      <c r="U30" s="44">
        <v>751792</v>
      </c>
      <c r="W30" s="44">
        <v>5358063</v>
      </c>
      <c r="Y30" s="44">
        <f t="shared" si="3"/>
        <v>17114043</v>
      </c>
      <c r="AB30" s="44">
        <f t="shared" si="1"/>
        <v>0</v>
      </c>
    </row>
    <row r="31" spans="1:28" ht="12.75" customHeight="1">
      <c r="A31" s="44" t="s">
        <v>44</v>
      </c>
      <c r="C31" s="44" t="s">
        <v>45</v>
      </c>
      <c r="E31" s="44">
        <f t="shared" si="4"/>
        <v>31905889</v>
      </c>
      <c r="G31" s="44">
        <f>51934481+40831171</f>
        <v>92765652</v>
      </c>
      <c r="I31" s="44">
        <v>0</v>
      </c>
      <c r="K31" s="44">
        <v>124671541</v>
      </c>
      <c r="M31" s="44">
        <f t="shared" si="5"/>
        <v>9180149</v>
      </c>
      <c r="O31" s="44">
        <v>45420442</v>
      </c>
      <c r="Q31" s="44">
        <v>54600591</v>
      </c>
      <c r="S31" s="44">
        <v>46397044</v>
      </c>
      <c r="U31" s="44">
        <f>3682052+1217279+1150985+321373</f>
        <v>6371689</v>
      </c>
      <c r="W31" s="44">
        <v>17302217</v>
      </c>
      <c r="Y31" s="44">
        <f t="shared" si="3"/>
        <v>70070950</v>
      </c>
      <c r="AB31" s="44">
        <f t="shared" si="1"/>
        <v>0</v>
      </c>
    </row>
    <row r="32" spans="1:28" ht="12.75" customHeight="1">
      <c r="A32" s="44" t="s">
        <v>46</v>
      </c>
      <c r="C32" s="44" t="s">
        <v>47</v>
      </c>
      <c r="E32" s="44">
        <f t="shared" si="4"/>
        <v>27237218</v>
      </c>
      <c r="G32" s="44">
        <f>3590728+41158753</f>
        <v>44749481</v>
      </c>
      <c r="I32" s="44">
        <v>0</v>
      </c>
      <c r="K32" s="44">
        <v>71986699</v>
      </c>
      <c r="M32" s="44">
        <f t="shared" si="5"/>
        <v>6430750</v>
      </c>
      <c r="O32" s="44">
        <v>21058554</v>
      </c>
      <c r="Q32" s="44">
        <v>27489304</v>
      </c>
      <c r="S32" s="44">
        <v>35491952</v>
      </c>
      <c r="U32" s="44">
        <f>606355+9464621+858555+828348+1352264+803532+775136</f>
        <v>14688811</v>
      </c>
      <c r="W32" s="44">
        <v>-5683368</v>
      </c>
      <c r="Y32" s="44">
        <f t="shared" si="3"/>
        <v>44497395</v>
      </c>
      <c r="AB32" s="44">
        <f t="shared" si="1"/>
        <v>0</v>
      </c>
    </row>
    <row r="33" spans="1:47" ht="12.75" customHeight="1">
      <c r="A33" s="44" t="s">
        <v>48</v>
      </c>
      <c r="C33" s="44" t="s">
        <v>27</v>
      </c>
      <c r="E33" s="44">
        <f t="shared" si="4"/>
        <v>30501410</v>
      </c>
      <c r="G33" s="44">
        <f>14178472+63762112</f>
        <v>77940584</v>
      </c>
      <c r="I33" s="44">
        <v>0</v>
      </c>
      <c r="K33" s="44">
        <v>108441994</v>
      </c>
      <c r="M33" s="44">
        <f t="shared" si="5"/>
        <v>12917005</v>
      </c>
      <c r="O33" s="44">
        <v>14133576</v>
      </c>
      <c r="Q33" s="44">
        <v>27050581</v>
      </c>
      <c r="S33" s="44">
        <v>60276377</v>
      </c>
      <c r="U33" s="44">
        <f>5036864+4407165+514548+538139+927115+1323245</f>
        <v>12747076</v>
      </c>
      <c r="W33" s="44">
        <v>8367960</v>
      </c>
      <c r="Y33" s="44">
        <f t="shared" si="3"/>
        <v>81391413</v>
      </c>
      <c r="AB33" s="44">
        <f t="shared" si="1"/>
        <v>0</v>
      </c>
    </row>
    <row r="34" spans="1:47" ht="12.75" customHeight="1">
      <c r="A34" s="44" t="s">
        <v>49</v>
      </c>
      <c r="C34" s="44" t="s">
        <v>27</v>
      </c>
      <c r="E34" s="44">
        <f t="shared" si="4"/>
        <v>19047413</v>
      </c>
      <c r="G34" s="44">
        <v>30004112</v>
      </c>
      <c r="I34" s="44">
        <v>3561468</v>
      </c>
      <c r="K34" s="44">
        <v>52612993</v>
      </c>
      <c r="M34" s="44">
        <f t="shared" si="5"/>
        <v>6769444</v>
      </c>
      <c r="O34" s="44">
        <v>11871242</v>
      </c>
      <c r="Q34" s="44">
        <v>18640686</v>
      </c>
      <c r="S34" s="44">
        <v>22783671</v>
      </c>
      <c r="U34" s="44">
        <f>877840+6617438+1388663</f>
        <v>8883941</v>
      </c>
      <c r="W34" s="44">
        <v>2304695</v>
      </c>
      <c r="Y34" s="44">
        <f t="shared" si="3"/>
        <v>33972307</v>
      </c>
      <c r="AB34" s="44">
        <f t="shared" si="1"/>
        <v>0</v>
      </c>
    </row>
    <row r="35" spans="1:47" ht="12.75" customHeight="1">
      <c r="A35" s="44" t="s">
        <v>50</v>
      </c>
      <c r="C35" s="44" t="s">
        <v>27</v>
      </c>
      <c r="E35" s="44">
        <f t="shared" si="4"/>
        <v>29160982</v>
      </c>
      <c r="G35" s="44">
        <f>17828238+48526139</f>
        <v>66354377</v>
      </c>
      <c r="I35" s="44">
        <v>0</v>
      </c>
      <c r="K35" s="44">
        <v>95515359</v>
      </c>
      <c r="M35" s="44">
        <f t="shared" si="5"/>
        <v>7498865</v>
      </c>
      <c r="O35" s="44">
        <v>4742037</v>
      </c>
      <c r="Q35" s="44">
        <v>12240902</v>
      </c>
      <c r="S35" s="44">
        <v>63019962</v>
      </c>
      <c r="U35" s="44">
        <f>541282+10585857+1604073+1079360+272025</f>
        <v>14082597</v>
      </c>
      <c r="W35" s="44">
        <v>6171898</v>
      </c>
      <c r="Y35" s="44">
        <f t="shared" si="3"/>
        <v>83274457</v>
      </c>
      <c r="AB35" s="44">
        <f t="shared" si="1"/>
        <v>0</v>
      </c>
    </row>
    <row r="36" spans="1:47" ht="12.75" customHeight="1">
      <c r="A36" s="44" t="s">
        <v>51</v>
      </c>
      <c r="C36" s="44" t="s">
        <v>27</v>
      </c>
      <c r="E36" s="44">
        <f t="shared" si="4"/>
        <v>12992556</v>
      </c>
      <c r="G36" s="44">
        <f>2895341+27646588</f>
        <v>30541929</v>
      </c>
      <c r="I36" s="44">
        <v>0</v>
      </c>
      <c r="K36" s="44">
        <v>43534485</v>
      </c>
      <c r="M36" s="44">
        <f t="shared" si="5"/>
        <v>4930952</v>
      </c>
      <c r="O36" s="44">
        <v>15829668</v>
      </c>
      <c r="Q36" s="44">
        <v>20760620</v>
      </c>
      <c r="S36" s="44">
        <v>20980747</v>
      </c>
      <c r="U36" s="44">
        <f>1744151+348476+152741+17081+109911+181782</f>
        <v>2554142</v>
      </c>
      <c r="W36" s="44">
        <v>-761024</v>
      </c>
      <c r="Y36" s="44">
        <f t="shared" si="3"/>
        <v>22773865</v>
      </c>
      <c r="AB36" s="44">
        <f t="shared" si="1"/>
        <v>0</v>
      </c>
    </row>
    <row r="37" spans="1:47" ht="12.75" customHeight="1">
      <c r="A37" s="44" t="s">
        <v>462</v>
      </c>
      <c r="C37" s="44" t="s">
        <v>66</v>
      </c>
      <c r="E37" s="44">
        <f t="shared" si="4"/>
        <v>3512565</v>
      </c>
      <c r="G37" s="44">
        <f>4512818+5589122</f>
        <v>10101940</v>
      </c>
      <c r="I37" s="44">
        <v>0</v>
      </c>
      <c r="K37" s="44">
        <v>13614505</v>
      </c>
      <c r="M37" s="44">
        <f t="shared" si="5"/>
        <v>1782056</v>
      </c>
      <c r="O37" s="44">
        <v>1270621</v>
      </c>
      <c r="Q37" s="44">
        <v>3052677</v>
      </c>
      <c r="S37" s="44">
        <v>7512233</v>
      </c>
      <c r="U37" s="44">
        <f>961345+31990+296561</f>
        <v>1289896</v>
      </c>
      <c r="W37" s="44">
        <v>1759699</v>
      </c>
      <c r="Y37" s="44">
        <f t="shared" si="3"/>
        <v>10561828</v>
      </c>
      <c r="AB37" s="44">
        <f t="shared" si="1"/>
        <v>0</v>
      </c>
      <c r="AC37" s="47"/>
      <c r="AD37" s="47"/>
      <c r="AE37" s="47"/>
      <c r="AF37" s="47"/>
      <c r="AG37" s="48"/>
      <c r="AH37" s="47"/>
      <c r="AI37" s="47"/>
      <c r="AJ37" s="47"/>
      <c r="AK37" s="48"/>
      <c r="AL37" s="48"/>
      <c r="AM37" s="48"/>
      <c r="AN37" s="48"/>
      <c r="AO37" s="45"/>
      <c r="AP37" s="45"/>
      <c r="AQ37" s="45"/>
      <c r="AR37" s="45"/>
      <c r="AS37" s="45"/>
      <c r="AT37" s="45"/>
      <c r="AU37" s="45"/>
    </row>
    <row r="38" spans="1:47" ht="12.75" customHeight="1">
      <c r="A38" s="44" t="s">
        <v>52</v>
      </c>
      <c r="C38" s="44" t="s">
        <v>53</v>
      </c>
      <c r="E38" s="44">
        <f t="shared" si="4"/>
        <v>24054922</v>
      </c>
      <c r="G38" s="44">
        <f>9454192+31927060</f>
        <v>41381252</v>
      </c>
      <c r="I38" s="44">
        <v>0</v>
      </c>
      <c r="K38" s="44">
        <v>65436174</v>
      </c>
      <c r="M38" s="44">
        <f t="shared" si="5"/>
        <v>12642614</v>
      </c>
      <c r="O38" s="44">
        <v>3133984</v>
      </c>
      <c r="Q38" s="44">
        <v>15776598</v>
      </c>
      <c r="S38" s="44">
        <v>31960337</v>
      </c>
      <c r="U38" s="44">
        <f>8316173+2618987+707551+1778890+2207218+1297007+444032+309684+49442</f>
        <v>17728984</v>
      </c>
      <c r="W38" s="44">
        <v>-29745</v>
      </c>
      <c r="Y38" s="44">
        <f t="shared" si="3"/>
        <v>49659576</v>
      </c>
      <c r="AB38" s="44">
        <f t="shared" si="1"/>
        <v>0</v>
      </c>
    </row>
    <row r="39" spans="1:47" ht="12.75" customHeight="1">
      <c r="A39" s="44" t="s">
        <v>54</v>
      </c>
      <c r="C39" s="44" t="s">
        <v>55</v>
      </c>
      <c r="E39" s="44">
        <f t="shared" si="4"/>
        <v>18897365</v>
      </c>
      <c r="G39" s="44">
        <v>20874956</v>
      </c>
      <c r="I39" s="44">
        <v>0</v>
      </c>
      <c r="K39" s="44">
        <v>39772321</v>
      </c>
      <c r="M39" s="44">
        <f t="shared" si="5"/>
        <v>3765252</v>
      </c>
      <c r="O39" s="44">
        <v>764231</v>
      </c>
      <c r="Q39" s="44">
        <v>4529483</v>
      </c>
      <c r="S39" s="44">
        <v>18463956</v>
      </c>
      <c r="U39" s="44">
        <f>3710229+23758+11690222</f>
        <v>15424209</v>
      </c>
      <c r="W39" s="44">
        <v>1354673</v>
      </c>
      <c r="Y39" s="44">
        <f t="shared" si="3"/>
        <v>35242838</v>
      </c>
      <c r="AB39" s="44">
        <f t="shared" si="1"/>
        <v>0</v>
      </c>
    </row>
    <row r="40" spans="1:47" ht="12.75" customHeight="1">
      <c r="A40" s="44" t="s">
        <v>56</v>
      </c>
      <c r="C40" s="44" t="s">
        <v>57</v>
      </c>
      <c r="E40" s="44">
        <f t="shared" si="4"/>
        <v>8224420</v>
      </c>
      <c r="G40" s="44">
        <f>1289584+13494198</f>
        <v>14783782</v>
      </c>
      <c r="I40" s="44">
        <v>0</v>
      </c>
      <c r="K40" s="44">
        <v>23008202</v>
      </c>
      <c r="M40" s="44">
        <f t="shared" si="5"/>
        <v>1692449</v>
      </c>
      <c r="O40" s="44">
        <v>1081854</v>
      </c>
      <c r="Q40" s="44">
        <v>2774303</v>
      </c>
      <c r="S40" s="44">
        <v>14471575</v>
      </c>
      <c r="U40" s="44">
        <f>560894+2105818+880512</f>
        <v>3547224</v>
      </c>
      <c r="W40" s="44">
        <v>2215100</v>
      </c>
      <c r="Y40" s="44">
        <f t="shared" si="3"/>
        <v>20233899</v>
      </c>
      <c r="AB40" s="44">
        <f t="shared" si="1"/>
        <v>0</v>
      </c>
    </row>
    <row r="41" spans="1:47" ht="12.75" customHeight="1">
      <c r="A41" s="44" t="s">
        <v>58</v>
      </c>
      <c r="C41" s="44" t="s">
        <v>59</v>
      </c>
      <c r="E41" s="44">
        <f t="shared" si="4"/>
        <v>9489345</v>
      </c>
      <c r="G41" s="44">
        <f>3221243+13790671</f>
        <v>17011914</v>
      </c>
      <c r="I41" s="44">
        <v>0</v>
      </c>
      <c r="K41" s="44">
        <v>26501259</v>
      </c>
      <c r="M41" s="44">
        <f t="shared" si="5"/>
        <v>3061768</v>
      </c>
      <c r="O41" s="44">
        <v>1541316</v>
      </c>
      <c r="Q41" s="44">
        <v>4603084</v>
      </c>
      <c r="S41" s="44">
        <v>16507046</v>
      </c>
      <c r="U41" s="44">
        <f>151906+216162+3448920</f>
        <v>3816988</v>
      </c>
      <c r="W41" s="44">
        <v>1574141</v>
      </c>
      <c r="Y41" s="44">
        <f t="shared" si="3"/>
        <v>21898175</v>
      </c>
      <c r="AB41" s="44">
        <f t="shared" si="1"/>
        <v>0</v>
      </c>
    </row>
    <row r="42" spans="1:47" ht="12.75" customHeight="1">
      <c r="A42" s="44" t="s">
        <v>476</v>
      </c>
      <c r="C42" s="44" t="s">
        <v>15</v>
      </c>
      <c r="E42" s="44">
        <f t="shared" si="4"/>
        <v>2376652</v>
      </c>
      <c r="G42" s="44">
        <f>2668100+8104953</f>
        <v>10773053</v>
      </c>
      <c r="I42" s="44">
        <v>0</v>
      </c>
      <c r="K42" s="44">
        <v>13149705</v>
      </c>
      <c r="M42" s="44">
        <f>+Q42-O42</f>
        <v>1228696</v>
      </c>
      <c r="O42" s="44">
        <v>1467208</v>
      </c>
      <c r="Q42" s="44">
        <v>2695904</v>
      </c>
      <c r="S42" s="44">
        <v>8658572</v>
      </c>
      <c r="U42" s="44">
        <f>393377+107825+301756+15616+80910</f>
        <v>899484</v>
      </c>
      <c r="W42" s="44">
        <v>895745</v>
      </c>
      <c r="Y42" s="44">
        <f t="shared" si="3"/>
        <v>10453801</v>
      </c>
      <c r="AB42" s="44">
        <f>+K42-Q42-Y42</f>
        <v>0</v>
      </c>
    </row>
    <row r="43" spans="1:47" ht="12.75" customHeight="1">
      <c r="A43" s="44" t="s">
        <v>60</v>
      </c>
      <c r="C43" s="44" t="s">
        <v>61</v>
      </c>
      <c r="E43" s="44">
        <f>+K43-G43-I43</f>
        <v>5218158</v>
      </c>
      <c r="G43" s="44">
        <f>2354210+10956118</f>
        <v>13310328</v>
      </c>
      <c r="I43" s="44">
        <v>0</v>
      </c>
      <c r="K43" s="44">
        <v>18528486</v>
      </c>
      <c r="M43" s="44">
        <f t="shared" si="5"/>
        <v>998572</v>
      </c>
      <c r="O43" s="44">
        <v>1828142</v>
      </c>
      <c r="Q43" s="44">
        <v>2826714</v>
      </c>
      <c r="S43" s="44">
        <v>11466299</v>
      </c>
      <c r="U43" s="44">
        <f>59817+385707+70272+15661+771948+181392+144424+127233+87400</f>
        <v>1843854</v>
      </c>
      <c r="W43" s="44">
        <v>2391619</v>
      </c>
      <c r="Y43" s="44">
        <f t="shared" si="3"/>
        <v>15701772</v>
      </c>
      <c r="AB43" s="44">
        <f t="shared" si="1"/>
        <v>0</v>
      </c>
    </row>
    <row r="44" spans="1:47" ht="12.75" customHeight="1">
      <c r="A44" s="44" t="s">
        <v>62</v>
      </c>
      <c r="C44" s="44" t="s">
        <v>15</v>
      </c>
      <c r="E44" s="44">
        <f>+K44-G44-I44</f>
        <v>65382692</v>
      </c>
      <c r="G44" s="44">
        <v>107466678</v>
      </c>
      <c r="I44" s="44">
        <v>0</v>
      </c>
      <c r="K44" s="44">
        <v>172849370</v>
      </c>
      <c r="M44" s="44">
        <f t="shared" si="5"/>
        <v>15088332</v>
      </c>
      <c r="O44" s="44">
        <v>28054292</v>
      </c>
      <c r="Q44" s="44">
        <v>43142624</v>
      </c>
      <c r="S44" s="44">
        <v>94910241</v>
      </c>
      <c r="U44" s="44">
        <f>129706746-1897801-94910241</f>
        <v>32898704</v>
      </c>
      <c r="W44" s="44">
        <v>1897801</v>
      </c>
      <c r="Y44" s="44">
        <f t="shared" si="3"/>
        <v>129706746</v>
      </c>
      <c r="AB44" s="44">
        <f t="shared" si="1"/>
        <v>0</v>
      </c>
    </row>
    <row r="45" spans="1:47" ht="12.75" customHeight="1">
      <c r="A45" s="44" t="s">
        <v>485</v>
      </c>
      <c r="C45" s="44" t="s">
        <v>111</v>
      </c>
      <c r="E45" s="44">
        <f>+K45-G45-I45</f>
        <v>2459358</v>
      </c>
      <c r="G45" s="44">
        <f>1471040+2746902</f>
        <v>4217942</v>
      </c>
      <c r="I45" s="44">
        <v>0</v>
      </c>
      <c r="K45" s="44">
        <v>6677300</v>
      </c>
      <c r="M45" s="44">
        <f>+Q45-O45</f>
        <v>2922676</v>
      </c>
      <c r="O45" s="44">
        <v>651458</v>
      </c>
      <c r="Q45" s="44">
        <v>3574134</v>
      </c>
      <c r="S45" s="44">
        <v>1653192</v>
      </c>
      <c r="U45" s="44">
        <f>76203+5859+483718+525541+22271</f>
        <v>1113592</v>
      </c>
      <c r="W45" s="44">
        <v>336382</v>
      </c>
      <c r="Y45" s="44">
        <f>S45+U45+W45</f>
        <v>3103166</v>
      </c>
      <c r="AB45" s="44">
        <f>+K45-Q45-Y45</f>
        <v>0</v>
      </c>
    </row>
    <row r="46" spans="1:47" ht="12.75" customHeight="1">
      <c r="A46" s="44" t="s">
        <v>469</v>
      </c>
      <c r="C46" s="44" t="s">
        <v>64</v>
      </c>
      <c r="E46" s="44">
        <f t="shared" si="4"/>
        <v>12411062</v>
      </c>
      <c r="G46" s="44">
        <f>9920572+7093630</f>
        <v>17014202</v>
      </c>
      <c r="I46" s="44">
        <v>0</v>
      </c>
      <c r="K46" s="44">
        <v>29425264</v>
      </c>
      <c r="M46" s="44">
        <f t="shared" si="5"/>
        <v>4412192</v>
      </c>
      <c r="O46" s="44">
        <v>1427038</v>
      </c>
      <c r="Q46" s="44">
        <v>5839230</v>
      </c>
      <c r="S46" s="44">
        <v>14133193</v>
      </c>
      <c r="U46" s="44">
        <f>32607+6684617+895535</f>
        <v>7612759</v>
      </c>
      <c r="W46" s="44">
        <v>1840082</v>
      </c>
      <c r="Y46" s="44">
        <f t="shared" si="3"/>
        <v>23586034</v>
      </c>
      <c r="AB46" s="44">
        <f t="shared" si="1"/>
        <v>0</v>
      </c>
    </row>
    <row r="47" spans="1:47" ht="12.75" customHeight="1">
      <c r="A47" s="44" t="s">
        <v>65</v>
      </c>
      <c r="C47" s="44" t="s">
        <v>66</v>
      </c>
      <c r="E47" s="44">
        <f t="shared" si="4"/>
        <v>39453740</v>
      </c>
      <c r="G47" s="44">
        <f>4380126+37492952</f>
        <v>41873078</v>
      </c>
      <c r="I47" s="44">
        <v>0</v>
      </c>
      <c r="K47" s="44">
        <v>81326818</v>
      </c>
      <c r="M47" s="44">
        <f t="shared" si="5"/>
        <v>4075495</v>
      </c>
      <c r="O47" s="44">
        <v>21571585</v>
      </c>
      <c r="Q47" s="44">
        <v>25647080</v>
      </c>
      <c r="S47" s="44">
        <v>19613962</v>
      </c>
      <c r="U47" s="44">
        <f>13763510+8424285+1183477</f>
        <v>23371272</v>
      </c>
      <c r="W47" s="44">
        <v>12694504</v>
      </c>
      <c r="Y47" s="44">
        <f t="shared" si="3"/>
        <v>55679738</v>
      </c>
      <c r="AB47" s="44">
        <f t="shared" si="1"/>
        <v>0</v>
      </c>
    </row>
    <row r="48" spans="1:47" ht="12.75" customHeight="1">
      <c r="A48" s="44" t="s">
        <v>67</v>
      </c>
      <c r="C48" s="44" t="s">
        <v>375</v>
      </c>
      <c r="E48" s="44">
        <f t="shared" si="4"/>
        <v>8278209</v>
      </c>
      <c r="G48" s="44">
        <f>3474828+33565540</f>
        <v>37040368</v>
      </c>
      <c r="I48" s="44">
        <v>0</v>
      </c>
      <c r="K48" s="44">
        <v>45318577</v>
      </c>
      <c r="M48" s="44">
        <f t="shared" si="5"/>
        <v>1951470</v>
      </c>
      <c r="O48" s="44">
        <v>2507568</v>
      </c>
      <c r="Q48" s="44">
        <v>4459038</v>
      </c>
      <c r="S48" s="44">
        <v>34596167</v>
      </c>
      <c r="U48" s="44">
        <f>411128+682596+648226+456705+826034</f>
        <v>3024689</v>
      </c>
      <c r="W48" s="44">
        <v>3238683</v>
      </c>
      <c r="Y48" s="44">
        <f t="shared" si="3"/>
        <v>40859539</v>
      </c>
      <c r="AB48" s="44">
        <f t="shared" si="1"/>
        <v>0</v>
      </c>
    </row>
    <row r="49" spans="1:29" ht="12.75" customHeight="1">
      <c r="A49" s="44" t="s">
        <v>68</v>
      </c>
      <c r="C49" s="44" t="s">
        <v>45</v>
      </c>
      <c r="E49" s="44">
        <f t="shared" si="4"/>
        <v>3333977</v>
      </c>
      <c r="G49" s="44">
        <f>517351+2471274</f>
        <v>2988625</v>
      </c>
      <c r="I49" s="44">
        <v>0</v>
      </c>
      <c r="K49" s="44">
        <v>6322602</v>
      </c>
      <c r="M49" s="44">
        <f t="shared" si="5"/>
        <v>1593627</v>
      </c>
      <c r="O49" s="44">
        <v>211690</v>
      </c>
      <c r="Q49" s="44">
        <v>1805317</v>
      </c>
      <c r="S49" s="44">
        <v>2861327</v>
      </c>
      <c r="U49" s="44">
        <f>209423+578391+8</f>
        <v>787822</v>
      </c>
      <c r="W49" s="44">
        <v>868136</v>
      </c>
      <c r="Y49" s="44">
        <f t="shared" si="3"/>
        <v>4517285</v>
      </c>
      <c r="AB49" s="44">
        <f t="shared" si="1"/>
        <v>0</v>
      </c>
    </row>
    <row r="50" spans="1:29" ht="12.75" customHeight="1">
      <c r="A50" s="44" t="s">
        <v>69</v>
      </c>
      <c r="C50" s="44" t="s">
        <v>70</v>
      </c>
      <c r="E50" s="44">
        <f t="shared" si="4"/>
        <v>14780199</v>
      </c>
      <c r="G50" s="44">
        <f>6936332+32536470</f>
        <v>39472802</v>
      </c>
      <c r="I50" s="44">
        <v>0</v>
      </c>
      <c r="K50" s="44">
        <v>54253001</v>
      </c>
      <c r="M50" s="44">
        <f t="shared" si="5"/>
        <v>7413826</v>
      </c>
      <c r="O50" s="44">
        <v>2988848</v>
      </c>
      <c r="Q50" s="44">
        <v>10402674</v>
      </c>
      <c r="S50" s="44">
        <v>38608281</v>
      </c>
      <c r="U50" s="44">
        <f>1007274+602453+402192+319668+1801592+2147+1000</f>
        <v>4136326</v>
      </c>
      <c r="W50" s="44">
        <v>1105720</v>
      </c>
      <c r="Y50" s="44">
        <f t="shared" si="3"/>
        <v>43850327</v>
      </c>
      <c r="AB50" s="44">
        <f t="shared" si="1"/>
        <v>0</v>
      </c>
    </row>
    <row r="51" spans="1:29" ht="12.75" customHeight="1">
      <c r="A51" s="44" t="s">
        <v>71</v>
      </c>
      <c r="C51" s="44" t="s">
        <v>45</v>
      </c>
      <c r="E51" s="44">
        <f t="shared" si="4"/>
        <v>362312</v>
      </c>
      <c r="G51" s="44">
        <v>1267385</v>
      </c>
      <c r="I51" s="44">
        <v>0</v>
      </c>
      <c r="K51" s="44">
        <v>1629697</v>
      </c>
      <c r="M51" s="44">
        <f t="shared" si="5"/>
        <v>241555</v>
      </c>
      <c r="O51" s="44">
        <v>527880</v>
      </c>
      <c r="Q51" s="44">
        <v>769435</v>
      </c>
      <c r="S51" s="44">
        <v>632697</v>
      </c>
      <c r="U51" s="44">
        <f>67080+105996+50619+565+7281</f>
        <v>231541</v>
      </c>
      <c r="W51" s="44">
        <v>-3976</v>
      </c>
      <c r="Y51" s="44">
        <f t="shared" si="3"/>
        <v>860262</v>
      </c>
      <c r="AB51" s="44">
        <f t="shared" si="1"/>
        <v>0</v>
      </c>
    </row>
    <row r="52" spans="1:29" ht="12.75" customHeight="1">
      <c r="A52" s="44" t="s">
        <v>463</v>
      </c>
      <c r="C52" s="44" t="s">
        <v>464</v>
      </c>
      <c r="E52" s="44">
        <f t="shared" si="4"/>
        <v>9393389</v>
      </c>
      <c r="G52" s="44">
        <f>1096490+22258200</f>
        <v>23354690</v>
      </c>
      <c r="I52" s="44">
        <v>0</v>
      </c>
      <c r="K52" s="44">
        <v>32748079</v>
      </c>
      <c r="M52" s="44">
        <f t="shared" si="5"/>
        <v>2079101</v>
      </c>
      <c r="O52" s="44">
        <v>4185575</v>
      </c>
      <c r="Q52" s="44">
        <v>6264676</v>
      </c>
      <c r="S52" s="44">
        <v>20150335</v>
      </c>
      <c r="U52" s="44">
        <f>1281288+119032+963072+542926+931639+582598</f>
        <v>4420555</v>
      </c>
      <c r="W52" s="44">
        <v>1912513</v>
      </c>
      <c r="Y52" s="44">
        <f t="shared" si="3"/>
        <v>26483403</v>
      </c>
      <c r="AB52" s="44">
        <f>+K52-Q52-Y52</f>
        <v>0</v>
      </c>
    </row>
    <row r="53" spans="1:29" ht="12.75" customHeight="1">
      <c r="A53" s="44" t="s">
        <v>72</v>
      </c>
      <c r="C53" s="44" t="s">
        <v>66</v>
      </c>
      <c r="E53" s="44">
        <f t="shared" si="4"/>
        <v>8651580</v>
      </c>
      <c r="G53" s="44">
        <f>4505587+4766893</f>
        <v>9272480</v>
      </c>
      <c r="I53" s="44">
        <v>0</v>
      </c>
      <c r="K53" s="44">
        <v>17924060</v>
      </c>
      <c r="M53" s="44">
        <f t="shared" si="5"/>
        <v>3313671</v>
      </c>
      <c r="O53" s="44">
        <v>5294444</v>
      </c>
      <c r="Q53" s="44">
        <v>8608115</v>
      </c>
      <c r="S53" s="44">
        <v>4534717</v>
      </c>
      <c r="U53" s="44">
        <f>624066+159261+729816+17356+1082796</f>
        <v>2613295</v>
      </c>
      <c r="W53" s="44">
        <v>2167933</v>
      </c>
      <c r="Y53" s="44">
        <f t="shared" si="3"/>
        <v>9315945</v>
      </c>
      <c r="AB53" s="44">
        <f t="shared" si="1"/>
        <v>0</v>
      </c>
    </row>
    <row r="54" spans="1:29" ht="12.75" customHeight="1">
      <c r="A54" s="44" t="s">
        <v>73</v>
      </c>
      <c r="C54" s="44" t="s">
        <v>27</v>
      </c>
      <c r="E54" s="44">
        <f t="shared" si="2"/>
        <v>738976000</v>
      </c>
      <c r="G54" s="44">
        <v>920301000</v>
      </c>
      <c r="I54" s="44">
        <v>0</v>
      </c>
      <c r="K54" s="44">
        <v>1659277000</v>
      </c>
      <c r="M54" s="44">
        <f t="shared" si="0"/>
        <v>324308000</v>
      </c>
      <c r="O54" s="44">
        <v>698469000</v>
      </c>
      <c r="Q54" s="44">
        <v>1022777000</v>
      </c>
      <c r="S54" s="44">
        <v>447068000</v>
      </c>
      <c r="U54" s="44">
        <f>108008000+29321000+122929000+27068000</f>
        <v>287326000</v>
      </c>
      <c r="W54" s="44">
        <v>-97894000</v>
      </c>
      <c r="Y54" s="44">
        <f t="shared" si="3"/>
        <v>636500000</v>
      </c>
      <c r="AB54" s="44">
        <f t="shared" si="1"/>
        <v>0</v>
      </c>
    </row>
    <row r="55" spans="1:29" ht="12.75" hidden="1" customHeight="1">
      <c r="A55" s="44" t="s">
        <v>74</v>
      </c>
      <c r="C55" s="44" t="s">
        <v>27</v>
      </c>
      <c r="E55" s="121">
        <f t="shared" si="2"/>
        <v>40658774</v>
      </c>
      <c r="F55" s="121"/>
      <c r="G55" s="121">
        <f>6361728+61829740</f>
        <v>68191468</v>
      </c>
      <c r="H55" s="121"/>
      <c r="I55" s="121">
        <v>0</v>
      </c>
      <c r="J55" s="121"/>
      <c r="K55" s="121">
        <v>108850242</v>
      </c>
      <c r="L55" s="121"/>
      <c r="M55" s="121">
        <f t="shared" si="0"/>
        <v>20074866</v>
      </c>
      <c r="N55" s="121"/>
      <c r="O55" s="121">
        <v>22508158</v>
      </c>
      <c r="P55" s="121"/>
      <c r="Q55" s="121">
        <v>42583024</v>
      </c>
      <c r="R55" s="121"/>
      <c r="S55" s="121">
        <v>46423601</v>
      </c>
      <c r="T55" s="121"/>
      <c r="U55" s="121">
        <f>64552901-7772404-46423601</f>
        <v>10356896</v>
      </c>
      <c r="V55" s="121"/>
      <c r="W55" s="121">
        <v>7772404</v>
      </c>
      <c r="X55" s="121"/>
      <c r="Y55" s="121">
        <f t="shared" si="3"/>
        <v>64552901</v>
      </c>
      <c r="Z55" s="121"/>
      <c r="AA55" s="121"/>
      <c r="AB55" s="121">
        <f t="shared" si="1"/>
        <v>1714317</v>
      </c>
      <c r="AC55" s="47"/>
    </row>
    <row r="56" spans="1:29" ht="12.75" customHeight="1">
      <c r="A56" s="44" t="s">
        <v>75</v>
      </c>
      <c r="C56" s="44" t="s">
        <v>76</v>
      </c>
      <c r="E56" s="44">
        <f t="shared" si="2"/>
        <v>2768185</v>
      </c>
      <c r="G56" s="44">
        <f>1717731+16329866</f>
        <v>18047597</v>
      </c>
      <c r="I56" s="44">
        <v>0</v>
      </c>
      <c r="K56" s="44">
        <v>20815782</v>
      </c>
      <c r="M56" s="44">
        <f t="shared" si="0"/>
        <v>2733796</v>
      </c>
      <c r="O56" s="44">
        <v>3373951</v>
      </c>
      <c r="Q56" s="44">
        <v>6107747</v>
      </c>
      <c r="S56" s="44">
        <v>12804524</v>
      </c>
      <c r="U56" s="44">
        <f>581059+499021+73950+67950</f>
        <v>1221980</v>
      </c>
      <c r="W56" s="44">
        <v>681531</v>
      </c>
      <c r="Y56" s="44">
        <f t="shared" si="3"/>
        <v>14708035</v>
      </c>
      <c r="AB56" s="44">
        <f t="shared" si="1"/>
        <v>0</v>
      </c>
    </row>
    <row r="57" spans="1:29" ht="12.75" customHeight="1">
      <c r="A57" s="44" t="s">
        <v>77</v>
      </c>
      <c r="C57" s="44" t="s">
        <v>468</v>
      </c>
      <c r="E57" s="44">
        <f t="shared" si="2"/>
        <v>662050000</v>
      </c>
      <c r="G57" s="44">
        <f>266648000+1513795000</f>
        <v>1780443000</v>
      </c>
      <c r="I57" s="44">
        <v>0</v>
      </c>
      <c r="K57" s="44">
        <v>2442493000</v>
      </c>
      <c r="M57" s="44">
        <f t="shared" si="0"/>
        <v>344578000</v>
      </c>
      <c r="O57" s="44">
        <f>21842000+2000000+5293000+867412000</f>
        <v>896547000</v>
      </c>
      <c r="Q57" s="44">
        <v>1241125000</v>
      </c>
      <c r="S57" s="44">
        <v>923560000</v>
      </c>
      <c r="U57" s="44">
        <f>149739000+53777000</f>
        <v>203516000</v>
      </c>
      <c r="W57" s="44">
        <v>74292000</v>
      </c>
      <c r="Y57" s="44">
        <f t="shared" si="3"/>
        <v>1201368000</v>
      </c>
      <c r="AB57" s="44">
        <f t="shared" si="1"/>
        <v>0</v>
      </c>
    </row>
    <row r="58" spans="1:29" ht="12.75" customHeight="1">
      <c r="A58" s="44" t="s">
        <v>94</v>
      </c>
      <c r="C58" s="44" t="s">
        <v>94</v>
      </c>
      <c r="E58" s="44">
        <f>+K58-G58-I58</f>
        <v>3292589</v>
      </c>
      <c r="G58" s="44">
        <v>5601264</v>
      </c>
      <c r="I58" s="44">
        <v>0</v>
      </c>
      <c r="K58" s="44">
        <v>8893853</v>
      </c>
      <c r="M58" s="44">
        <f>+Q58-O58</f>
        <v>962001</v>
      </c>
      <c r="O58" s="44">
        <v>89166</v>
      </c>
      <c r="Q58" s="44">
        <v>1051167</v>
      </c>
      <c r="S58" s="44">
        <v>5601264</v>
      </c>
      <c r="U58" s="44">
        <f>627914+94920+954708</f>
        <v>1677542</v>
      </c>
      <c r="W58" s="44">
        <v>563880</v>
      </c>
      <c r="Y58" s="44">
        <f t="shared" si="3"/>
        <v>7842686</v>
      </c>
      <c r="AB58" s="44">
        <f>+K58-Q58-Y58</f>
        <v>0</v>
      </c>
    </row>
    <row r="59" spans="1:29" ht="12.75" customHeight="1">
      <c r="A59" s="44" t="s">
        <v>78</v>
      </c>
      <c r="C59" s="44" t="s">
        <v>19</v>
      </c>
      <c r="E59" s="44">
        <f t="shared" si="2"/>
        <v>7208755</v>
      </c>
      <c r="G59" s="44">
        <f>715476+17532167</f>
        <v>18247643</v>
      </c>
      <c r="I59" s="44">
        <v>0</v>
      </c>
      <c r="K59" s="44">
        <v>25456398</v>
      </c>
      <c r="M59" s="44">
        <f t="shared" si="0"/>
        <v>2532861</v>
      </c>
      <c r="O59" s="44">
        <v>3574290</v>
      </c>
      <c r="Q59" s="44">
        <v>6107151</v>
      </c>
      <c r="S59" s="44">
        <v>16097964</v>
      </c>
      <c r="U59" s="44">
        <f>19349247-637850-16097964</f>
        <v>2613433</v>
      </c>
      <c r="W59" s="44">
        <v>637850</v>
      </c>
      <c r="Y59" s="44">
        <f t="shared" si="3"/>
        <v>19349247</v>
      </c>
      <c r="AB59" s="44">
        <f t="shared" si="1"/>
        <v>0</v>
      </c>
    </row>
    <row r="60" spans="1:29" ht="12.75" customHeight="1">
      <c r="A60" s="44" t="s">
        <v>79</v>
      </c>
      <c r="C60" s="44" t="s">
        <v>80</v>
      </c>
      <c r="E60" s="44">
        <f t="shared" si="2"/>
        <v>4490475</v>
      </c>
      <c r="G60" s="44">
        <f>17576+3820721</f>
        <v>3838297</v>
      </c>
      <c r="I60" s="44">
        <v>0</v>
      </c>
      <c r="K60" s="44">
        <v>8328772</v>
      </c>
      <c r="M60" s="44">
        <f t="shared" si="0"/>
        <v>2447513</v>
      </c>
      <c r="O60" s="44">
        <v>228895</v>
      </c>
      <c r="Q60" s="44">
        <v>2676408</v>
      </c>
      <c r="S60" s="44">
        <v>3838297</v>
      </c>
      <c r="U60" s="44">
        <f>95993+168489+428486+361812+86690</f>
        <v>1141470</v>
      </c>
      <c r="W60" s="44">
        <v>672597</v>
      </c>
      <c r="Y60" s="44">
        <f t="shared" si="3"/>
        <v>5652364</v>
      </c>
      <c r="AB60" s="44">
        <f t="shared" si="1"/>
        <v>0</v>
      </c>
    </row>
    <row r="61" spans="1:29" ht="12.75" customHeight="1">
      <c r="A61" s="44" t="s">
        <v>81</v>
      </c>
      <c r="C61" s="44" t="s">
        <v>81</v>
      </c>
      <c r="E61" s="44">
        <f t="shared" si="2"/>
        <v>3463274</v>
      </c>
      <c r="G61" s="44">
        <v>6345148</v>
      </c>
      <c r="I61" s="44">
        <v>0</v>
      </c>
      <c r="K61" s="44">
        <v>9808422</v>
      </c>
      <c r="M61" s="44">
        <f t="shared" si="0"/>
        <v>1531402</v>
      </c>
      <c r="O61" s="44">
        <v>1138443</v>
      </c>
      <c r="Q61" s="44">
        <v>2669845</v>
      </c>
      <c r="S61" s="44">
        <v>5424074</v>
      </c>
      <c r="U61" s="44">
        <f>7138577-5424074+468617</f>
        <v>2183120</v>
      </c>
      <c r="W61" s="44">
        <v>-468617</v>
      </c>
      <c r="Y61" s="44">
        <f t="shared" si="3"/>
        <v>7138577</v>
      </c>
      <c r="AB61" s="44">
        <f t="shared" si="1"/>
        <v>0</v>
      </c>
    </row>
    <row r="62" spans="1:29" ht="12.75" customHeight="1">
      <c r="A62" s="47" t="s">
        <v>465</v>
      </c>
      <c r="C62" s="47" t="s">
        <v>57</v>
      </c>
      <c r="E62" s="44">
        <f t="shared" si="2"/>
        <v>2561122</v>
      </c>
      <c r="G62" s="44">
        <v>5268808</v>
      </c>
      <c r="I62" s="44">
        <v>0</v>
      </c>
      <c r="K62" s="44">
        <v>7829930</v>
      </c>
      <c r="M62" s="44">
        <f t="shared" si="0"/>
        <v>607673</v>
      </c>
      <c r="O62" s="44">
        <v>275377</v>
      </c>
      <c r="Q62" s="44">
        <v>883050</v>
      </c>
      <c r="S62" s="44">
        <v>5093023</v>
      </c>
      <c r="U62" s="44">
        <f>6946880-5093023-708910</f>
        <v>1144947</v>
      </c>
      <c r="W62" s="44">
        <v>708910</v>
      </c>
      <c r="Y62" s="44">
        <f t="shared" si="3"/>
        <v>6946880</v>
      </c>
      <c r="AB62" s="44">
        <f>+K62-Q62-Y62</f>
        <v>0</v>
      </c>
    </row>
    <row r="63" spans="1:29" ht="12.75" customHeight="1">
      <c r="A63" s="44" t="s">
        <v>82</v>
      </c>
      <c r="C63" s="44" t="s">
        <v>13</v>
      </c>
      <c r="E63" s="44">
        <f t="shared" si="2"/>
        <v>56279546</v>
      </c>
      <c r="G63" s="44">
        <f>10840815+76186546</f>
        <v>87027361</v>
      </c>
      <c r="I63" s="44">
        <v>0</v>
      </c>
      <c r="K63" s="44">
        <v>143306907</v>
      </c>
      <c r="M63" s="44">
        <f t="shared" si="0"/>
        <v>30993056</v>
      </c>
      <c r="O63" s="44">
        <f>4079116+107129+2483339+6170855</f>
        <v>12840439</v>
      </c>
      <c r="Q63" s="44">
        <v>43833495</v>
      </c>
      <c r="S63" s="44">
        <v>74834451</v>
      </c>
      <c r="U63" s="44">
        <f>8757570+109044+7237562+219104</f>
        <v>16323280</v>
      </c>
      <c r="W63" s="44">
        <v>8315681</v>
      </c>
      <c r="Y63" s="44">
        <f t="shared" si="3"/>
        <v>99473412</v>
      </c>
      <c r="AB63" s="44">
        <f t="shared" si="1"/>
        <v>0</v>
      </c>
    </row>
    <row r="64" spans="1:29" ht="12.75" customHeight="1">
      <c r="A64" s="44" t="s">
        <v>83</v>
      </c>
      <c r="C64" s="44" t="s">
        <v>66</v>
      </c>
      <c r="E64" s="44">
        <f t="shared" si="2"/>
        <v>211666839</v>
      </c>
      <c r="G64" s="44">
        <v>333586254</v>
      </c>
      <c r="I64" s="44">
        <v>0</v>
      </c>
      <c r="K64" s="44">
        <v>545253093</v>
      </c>
      <c r="M64" s="44">
        <f t="shared" si="0"/>
        <v>53972028</v>
      </c>
      <c r="O64" s="44">
        <v>95889435</v>
      </c>
      <c r="Q64" s="44">
        <v>149861463</v>
      </c>
      <c r="S64" s="44">
        <v>282144957</v>
      </c>
      <c r="U64" s="44">
        <f>60606+102228+24970814+46010148+4987993+11676804+3479157+5449078</f>
        <v>96736828</v>
      </c>
      <c r="W64" s="44">
        <v>16509845</v>
      </c>
      <c r="Y64" s="44">
        <f t="shared" si="3"/>
        <v>395391630</v>
      </c>
      <c r="AB64" s="44">
        <f t="shared" si="1"/>
        <v>0</v>
      </c>
    </row>
    <row r="65" spans="1:32" ht="12.75" customHeight="1">
      <c r="A65" s="44" t="s">
        <v>84</v>
      </c>
      <c r="C65" s="44" t="s">
        <v>45</v>
      </c>
      <c r="E65" s="44">
        <f t="shared" si="2"/>
        <v>3584946</v>
      </c>
      <c r="G65" s="44">
        <f>3420932+287735</f>
        <v>3708667</v>
      </c>
      <c r="I65" s="44">
        <v>0</v>
      </c>
      <c r="K65" s="44">
        <v>7293613</v>
      </c>
      <c r="M65" s="44">
        <f t="shared" si="0"/>
        <v>1337021</v>
      </c>
      <c r="O65" s="44">
        <v>2810912</v>
      </c>
      <c r="Q65" s="44">
        <v>4147933</v>
      </c>
      <c r="S65" s="44">
        <v>1009933</v>
      </c>
      <c r="U65" s="44">
        <f>491870+149100</f>
        <v>640970</v>
      </c>
      <c r="W65" s="44">
        <v>1494777</v>
      </c>
      <c r="Y65" s="44">
        <f t="shared" si="3"/>
        <v>3145680</v>
      </c>
      <c r="AB65" s="44">
        <f t="shared" si="1"/>
        <v>0</v>
      </c>
    </row>
    <row r="66" spans="1:32" ht="12.75" customHeight="1">
      <c r="A66" s="44" t="s">
        <v>85</v>
      </c>
      <c r="C66" s="44" t="s">
        <v>85</v>
      </c>
      <c r="E66" s="44">
        <f t="shared" si="2"/>
        <v>12768453</v>
      </c>
      <c r="G66" s="44">
        <v>14704191</v>
      </c>
      <c r="I66" s="44">
        <v>0</v>
      </c>
      <c r="K66" s="44">
        <v>27472644</v>
      </c>
      <c r="M66" s="44">
        <f t="shared" si="0"/>
        <v>1894172</v>
      </c>
      <c r="O66" s="44">
        <v>544128</v>
      </c>
      <c r="Q66" s="44">
        <v>2438300</v>
      </c>
      <c r="S66" s="44">
        <v>14343185</v>
      </c>
      <c r="U66" s="44">
        <v>6752644</v>
      </c>
      <c r="W66" s="44">
        <v>3938515</v>
      </c>
      <c r="Y66" s="44">
        <f t="shared" si="3"/>
        <v>25034344</v>
      </c>
      <c r="AB66" s="44">
        <f t="shared" si="1"/>
        <v>0</v>
      </c>
    </row>
    <row r="67" spans="1:32" ht="12.75" customHeight="1">
      <c r="A67" s="44" t="s">
        <v>86</v>
      </c>
      <c r="C67" s="44" t="s">
        <v>86</v>
      </c>
      <c r="E67" s="44">
        <f t="shared" si="2"/>
        <v>31594567</v>
      </c>
      <c r="G67" s="44">
        <f>15320906+54420128</f>
        <v>69741034</v>
      </c>
      <c r="I67" s="44">
        <v>0</v>
      </c>
      <c r="K67" s="44">
        <v>101335601</v>
      </c>
      <c r="M67" s="44">
        <f t="shared" si="0"/>
        <v>25623018</v>
      </c>
      <c r="O67" s="44">
        <v>11543549</v>
      </c>
      <c r="Q67" s="44">
        <v>37166567</v>
      </c>
      <c r="S67" s="44">
        <v>45104431</v>
      </c>
      <c r="U67" s="44">
        <v>9681271</v>
      </c>
      <c r="W67" s="44">
        <v>9383332</v>
      </c>
      <c r="Y67" s="44">
        <f t="shared" si="3"/>
        <v>64169034</v>
      </c>
      <c r="AB67" s="44">
        <f t="shared" si="1"/>
        <v>0</v>
      </c>
    </row>
    <row r="68" spans="1:32" ht="12.75" customHeight="1">
      <c r="A68" s="46" t="s">
        <v>87</v>
      </c>
      <c r="B68" s="46"/>
      <c r="C68" s="46" t="s">
        <v>88</v>
      </c>
      <c r="D68" s="44"/>
      <c r="E68" s="44">
        <f t="shared" si="2"/>
        <v>2981449</v>
      </c>
      <c r="G68" s="44">
        <f>524127+1651899</f>
        <v>2176026</v>
      </c>
      <c r="I68" s="44">
        <v>0</v>
      </c>
      <c r="K68" s="44">
        <v>5157475</v>
      </c>
      <c r="M68" s="44">
        <f t="shared" si="0"/>
        <v>816569</v>
      </c>
      <c r="O68" s="44">
        <v>214360</v>
      </c>
      <c r="Q68" s="44">
        <v>1030929</v>
      </c>
      <c r="S68" s="44">
        <v>2087830</v>
      </c>
      <c r="U68" s="44">
        <f>9533+1128405</f>
        <v>1137938</v>
      </c>
      <c r="W68" s="44">
        <v>900778</v>
      </c>
      <c r="Y68" s="44">
        <f t="shared" si="3"/>
        <v>4126546</v>
      </c>
      <c r="AB68" s="44">
        <f t="shared" si="1"/>
        <v>0</v>
      </c>
    </row>
    <row r="69" spans="1:32" ht="12.75" customHeight="1">
      <c r="A69" s="46"/>
      <c r="B69" s="46"/>
      <c r="C69" s="46"/>
      <c r="D69" s="44"/>
      <c r="Y69" s="48" t="s">
        <v>484</v>
      </c>
    </row>
    <row r="70" spans="1:32" ht="12.75" customHeight="1">
      <c r="A70" s="44" t="s">
        <v>394</v>
      </c>
      <c r="C70" s="44" t="s">
        <v>89</v>
      </c>
      <c r="E70" s="46">
        <f t="shared" si="2"/>
        <v>8016622</v>
      </c>
      <c r="F70" s="46"/>
      <c r="G70" s="46">
        <f>2185576+15057618</f>
        <v>17243194</v>
      </c>
      <c r="H70" s="46"/>
      <c r="I70" s="46">
        <v>0</v>
      </c>
      <c r="J70" s="46"/>
      <c r="K70" s="46">
        <v>25259816</v>
      </c>
      <c r="L70" s="46"/>
      <c r="M70" s="46">
        <f t="shared" si="0"/>
        <v>2766145</v>
      </c>
      <c r="N70" s="46"/>
      <c r="O70" s="46">
        <v>3697460</v>
      </c>
      <c r="P70" s="46"/>
      <c r="Q70" s="46">
        <v>6463605</v>
      </c>
      <c r="R70" s="46"/>
      <c r="S70" s="46">
        <v>14773194</v>
      </c>
      <c r="T70" s="46"/>
      <c r="U70" s="46">
        <v>3852663</v>
      </c>
      <c r="V70" s="46"/>
      <c r="W70" s="46">
        <v>170354</v>
      </c>
      <c r="X70" s="46"/>
      <c r="Y70" s="46">
        <f t="shared" si="3"/>
        <v>18796211</v>
      </c>
      <c r="Z70" s="46"/>
      <c r="AA70" s="46"/>
      <c r="AB70" s="46">
        <f t="shared" si="1"/>
        <v>0</v>
      </c>
    </row>
    <row r="71" spans="1:32" ht="12.75" customHeight="1">
      <c r="A71" s="44" t="s">
        <v>90</v>
      </c>
      <c r="C71" s="44" t="s">
        <v>43</v>
      </c>
      <c r="E71" s="44">
        <f t="shared" si="2"/>
        <v>120817899</v>
      </c>
      <c r="G71" s="44">
        <f>248985934+124184989</f>
        <v>373170923</v>
      </c>
      <c r="I71" s="44">
        <v>0</v>
      </c>
      <c r="K71" s="44">
        <v>493988822</v>
      </c>
      <c r="M71" s="44">
        <f t="shared" si="0"/>
        <v>59725609</v>
      </c>
      <c r="O71" s="44">
        <v>46580076</v>
      </c>
      <c r="Q71" s="44">
        <v>106305685</v>
      </c>
      <c r="S71" s="44">
        <v>325919608</v>
      </c>
      <c r="U71" s="44">
        <v>9421189</v>
      </c>
      <c r="W71" s="44">
        <v>52342340</v>
      </c>
      <c r="Y71" s="44">
        <f t="shared" si="3"/>
        <v>387683137</v>
      </c>
      <c r="AB71" s="44">
        <f t="shared" si="1"/>
        <v>0</v>
      </c>
    </row>
    <row r="72" spans="1:32" ht="12.75" customHeight="1">
      <c r="A72" s="44" t="s">
        <v>93</v>
      </c>
      <c r="C72" s="44" t="s">
        <v>94</v>
      </c>
      <c r="E72" s="44">
        <f t="shared" si="2"/>
        <v>4841783</v>
      </c>
      <c r="G72" s="44">
        <f>520262+5935325</f>
        <v>6455587</v>
      </c>
      <c r="I72" s="44">
        <v>0</v>
      </c>
      <c r="K72" s="44">
        <v>11297370</v>
      </c>
      <c r="M72" s="44">
        <f t="shared" si="0"/>
        <v>2154023</v>
      </c>
      <c r="O72" s="44">
        <v>2733806</v>
      </c>
      <c r="Q72" s="44">
        <v>4887829</v>
      </c>
      <c r="S72" s="44">
        <v>4656675</v>
      </c>
      <c r="U72" s="44">
        <f>487458+55695+502549+839398</f>
        <v>1885100</v>
      </c>
      <c r="W72" s="44">
        <v>-132234</v>
      </c>
      <c r="Y72" s="44">
        <f t="shared" si="3"/>
        <v>6409541</v>
      </c>
      <c r="AB72" s="44">
        <f t="shared" si="1"/>
        <v>0</v>
      </c>
    </row>
    <row r="73" spans="1:32" ht="12.75" customHeight="1">
      <c r="A73" s="44" t="s">
        <v>488</v>
      </c>
      <c r="C73" s="44" t="s">
        <v>27</v>
      </c>
      <c r="E73" s="44">
        <f t="shared" ref="E73:E80" si="6">+K73-G73-I73</f>
        <v>13188297</v>
      </c>
      <c r="G73" s="44">
        <f>1330283+13011244</f>
        <v>14341527</v>
      </c>
      <c r="I73" s="44">
        <v>0</v>
      </c>
      <c r="K73" s="44">
        <v>27529824</v>
      </c>
      <c r="M73" s="44">
        <f t="shared" ref="M73:M80" si="7">+Q73-O73</f>
        <v>5875304</v>
      </c>
      <c r="O73" s="44">
        <v>6701717</v>
      </c>
      <c r="Q73" s="44">
        <v>12577021</v>
      </c>
      <c r="S73" s="44">
        <v>10095044</v>
      </c>
      <c r="U73" s="44">
        <f>1648222+220497+105494+887031+1081</f>
        <v>2862325</v>
      </c>
      <c r="W73" s="44">
        <v>1995434</v>
      </c>
      <c r="Y73" s="44">
        <f t="shared" ref="Y73:Y80" si="8">S73+U73+W73</f>
        <v>14952803</v>
      </c>
      <c r="AB73" s="44">
        <f t="shared" ref="AB73:AB80" si="9">+K73-Q73-Y73</f>
        <v>0</v>
      </c>
    </row>
    <row r="74" spans="1:32" s="46" customFormat="1" ht="12.75" customHeight="1">
      <c r="A74" s="46" t="s">
        <v>95</v>
      </c>
      <c r="C74" s="46" t="s">
        <v>94</v>
      </c>
      <c r="E74" s="44">
        <f t="shared" si="6"/>
        <v>1648315</v>
      </c>
      <c r="F74" s="44"/>
      <c r="G74" s="44">
        <v>5916205</v>
      </c>
      <c r="H74" s="44"/>
      <c r="I74" s="44">
        <v>0</v>
      </c>
      <c r="J74" s="44"/>
      <c r="K74" s="44">
        <v>7564520</v>
      </c>
      <c r="L74" s="44"/>
      <c r="M74" s="44">
        <f t="shared" si="7"/>
        <v>1126309</v>
      </c>
      <c r="N74" s="44"/>
      <c r="O74" s="44">
        <v>915522</v>
      </c>
      <c r="P74" s="44"/>
      <c r="Q74" s="44">
        <v>2041831</v>
      </c>
      <c r="R74" s="44"/>
      <c r="S74" s="44">
        <v>4670779</v>
      </c>
      <c r="T74" s="44"/>
      <c r="U74" s="44">
        <f>19038+3385081</f>
        <v>3404119</v>
      </c>
      <c r="V74" s="44"/>
      <c r="W74" s="44">
        <v>-2552209</v>
      </c>
      <c r="X74" s="44"/>
      <c r="Y74" s="44">
        <f t="shared" si="8"/>
        <v>5522689</v>
      </c>
      <c r="Z74" s="44"/>
      <c r="AA74" s="44"/>
      <c r="AB74" s="44">
        <f t="shared" si="9"/>
        <v>0</v>
      </c>
      <c r="AF74" s="44"/>
    </row>
    <row r="75" spans="1:32" ht="12.75" customHeight="1">
      <c r="A75" s="44" t="s">
        <v>91</v>
      </c>
      <c r="C75" s="44" t="s">
        <v>92</v>
      </c>
      <c r="E75" s="44">
        <f t="shared" si="6"/>
        <v>25105785</v>
      </c>
      <c r="G75" s="44">
        <f>7085025+31582494</f>
        <v>38667519</v>
      </c>
      <c r="I75" s="44">
        <v>0</v>
      </c>
      <c r="K75" s="44">
        <v>63773304</v>
      </c>
      <c r="M75" s="44">
        <f t="shared" si="7"/>
        <v>6402184</v>
      </c>
      <c r="O75" s="44">
        <v>28402269</v>
      </c>
      <c r="Q75" s="44">
        <v>34804453</v>
      </c>
      <c r="S75" s="44">
        <v>11845890</v>
      </c>
      <c r="U75" s="44">
        <v>8830521</v>
      </c>
      <c r="W75" s="44">
        <v>8292440</v>
      </c>
      <c r="Y75" s="44">
        <f t="shared" si="8"/>
        <v>28968851</v>
      </c>
      <c r="AB75" s="44">
        <f t="shared" si="9"/>
        <v>0</v>
      </c>
    </row>
    <row r="76" spans="1:32" ht="12.75" customHeight="1">
      <c r="A76" s="44" t="s">
        <v>96</v>
      </c>
      <c r="C76" s="44" t="s">
        <v>97</v>
      </c>
      <c r="E76" s="44">
        <f t="shared" si="6"/>
        <v>7993896</v>
      </c>
      <c r="G76" s="44">
        <f>820439+1008956+6630551</f>
        <v>8459946</v>
      </c>
      <c r="I76" s="44">
        <v>0</v>
      </c>
      <c r="K76" s="44">
        <v>16453842</v>
      </c>
      <c r="M76" s="44">
        <f t="shared" si="7"/>
        <v>1392229</v>
      </c>
      <c r="O76" s="44">
        <v>2497699</v>
      </c>
      <c r="Q76" s="44">
        <v>3889928</v>
      </c>
      <c r="S76" s="44">
        <v>6106769</v>
      </c>
      <c r="U76" s="44">
        <f>919321+33626+180308+176783+2242088+340456+10000</f>
        <v>3902582</v>
      </c>
      <c r="W76" s="44">
        <v>2554563</v>
      </c>
      <c r="Y76" s="44">
        <f t="shared" si="8"/>
        <v>12563914</v>
      </c>
      <c r="AB76" s="44">
        <f t="shared" si="9"/>
        <v>0</v>
      </c>
    </row>
    <row r="77" spans="1:32" ht="12.75" customHeight="1">
      <c r="A77" s="44" t="s">
        <v>98</v>
      </c>
      <c r="C77" s="44" t="s">
        <v>17</v>
      </c>
      <c r="E77" s="44">
        <f t="shared" si="6"/>
        <v>28841525</v>
      </c>
      <c r="G77" s="44">
        <f>6184200+27204127+4159314+5466082+25731848+2606828+14107937</f>
        <v>85460336</v>
      </c>
      <c r="I77" s="44">
        <v>0</v>
      </c>
      <c r="K77" s="44">
        <v>114301861</v>
      </c>
      <c r="M77" s="44">
        <f t="shared" si="7"/>
        <v>16335951</v>
      </c>
      <c r="O77" s="44">
        <v>35084664</v>
      </c>
      <c r="Q77" s="44">
        <v>51420615</v>
      </c>
      <c r="S77" s="44">
        <v>49293032</v>
      </c>
      <c r="U77" s="44">
        <v>10512172</v>
      </c>
      <c r="W77" s="44">
        <v>3076042</v>
      </c>
      <c r="Y77" s="44">
        <f t="shared" si="8"/>
        <v>62881246</v>
      </c>
      <c r="AB77" s="44">
        <f t="shared" si="9"/>
        <v>0</v>
      </c>
    </row>
    <row r="78" spans="1:32" ht="12.75" customHeight="1">
      <c r="A78" s="44" t="s">
        <v>99</v>
      </c>
      <c r="C78" s="44" t="s">
        <v>66</v>
      </c>
      <c r="E78" s="44">
        <f t="shared" si="6"/>
        <v>15043009</v>
      </c>
      <c r="G78" s="44">
        <v>39349708</v>
      </c>
      <c r="I78" s="44">
        <v>0</v>
      </c>
      <c r="K78" s="44">
        <v>54392717</v>
      </c>
      <c r="M78" s="44">
        <f t="shared" si="7"/>
        <v>2281506</v>
      </c>
      <c r="O78" s="44">
        <v>138533</v>
      </c>
      <c r="Q78" s="44">
        <v>2420039</v>
      </c>
      <c r="S78" s="44">
        <v>39349708</v>
      </c>
      <c r="U78" s="44">
        <v>7095770</v>
      </c>
      <c r="W78" s="44">
        <v>5527200</v>
      </c>
      <c r="Y78" s="44">
        <f t="shared" si="8"/>
        <v>51972678</v>
      </c>
      <c r="AB78" s="44">
        <f t="shared" si="9"/>
        <v>0</v>
      </c>
    </row>
    <row r="79" spans="1:32" ht="12.75" customHeight="1">
      <c r="A79" s="44" t="s">
        <v>100</v>
      </c>
      <c r="C79" s="44" t="s">
        <v>27</v>
      </c>
      <c r="E79" s="44">
        <f t="shared" si="6"/>
        <v>34903833</v>
      </c>
      <c r="G79" s="44">
        <f>13766124+59119945</f>
        <v>72886069</v>
      </c>
      <c r="I79" s="44">
        <v>0</v>
      </c>
      <c r="K79" s="44">
        <v>107789902</v>
      </c>
      <c r="M79" s="44">
        <f t="shared" si="7"/>
        <v>16186146</v>
      </c>
      <c r="O79" s="44">
        <v>37827946</v>
      </c>
      <c r="Q79" s="44">
        <v>54014092</v>
      </c>
      <c r="S79" s="44">
        <v>39956632</v>
      </c>
      <c r="U79" s="44">
        <v>8187615</v>
      </c>
      <c r="W79" s="44">
        <v>5631563</v>
      </c>
      <c r="Y79" s="44">
        <f t="shared" si="8"/>
        <v>53775810</v>
      </c>
      <c r="AB79" s="44">
        <f t="shared" si="9"/>
        <v>0</v>
      </c>
    </row>
    <row r="80" spans="1:32" ht="12.75" customHeight="1">
      <c r="A80" s="44" t="s">
        <v>101</v>
      </c>
      <c r="C80" s="44" t="s">
        <v>30</v>
      </c>
      <c r="E80" s="44">
        <f t="shared" si="6"/>
        <v>27044942</v>
      </c>
      <c r="G80" s="44">
        <f>14558008+55944474</f>
        <v>70502482</v>
      </c>
      <c r="I80" s="44">
        <v>0</v>
      </c>
      <c r="K80" s="44">
        <v>97547424</v>
      </c>
      <c r="M80" s="44">
        <f t="shared" si="7"/>
        <v>10283622</v>
      </c>
      <c r="O80" s="44">
        <v>11856673</v>
      </c>
      <c r="Q80" s="44">
        <v>22140295</v>
      </c>
      <c r="S80" s="44">
        <v>57404461</v>
      </c>
      <c r="U80" s="44">
        <v>10780812</v>
      </c>
      <c r="W80" s="44">
        <v>7221856</v>
      </c>
      <c r="Y80" s="44">
        <f t="shared" si="8"/>
        <v>75407129</v>
      </c>
      <c r="AB80" s="44">
        <f t="shared" si="9"/>
        <v>0</v>
      </c>
    </row>
    <row r="81" spans="1:28" ht="12.75" customHeight="1">
      <c r="A81" s="44" t="s">
        <v>102</v>
      </c>
      <c r="C81" s="44" t="s">
        <v>103</v>
      </c>
      <c r="E81" s="44">
        <f t="shared" ref="E81:E146" si="10">+K81-G81-I81</f>
        <v>42718889</v>
      </c>
      <c r="G81" s="44">
        <f>15662260+64353566</f>
        <v>80015826</v>
      </c>
      <c r="I81" s="44">
        <v>0</v>
      </c>
      <c r="K81" s="44">
        <v>122734715</v>
      </c>
      <c r="M81" s="44">
        <f t="shared" ref="M81:M146" si="11">+Q81-O81</f>
        <v>15695282</v>
      </c>
      <c r="O81" s="44">
        <v>13583310</v>
      </c>
      <c r="Q81" s="44">
        <v>29278592</v>
      </c>
      <c r="S81" s="44">
        <v>61855826</v>
      </c>
      <c r="U81" s="44">
        <f>4747367+1488334+4801176</f>
        <v>11036877</v>
      </c>
      <c r="W81" s="44">
        <v>20563420</v>
      </c>
      <c r="Y81" s="44">
        <f t="shared" ref="Y81:Y136" si="12">S81+U81+W81</f>
        <v>93456123</v>
      </c>
      <c r="AB81" s="44">
        <f t="shared" ref="AB81:AB146" si="13">+K81-Q81-Y81</f>
        <v>0</v>
      </c>
    </row>
    <row r="82" spans="1:28" ht="12.75" customHeight="1">
      <c r="A82" s="44" t="s">
        <v>104</v>
      </c>
      <c r="C82" s="44" t="s">
        <v>13</v>
      </c>
      <c r="E82" s="44">
        <f t="shared" si="10"/>
        <v>18861317</v>
      </c>
      <c r="G82" s="44">
        <v>65912702</v>
      </c>
      <c r="I82" s="44">
        <v>0</v>
      </c>
      <c r="K82" s="44">
        <v>84774019</v>
      </c>
      <c r="M82" s="44">
        <f t="shared" si="11"/>
        <v>4439449</v>
      </c>
      <c r="O82" s="44">
        <v>8345755</v>
      </c>
      <c r="Q82" s="44">
        <v>12785204</v>
      </c>
      <c r="S82" s="44">
        <v>57556280</v>
      </c>
      <c r="U82" s="44">
        <v>7681819</v>
      </c>
      <c r="W82" s="44">
        <v>6750716</v>
      </c>
      <c r="Y82" s="44">
        <f t="shared" si="12"/>
        <v>71988815</v>
      </c>
      <c r="AB82" s="44">
        <f t="shared" si="13"/>
        <v>0</v>
      </c>
    </row>
    <row r="83" spans="1:28" ht="12.75" customHeight="1">
      <c r="A83" s="44" t="s">
        <v>105</v>
      </c>
      <c r="C83" s="44" t="s">
        <v>27</v>
      </c>
      <c r="E83" s="44">
        <f t="shared" si="10"/>
        <v>15063919</v>
      </c>
      <c r="G83" s="44">
        <f>18437330+37157063</f>
        <v>55594393</v>
      </c>
      <c r="I83" s="44">
        <v>0</v>
      </c>
      <c r="K83" s="44">
        <v>70658312</v>
      </c>
      <c r="M83" s="44">
        <f t="shared" si="11"/>
        <v>6135432</v>
      </c>
      <c r="O83" s="44">
        <v>27035021</v>
      </c>
      <c r="Q83" s="44">
        <v>33170453</v>
      </c>
      <c r="S83" s="44">
        <v>30119364</v>
      </c>
      <c r="U83" s="44">
        <f>2166453+3255859</f>
        <v>5422312</v>
      </c>
      <c r="W83" s="44">
        <v>1946183</v>
      </c>
      <c r="Y83" s="44">
        <f t="shared" si="12"/>
        <v>37487859</v>
      </c>
      <c r="AB83" s="44">
        <f t="shared" si="13"/>
        <v>0</v>
      </c>
    </row>
    <row r="84" spans="1:28" ht="12.75" customHeight="1">
      <c r="A84" s="44" t="s">
        <v>106</v>
      </c>
      <c r="C84" s="44" t="s">
        <v>107</v>
      </c>
      <c r="E84" s="44">
        <f t="shared" si="10"/>
        <v>23759860</v>
      </c>
      <c r="G84" s="44">
        <v>78217827</v>
      </c>
      <c r="I84" s="44">
        <v>0</v>
      </c>
      <c r="K84" s="44">
        <v>101977687</v>
      </c>
      <c r="M84" s="44">
        <f t="shared" si="11"/>
        <v>8013635</v>
      </c>
      <c r="O84" s="44">
        <v>13303174</v>
      </c>
      <c r="Q84" s="44">
        <v>21316809</v>
      </c>
      <c r="S84" s="44">
        <v>67497148</v>
      </c>
      <c r="U84" s="44">
        <v>9607709</v>
      </c>
      <c r="W84" s="44">
        <v>3556021</v>
      </c>
      <c r="Y84" s="44">
        <f t="shared" si="12"/>
        <v>80660878</v>
      </c>
      <c r="AB84" s="44">
        <f t="shared" si="13"/>
        <v>0</v>
      </c>
    </row>
    <row r="85" spans="1:28" ht="12.75" customHeight="1">
      <c r="A85" s="44" t="s">
        <v>108</v>
      </c>
      <c r="C85" s="44" t="s">
        <v>45</v>
      </c>
      <c r="E85" s="44">
        <f>+K85-G85-I85</f>
        <v>19314706</v>
      </c>
      <c r="G85" s="44">
        <f>12852784+25054247</f>
        <v>37907031</v>
      </c>
      <c r="I85" s="44">
        <v>0</v>
      </c>
      <c r="K85" s="44">
        <v>57221737</v>
      </c>
      <c r="M85" s="44">
        <f>+Q85-O85</f>
        <v>9593999</v>
      </c>
      <c r="O85" s="44">
        <v>3086484</v>
      </c>
      <c r="Q85" s="44">
        <v>12680483</v>
      </c>
      <c r="S85" s="44">
        <v>32361148</v>
      </c>
      <c r="U85" s="44">
        <f>6994972+41485</f>
        <v>7036457</v>
      </c>
      <c r="W85" s="44">
        <v>5143649</v>
      </c>
      <c r="Y85" s="44">
        <f>S85+U85+W85</f>
        <v>44541254</v>
      </c>
      <c r="AB85" s="44">
        <f>+K85-Q85-Y85</f>
        <v>0</v>
      </c>
    </row>
    <row r="86" spans="1:28" ht="12.75" customHeight="1">
      <c r="A86" s="44" t="s">
        <v>109</v>
      </c>
      <c r="B86" s="44"/>
      <c r="C86" s="44" t="s">
        <v>110</v>
      </c>
      <c r="D86" s="44"/>
      <c r="E86" s="44">
        <f t="shared" si="10"/>
        <v>8654438</v>
      </c>
      <c r="G86" s="44">
        <v>9732095</v>
      </c>
      <c r="I86" s="44">
        <v>0</v>
      </c>
      <c r="K86" s="44">
        <v>18386533</v>
      </c>
      <c r="M86" s="44">
        <f t="shared" si="11"/>
        <v>2347696</v>
      </c>
      <c r="O86" s="44">
        <v>1262520</v>
      </c>
      <c r="Q86" s="44">
        <v>3610216</v>
      </c>
      <c r="S86" s="44">
        <v>8934611</v>
      </c>
      <c r="U86" s="44">
        <v>4477746</v>
      </c>
      <c r="W86" s="44">
        <v>1363960</v>
      </c>
      <c r="Y86" s="44">
        <f t="shared" si="12"/>
        <v>14776317</v>
      </c>
      <c r="AB86" s="44">
        <f t="shared" si="13"/>
        <v>0</v>
      </c>
    </row>
    <row r="87" spans="1:28" ht="12.75" customHeight="1">
      <c r="A87" s="44" t="s">
        <v>43</v>
      </c>
      <c r="C87" s="44" t="s">
        <v>111</v>
      </c>
      <c r="E87" s="44">
        <f t="shared" si="10"/>
        <v>14781255</v>
      </c>
      <c r="G87" s="44">
        <f>19301595+31293512</f>
        <v>50595107</v>
      </c>
      <c r="I87" s="44">
        <v>0</v>
      </c>
      <c r="K87" s="44">
        <v>65376362</v>
      </c>
      <c r="M87" s="44">
        <f t="shared" si="11"/>
        <v>5801860</v>
      </c>
      <c r="O87" s="44">
        <v>10344511</v>
      </c>
      <c r="Q87" s="44">
        <v>16146371</v>
      </c>
      <c r="S87" s="44">
        <v>40366322</v>
      </c>
      <c r="U87" s="44">
        <v>6135200</v>
      </c>
      <c r="W87" s="44">
        <v>2728469</v>
      </c>
      <c r="Y87" s="44">
        <f t="shared" si="12"/>
        <v>49229991</v>
      </c>
      <c r="AB87" s="44">
        <f t="shared" si="13"/>
        <v>0</v>
      </c>
    </row>
    <row r="88" spans="1:28" ht="12.75" customHeight="1">
      <c r="A88" s="44" t="s">
        <v>112</v>
      </c>
      <c r="C88" s="44" t="s">
        <v>76</v>
      </c>
      <c r="E88" s="44">
        <f t="shared" si="10"/>
        <v>15725445</v>
      </c>
      <c r="G88" s="44">
        <v>23931482</v>
      </c>
      <c r="I88" s="44">
        <v>0</v>
      </c>
      <c r="K88" s="44">
        <v>39656927</v>
      </c>
      <c r="M88" s="44">
        <f t="shared" si="11"/>
        <v>1879222</v>
      </c>
      <c r="O88" s="44">
        <v>4370166</v>
      </c>
      <c r="Q88" s="44">
        <v>6249388</v>
      </c>
      <c r="S88" s="44">
        <v>20801482</v>
      </c>
      <c r="U88" s="44">
        <v>3142475</v>
      </c>
      <c r="W88" s="44">
        <v>9463582</v>
      </c>
      <c r="Y88" s="44">
        <f t="shared" si="12"/>
        <v>33407539</v>
      </c>
      <c r="AB88" s="44">
        <f t="shared" si="13"/>
        <v>0</v>
      </c>
    </row>
    <row r="89" spans="1:28" ht="12.75" customHeight="1">
      <c r="A89" s="44" t="s">
        <v>113</v>
      </c>
      <c r="C89" s="44" t="s">
        <v>43</v>
      </c>
      <c r="E89" s="44">
        <f t="shared" si="10"/>
        <v>48537160</v>
      </c>
      <c r="G89" s="44">
        <v>78751018</v>
      </c>
      <c r="I89" s="44">
        <v>0</v>
      </c>
      <c r="K89" s="44">
        <v>127288178</v>
      </c>
      <c r="M89" s="44">
        <f t="shared" si="11"/>
        <v>7478530</v>
      </c>
      <c r="O89" s="44">
        <v>22610739</v>
      </c>
      <c r="Q89" s="44">
        <v>30089269</v>
      </c>
      <c r="S89" s="44">
        <v>60235098</v>
      </c>
      <c r="U89" s="44">
        <v>11935778</v>
      </c>
      <c r="W89" s="44">
        <v>25028033</v>
      </c>
      <c r="Y89" s="44">
        <f t="shared" si="12"/>
        <v>97198909</v>
      </c>
      <c r="AB89" s="44">
        <f t="shared" si="13"/>
        <v>0</v>
      </c>
    </row>
    <row r="90" spans="1:28" ht="12.75" customHeight="1">
      <c r="A90" s="44" t="s">
        <v>489</v>
      </c>
      <c r="C90" s="44" t="s">
        <v>57</v>
      </c>
      <c r="E90" s="44">
        <f t="shared" si="10"/>
        <v>7853072</v>
      </c>
      <c r="G90" s="44">
        <f>4741914+10919026</f>
        <v>15660940</v>
      </c>
      <c r="I90" s="44">
        <v>0</v>
      </c>
      <c r="K90" s="44">
        <v>23514012</v>
      </c>
      <c r="M90" s="44">
        <f t="shared" si="11"/>
        <v>3390236</v>
      </c>
      <c r="O90" s="44">
        <v>2581784</v>
      </c>
      <c r="Q90" s="44">
        <v>5972020</v>
      </c>
      <c r="S90" s="44">
        <v>12824151</v>
      </c>
      <c r="U90" s="44">
        <v>2347292</v>
      </c>
      <c r="W90" s="44">
        <v>2370549</v>
      </c>
      <c r="Y90" s="44">
        <f t="shared" si="12"/>
        <v>17541992</v>
      </c>
      <c r="AB90" s="44">
        <f t="shared" si="13"/>
        <v>0</v>
      </c>
    </row>
    <row r="91" spans="1:28" ht="12.75" customHeight="1">
      <c r="A91" s="44" t="s">
        <v>114</v>
      </c>
      <c r="C91" s="44" t="s">
        <v>27</v>
      </c>
      <c r="E91" s="44">
        <f t="shared" si="10"/>
        <v>19825626</v>
      </c>
      <c r="G91" s="44">
        <f>2165874+34556588</f>
        <v>36722462</v>
      </c>
      <c r="I91" s="44">
        <v>0</v>
      </c>
      <c r="K91" s="44">
        <v>56548088</v>
      </c>
      <c r="M91" s="44">
        <f t="shared" si="11"/>
        <v>17290573</v>
      </c>
      <c r="O91" s="44">
        <v>37395995</v>
      </c>
      <c r="Q91" s="44">
        <v>54686568</v>
      </c>
      <c r="S91" s="44">
        <v>12785805</v>
      </c>
      <c r="U91" s="44">
        <v>4424025</v>
      </c>
      <c r="W91" s="44">
        <v>-15348310</v>
      </c>
      <c r="Y91" s="44">
        <f t="shared" si="12"/>
        <v>1861520</v>
      </c>
      <c r="AB91" s="44">
        <f t="shared" si="13"/>
        <v>0</v>
      </c>
    </row>
    <row r="92" spans="1:28" ht="12.75" customHeight="1">
      <c r="A92" s="44" t="s">
        <v>115</v>
      </c>
      <c r="C92" s="44" t="s">
        <v>19</v>
      </c>
      <c r="E92" s="44">
        <f t="shared" si="10"/>
        <v>4341283</v>
      </c>
      <c r="G92" s="44">
        <f>2024746+6078942</f>
        <v>8103688</v>
      </c>
      <c r="I92" s="44">
        <v>0</v>
      </c>
      <c r="K92" s="44">
        <v>12444971</v>
      </c>
      <c r="M92" s="44">
        <f t="shared" si="11"/>
        <v>1586162</v>
      </c>
      <c r="O92" s="44">
        <v>2154508</v>
      </c>
      <c r="Q92" s="44">
        <v>3740670</v>
      </c>
      <c r="S92" s="44">
        <v>5250205</v>
      </c>
      <c r="U92" s="44">
        <f>183558+1790+537411</f>
        <v>722759</v>
      </c>
      <c r="W92" s="44">
        <v>2731337</v>
      </c>
      <c r="Y92" s="44">
        <f t="shared" si="12"/>
        <v>8704301</v>
      </c>
      <c r="AB92" s="44">
        <f t="shared" si="13"/>
        <v>0</v>
      </c>
    </row>
    <row r="93" spans="1:28" ht="12.75" customHeight="1">
      <c r="A93" s="44" t="s">
        <v>116</v>
      </c>
      <c r="C93" s="44" t="s">
        <v>80</v>
      </c>
      <c r="E93" s="44">
        <f t="shared" si="10"/>
        <v>5504737</v>
      </c>
      <c r="G93" s="44">
        <f>1073640+32054784</f>
        <v>33128424</v>
      </c>
      <c r="I93" s="44">
        <v>0</v>
      </c>
      <c r="K93" s="44">
        <v>38633161</v>
      </c>
      <c r="M93" s="44">
        <f t="shared" si="11"/>
        <v>2242829</v>
      </c>
      <c r="O93" s="44">
        <v>4895792</v>
      </c>
      <c r="Q93" s="44">
        <v>7138621</v>
      </c>
      <c r="S93" s="44">
        <v>28642369</v>
      </c>
      <c r="U93" s="44">
        <v>1846744</v>
      </c>
      <c r="W93" s="44">
        <v>1005427</v>
      </c>
      <c r="Y93" s="44">
        <f t="shared" si="12"/>
        <v>31494540</v>
      </c>
      <c r="AB93" s="44">
        <f t="shared" si="13"/>
        <v>0</v>
      </c>
    </row>
    <row r="94" spans="1:28" ht="12.75" customHeight="1">
      <c r="A94" s="47" t="s">
        <v>117</v>
      </c>
      <c r="C94" s="47" t="s">
        <v>43</v>
      </c>
      <c r="E94" s="44">
        <f t="shared" si="10"/>
        <v>8585007</v>
      </c>
      <c r="G94" s="44">
        <v>6002228</v>
      </c>
      <c r="I94" s="44">
        <v>0</v>
      </c>
      <c r="K94" s="44">
        <v>14587235</v>
      </c>
      <c r="M94" s="44">
        <f t="shared" si="11"/>
        <v>2779488</v>
      </c>
      <c r="O94" s="44">
        <v>1676171</v>
      </c>
      <c r="Q94" s="44">
        <v>4455659</v>
      </c>
      <c r="S94" s="44">
        <v>4514471</v>
      </c>
      <c r="U94" s="44">
        <v>1202213</v>
      </c>
      <c r="W94" s="44">
        <v>4414892</v>
      </c>
      <c r="Y94" s="44">
        <f t="shared" si="12"/>
        <v>10131576</v>
      </c>
      <c r="AB94" s="44">
        <f t="shared" si="13"/>
        <v>0</v>
      </c>
    </row>
    <row r="95" spans="1:28" ht="12.75" customHeight="1">
      <c r="A95" s="44" t="s">
        <v>118</v>
      </c>
      <c r="C95" s="44" t="s">
        <v>13</v>
      </c>
      <c r="E95" s="44">
        <f t="shared" si="10"/>
        <v>103894227</v>
      </c>
      <c r="G95" s="44">
        <f>32291280+38896537</f>
        <v>71187817</v>
      </c>
      <c r="I95" s="44">
        <v>0</v>
      </c>
      <c r="K95" s="44">
        <v>175082044</v>
      </c>
      <c r="M95" s="44">
        <f t="shared" si="11"/>
        <v>30972519</v>
      </c>
      <c r="O95" s="44">
        <v>34244690</v>
      </c>
      <c r="Q95" s="44">
        <v>65217209</v>
      </c>
      <c r="S95" s="44">
        <v>60490483</v>
      </c>
      <c r="U95" s="44">
        <v>23933855</v>
      </c>
      <c r="W95" s="44">
        <v>25440497</v>
      </c>
      <c r="Y95" s="44">
        <f t="shared" si="12"/>
        <v>109864835</v>
      </c>
      <c r="AB95" s="44">
        <f t="shared" si="13"/>
        <v>0</v>
      </c>
    </row>
    <row r="96" spans="1:28" ht="12.75" customHeight="1">
      <c r="A96" s="44" t="s">
        <v>120</v>
      </c>
      <c r="C96" s="44" t="s">
        <v>121</v>
      </c>
      <c r="E96" s="44">
        <f t="shared" si="10"/>
        <v>10367469</v>
      </c>
      <c r="G96" s="44">
        <v>16241044</v>
      </c>
      <c r="I96" s="44">
        <v>0</v>
      </c>
      <c r="K96" s="44">
        <v>26608513</v>
      </c>
      <c r="M96" s="44">
        <f t="shared" si="11"/>
        <v>2678066</v>
      </c>
      <c r="O96" s="44">
        <v>4020320</v>
      </c>
      <c r="Q96" s="44">
        <v>6698386</v>
      </c>
      <c r="S96" s="44">
        <v>12531730</v>
      </c>
      <c r="U96" s="44">
        <v>2754714</v>
      </c>
      <c r="W96" s="44">
        <v>4623683</v>
      </c>
      <c r="Y96" s="44">
        <f t="shared" si="12"/>
        <v>19910127</v>
      </c>
      <c r="AB96" s="44">
        <f t="shared" si="13"/>
        <v>0</v>
      </c>
    </row>
    <row r="97" spans="1:28" ht="12.75" customHeight="1">
      <c r="A97" s="44" t="s">
        <v>122</v>
      </c>
      <c r="C97" s="44" t="s">
        <v>43</v>
      </c>
      <c r="E97" s="44">
        <f t="shared" si="10"/>
        <v>203532367</v>
      </c>
      <c r="G97" s="44">
        <v>160337046</v>
      </c>
      <c r="I97" s="44">
        <v>0</v>
      </c>
      <c r="K97" s="44">
        <v>363869413</v>
      </c>
      <c r="M97" s="44">
        <f t="shared" si="11"/>
        <v>9657760</v>
      </c>
      <c r="O97" s="44">
        <v>104125282</v>
      </c>
      <c r="Q97" s="44">
        <v>113783042</v>
      </c>
      <c r="S97" s="44">
        <v>167879891</v>
      </c>
      <c r="U97" s="44">
        <v>56237101</v>
      </c>
      <c r="W97" s="44">
        <v>25969379</v>
      </c>
      <c r="Y97" s="44">
        <f t="shared" si="12"/>
        <v>250086371</v>
      </c>
      <c r="AB97" s="44">
        <f t="shared" si="13"/>
        <v>0</v>
      </c>
    </row>
    <row r="98" spans="1:28" ht="12.75" customHeight="1">
      <c r="A98" s="44" t="s">
        <v>45</v>
      </c>
      <c r="C98" s="44" t="s">
        <v>103</v>
      </c>
      <c r="E98" s="44">
        <f t="shared" si="10"/>
        <v>37153184</v>
      </c>
      <c r="G98" s="44">
        <f>35065053+58401434</f>
        <v>93466487</v>
      </c>
      <c r="I98" s="44">
        <v>0</v>
      </c>
      <c r="K98" s="44">
        <v>130619671</v>
      </c>
      <c r="M98" s="44">
        <f t="shared" si="11"/>
        <v>24225972</v>
      </c>
      <c r="O98" s="44">
        <v>33343718</v>
      </c>
      <c r="Q98" s="44">
        <v>57569690</v>
      </c>
      <c r="S98" s="44">
        <v>59645749</v>
      </c>
      <c r="U98" s="44">
        <f>73049981-57998417</f>
        <v>15051564</v>
      </c>
      <c r="W98" s="44">
        <v>-1647332</v>
      </c>
      <c r="Y98" s="44">
        <f t="shared" si="12"/>
        <v>73049981</v>
      </c>
      <c r="AB98" s="44">
        <f t="shared" si="13"/>
        <v>0</v>
      </c>
    </row>
    <row r="99" spans="1:28" ht="12.75" customHeight="1">
      <c r="A99" s="44" t="s">
        <v>123</v>
      </c>
      <c r="C99" s="44" t="s">
        <v>45</v>
      </c>
      <c r="E99" s="44">
        <f t="shared" si="10"/>
        <v>8775981</v>
      </c>
      <c r="G99" s="44">
        <f>3035891+9590849</f>
        <v>12626740</v>
      </c>
      <c r="I99" s="44">
        <v>0</v>
      </c>
      <c r="K99" s="44">
        <v>21402721</v>
      </c>
      <c r="M99" s="44">
        <f t="shared" si="11"/>
        <v>3440433</v>
      </c>
      <c r="O99" s="44">
        <v>4377522</v>
      </c>
      <c r="Q99" s="44">
        <v>7817955</v>
      </c>
      <c r="S99" s="44">
        <v>8188666</v>
      </c>
      <c r="U99" s="44">
        <f>13584766-10432358</f>
        <v>3152408</v>
      </c>
      <c r="W99" s="44">
        <v>2243692</v>
      </c>
      <c r="Y99" s="44">
        <f t="shared" si="12"/>
        <v>13584766</v>
      </c>
      <c r="AB99" s="44">
        <f t="shared" si="13"/>
        <v>0</v>
      </c>
    </row>
    <row r="100" spans="1:28" ht="12.75" customHeight="1">
      <c r="A100" s="44" t="s">
        <v>124</v>
      </c>
      <c r="C100" s="44" t="s">
        <v>125</v>
      </c>
      <c r="E100" s="44">
        <f t="shared" si="10"/>
        <v>9590381</v>
      </c>
      <c r="G100" s="44">
        <f>9823894+17149264</f>
        <v>26973158</v>
      </c>
      <c r="I100" s="44">
        <v>0</v>
      </c>
      <c r="K100" s="44">
        <v>36563539</v>
      </c>
      <c r="M100" s="44">
        <f t="shared" si="11"/>
        <v>2477263</v>
      </c>
      <c r="O100" s="44">
        <v>4636452</v>
      </c>
      <c r="Q100" s="44">
        <v>7113715</v>
      </c>
      <c r="S100" s="44">
        <v>22695332</v>
      </c>
      <c r="U100" s="44">
        <f>2873538+174626+1104932</f>
        <v>4153096</v>
      </c>
      <c r="W100" s="44">
        <v>2601396</v>
      </c>
      <c r="Y100" s="44">
        <f t="shared" si="12"/>
        <v>29449824</v>
      </c>
      <c r="AB100" s="44">
        <f>+K100-Q100-Y100</f>
        <v>0</v>
      </c>
    </row>
    <row r="101" spans="1:28" ht="12.75" customHeight="1">
      <c r="A101" s="44" t="s">
        <v>126</v>
      </c>
      <c r="C101" s="44" t="s">
        <v>27</v>
      </c>
      <c r="E101" s="44">
        <f t="shared" si="10"/>
        <v>18900630</v>
      </c>
      <c r="G101" s="44">
        <f>3503786+43964644</f>
        <v>47468430</v>
      </c>
      <c r="I101" s="44">
        <v>0</v>
      </c>
      <c r="K101" s="44">
        <v>66369060</v>
      </c>
      <c r="M101" s="44">
        <f t="shared" si="11"/>
        <v>4209943</v>
      </c>
      <c r="O101" s="44">
        <v>14095468</v>
      </c>
      <c r="Q101" s="44">
        <v>18305411</v>
      </c>
      <c r="S101" s="44">
        <v>32886894</v>
      </c>
      <c r="U101" s="44">
        <f>8106555+89597+405455+176291</f>
        <v>8777898</v>
      </c>
      <c r="W101" s="44">
        <v>6398857</v>
      </c>
      <c r="Y101" s="44">
        <f t="shared" si="12"/>
        <v>48063649</v>
      </c>
      <c r="AB101" s="44">
        <f t="shared" si="13"/>
        <v>0</v>
      </c>
    </row>
    <row r="102" spans="1:28" ht="12.75" customHeight="1">
      <c r="A102" s="44" t="s">
        <v>127</v>
      </c>
      <c r="C102" s="44" t="s">
        <v>43</v>
      </c>
      <c r="E102" s="44">
        <f t="shared" si="10"/>
        <v>27354120</v>
      </c>
      <c r="G102" s="44">
        <f>361293584+13594736-137631776</f>
        <v>237256544</v>
      </c>
      <c r="I102" s="44">
        <v>0</v>
      </c>
      <c r="K102" s="44">
        <v>264610664</v>
      </c>
      <c r="M102" s="44">
        <f t="shared" si="11"/>
        <v>18863246</v>
      </c>
      <c r="O102" s="44">
        <v>39847255</v>
      </c>
      <c r="Q102" s="44">
        <v>58710501</v>
      </c>
      <c r="S102" s="44">
        <v>196643631</v>
      </c>
      <c r="U102" s="44">
        <f>205900163-197357798</f>
        <v>8542365</v>
      </c>
      <c r="W102" s="44">
        <v>714167</v>
      </c>
      <c r="Y102" s="44">
        <f t="shared" si="12"/>
        <v>205900163</v>
      </c>
      <c r="AB102" s="44">
        <f t="shared" si="13"/>
        <v>0</v>
      </c>
    </row>
    <row r="103" spans="1:28" ht="12.75" customHeight="1">
      <c r="A103" s="44" t="s">
        <v>128</v>
      </c>
      <c r="C103" s="44" t="s">
        <v>119</v>
      </c>
      <c r="E103" s="44">
        <f t="shared" si="10"/>
        <v>5085779</v>
      </c>
      <c r="G103" s="44">
        <f>515396+10975028</f>
        <v>11490424</v>
      </c>
      <c r="I103" s="44">
        <v>0</v>
      </c>
      <c r="K103" s="44">
        <v>16576203</v>
      </c>
      <c r="M103" s="44">
        <f t="shared" si="11"/>
        <v>779139</v>
      </c>
      <c r="O103" s="44">
        <v>1095527</v>
      </c>
      <c r="Q103" s="44">
        <v>1874666</v>
      </c>
      <c r="S103" s="44">
        <v>10602285</v>
      </c>
      <c r="U103" s="44">
        <f>336147+497212+933419</f>
        <v>1766778</v>
      </c>
      <c r="W103" s="44">
        <v>2332474</v>
      </c>
      <c r="Y103" s="44">
        <f t="shared" si="12"/>
        <v>14701537</v>
      </c>
      <c r="AB103" s="44">
        <f t="shared" si="13"/>
        <v>0</v>
      </c>
    </row>
    <row r="104" spans="1:28" ht="12.75" customHeight="1">
      <c r="A104" s="44" t="s">
        <v>129</v>
      </c>
      <c r="C104" s="44" t="s">
        <v>80</v>
      </c>
      <c r="E104" s="44">
        <f t="shared" si="10"/>
        <v>2556064</v>
      </c>
      <c r="G104" s="44">
        <v>5121308</v>
      </c>
      <c r="I104" s="44">
        <v>0</v>
      </c>
      <c r="K104" s="44">
        <v>7677372</v>
      </c>
      <c r="M104" s="44">
        <f t="shared" si="11"/>
        <v>1265805</v>
      </c>
      <c r="O104" s="44">
        <v>3796125</v>
      </c>
      <c r="Q104" s="44">
        <v>5061930</v>
      </c>
      <c r="S104" s="44">
        <v>1127245</v>
      </c>
      <c r="U104" s="44">
        <f>2615442-1862623</f>
        <v>752819</v>
      </c>
      <c r="W104" s="44">
        <v>735378</v>
      </c>
      <c r="Y104" s="44">
        <f t="shared" si="12"/>
        <v>2615442</v>
      </c>
      <c r="AB104" s="44">
        <f t="shared" si="13"/>
        <v>0</v>
      </c>
    </row>
    <row r="105" spans="1:28" ht="12.75" customHeight="1">
      <c r="A105" s="44" t="s">
        <v>130</v>
      </c>
      <c r="C105" s="44" t="s">
        <v>66</v>
      </c>
      <c r="E105" s="44">
        <f t="shared" si="10"/>
        <v>59656218</v>
      </c>
      <c r="G105" s="44">
        <f>23217907+72431305</f>
        <v>95649212</v>
      </c>
      <c r="I105" s="44">
        <v>0</v>
      </c>
      <c r="K105" s="44">
        <v>155305430</v>
      </c>
      <c r="M105" s="44">
        <f t="shared" si="11"/>
        <v>8295836</v>
      </c>
      <c r="O105" s="44">
        <v>24087598</v>
      </c>
      <c r="Q105" s="44">
        <v>32383434</v>
      </c>
      <c r="S105" s="44">
        <v>71404045</v>
      </c>
      <c r="U105" s="44">
        <v>39855863</v>
      </c>
      <c r="W105" s="44">
        <v>11662088</v>
      </c>
      <c r="Y105" s="44">
        <f t="shared" si="12"/>
        <v>122921996</v>
      </c>
      <c r="AB105" s="44">
        <f t="shared" si="13"/>
        <v>0</v>
      </c>
    </row>
    <row r="106" spans="1:28" ht="12.75" customHeight="1">
      <c r="A106" s="44" t="s">
        <v>131</v>
      </c>
      <c r="C106" s="44" t="s">
        <v>13</v>
      </c>
      <c r="E106" s="44">
        <f t="shared" si="10"/>
        <v>37788878</v>
      </c>
      <c r="G106" s="44">
        <f>12135870+87769835</f>
        <v>99905705</v>
      </c>
      <c r="I106" s="44">
        <v>0</v>
      </c>
      <c r="K106" s="44">
        <v>137694583</v>
      </c>
      <c r="M106" s="44">
        <f t="shared" si="11"/>
        <v>12711505</v>
      </c>
      <c r="O106" s="44">
        <v>27268977</v>
      </c>
      <c r="Q106" s="44">
        <v>39980482</v>
      </c>
      <c r="S106" s="44">
        <v>75236006</v>
      </c>
      <c r="U106" s="44">
        <f>1324960+882018+6092851+37877</f>
        <v>8337706</v>
      </c>
      <c r="W106" s="44">
        <v>14140389</v>
      </c>
      <c r="Y106" s="44">
        <f>S106+U106+W106</f>
        <v>97714101</v>
      </c>
      <c r="AB106" s="44">
        <f>+K106-Q106-Y106</f>
        <v>0</v>
      </c>
    </row>
    <row r="107" spans="1:28" ht="12.75" customHeight="1">
      <c r="A107" s="44" t="s">
        <v>38</v>
      </c>
      <c r="C107" s="44" t="s">
        <v>132</v>
      </c>
      <c r="E107" s="44">
        <f t="shared" si="10"/>
        <v>5440976</v>
      </c>
      <c r="G107" s="44">
        <f>524541+3008142</f>
        <v>3532683</v>
      </c>
      <c r="I107" s="44">
        <v>0</v>
      </c>
      <c r="K107" s="44">
        <v>8973659</v>
      </c>
      <c r="M107" s="44">
        <f t="shared" si="11"/>
        <v>2074984</v>
      </c>
      <c r="O107" s="44">
        <v>2663030</v>
      </c>
      <c r="Q107" s="44">
        <v>4738014</v>
      </c>
      <c r="S107" s="44">
        <v>1076164</v>
      </c>
      <c r="U107" s="44">
        <f>484672+31503+1464865</f>
        <v>1981040</v>
      </c>
      <c r="W107" s="44">
        <v>1178441</v>
      </c>
      <c r="Y107" s="44">
        <f t="shared" si="12"/>
        <v>4235645</v>
      </c>
      <c r="AB107" s="44">
        <f t="shared" si="13"/>
        <v>0</v>
      </c>
    </row>
    <row r="108" spans="1:28" ht="12.75" customHeight="1">
      <c r="A108" s="44" t="s">
        <v>133</v>
      </c>
      <c r="C108" s="44" t="s">
        <v>27</v>
      </c>
      <c r="E108" s="44">
        <f t="shared" si="10"/>
        <v>61353225</v>
      </c>
      <c r="G108" s="44">
        <f>16522993+76107413</f>
        <v>92630406</v>
      </c>
      <c r="I108" s="44">
        <v>0</v>
      </c>
      <c r="K108" s="44">
        <v>153983631</v>
      </c>
      <c r="M108" s="44">
        <f t="shared" si="11"/>
        <v>5753416</v>
      </c>
      <c r="O108" s="44">
        <v>60888195</v>
      </c>
      <c r="Q108" s="44">
        <v>66641611</v>
      </c>
      <c r="S108" s="44">
        <v>58712220</v>
      </c>
      <c r="U108" s="44">
        <f>87342020-73124570</f>
        <v>14217450</v>
      </c>
      <c r="W108" s="44">
        <v>14412350</v>
      </c>
      <c r="Y108" s="44">
        <f t="shared" si="12"/>
        <v>87342020</v>
      </c>
      <c r="AB108" s="44">
        <f t="shared" si="13"/>
        <v>0</v>
      </c>
    </row>
    <row r="109" spans="1:28" ht="12.75" customHeight="1">
      <c r="A109" s="44" t="s">
        <v>482</v>
      </c>
      <c r="C109" s="44" t="s">
        <v>45</v>
      </c>
      <c r="E109" s="44">
        <f t="shared" si="10"/>
        <v>23656171</v>
      </c>
      <c r="G109" s="44">
        <f>78676397+14834413</f>
        <v>93510810</v>
      </c>
      <c r="I109" s="44">
        <v>0</v>
      </c>
      <c r="K109" s="44">
        <v>117166981</v>
      </c>
      <c r="M109" s="44">
        <f t="shared" si="11"/>
        <v>2186759</v>
      </c>
      <c r="O109" s="44">
        <v>3395568</v>
      </c>
      <c r="Q109" s="44">
        <v>5582327</v>
      </c>
      <c r="S109" s="44">
        <v>90773740</v>
      </c>
      <c r="U109" s="44">
        <f>2739525+2207832+3371+745243</f>
        <v>5695971</v>
      </c>
      <c r="W109" s="44">
        <v>15114943</v>
      </c>
      <c r="Y109" s="44">
        <f t="shared" si="12"/>
        <v>111584654</v>
      </c>
      <c r="AB109" s="44">
        <f t="shared" si="13"/>
        <v>0</v>
      </c>
    </row>
    <row r="110" spans="1:28" ht="12.75" customHeight="1">
      <c r="A110" s="44" t="s">
        <v>136</v>
      </c>
      <c r="C110" s="44" t="s">
        <v>136</v>
      </c>
      <c r="E110" s="44">
        <f t="shared" si="10"/>
        <v>6199648</v>
      </c>
      <c r="G110" s="44">
        <f>1484816+6580415</f>
        <v>8065231</v>
      </c>
      <c r="I110" s="44">
        <v>0</v>
      </c>
      <c r="K110" s="44">
        <v>14264879</v>
      </c>
      <c r="M110" s="44">
        <f t="shared" si="11"/>
        <v>1272939</v>
      </c>
      <c r="O110" s="44">
        <v>556608</v>
      </c>
      <c r="Q110" s="44">
        <v>1829547</v>
      </c>
      <c r="S110" s="44">
        <v>7543680</v>
      </c>
      <c r="U110" s="44">
        <f>12435332-9333661</f>
        <v>3101671</v>
      </c>
      <c r="W110" s="44">
        <v>1789981</v>
      </c>
      <c r="Y110" s="44">
        <f t="shared" si="12"/>
        <v>12435332</v>
      </c>
      <c r="AB110" s="44">
        <f>+K110-Q110-Y110</f>
        <v>0</v>
      </c>
    </row>
    <row r="111" spans="1:28" ht="12.75" customHeight="1">
      <c r="A111" s="44" t="s">
        <v>137</v>
      </c>
      <c r="C111" s="44" t="s">
        <v>22</v>
      </c>
      <c r="E111" s="44">
        <f t="shared" si="10"/>
        <v>33312058</v>
      </c>
      <c r="G111" s="44">
        <f>10920494+25155428</f>
        <v>36075922</v>
      </c>
      <c r="I111" s="44">
        <v>0</v>
      </c>
      <c r="K111" s="44">
        <v>69387980</v>
      </c>
      <c r="M111" s="44">
        <f t="shared" si="11"/>
        <v>8584233</v>
      </c>
      <c r="O111" s="44">
        <v>2575641</v>
      </c>
      <c r="Q111" s="44">
        <v>11159874</v>
      </c>
      <c r="S111" s="44">
        <v>30315249</v>
      </c>
      <c r="U111" s="44">
        <f>58228106-46425500</f>
        <v>11802606</v>
      </c>
      <c r="W111" s="44">
        <v>16110251</v>
      </c>
      <c r="Y111" s="44">
        <f t="shared" si="12"/>
        <v>58228106</v>
      </c>
      <c r="AB111" s="44">
        <f t="shared" si="13"/>
        <v>0</v>
      </c>
    </row>
    <row r="112" spans="1:28" ht="12.75" hidden="1" customHeight="1">
      <c r="A112" s="44" t="s">
        <v>491</v>
      </c>
      <c r="C112" s="44" t="s">
        <v>139</v>
      </c>
      <c r="E112" s="44">
        <f t="shared" si="10"/>
        <v>0</v>
      </c>
      <c r="M112" s="44">
        <f t="shared" si="11"/>
        <v>0</v>
      </c>
      <c r="Y112" s="44">
        <f t="shared" si="12"/>
        <v>0</v>
      </c>
      <c r="AB112" s="44">
        <f t="shared" si="13"/>
        <v>0</v>
      </c>
    </row>
    <row r="113" spans="1:28" ht="12.75" customHeight="1">
      <c r="A113" s="44" t="s">
        <v>140</v>
      </c>
      <c r="C113" s="44" t="s">
        <v>66</v>
      </c>
      <c r="E113" s="44">
        <f t="shared" si="10"/>
        <v>74170470</v>
      </c>
      <c r="G113" s="44">
        <f>10521411+110253593</f>
        <v>120775004</v>
      </c>
      <c r="I113" s="44">
        <v>0</v>
      </c>
      <c r="K113" s="44">
        <v>194945474</v>
      </c>
      <c r="M113" s="44">
        <f t="shared" si="11"/>
        <v>19698630</v>
      </c>
      <c r="O113" s="44">
        <v>7998465</v>
      </c>
      <c r="Q113" s="44">
        <v>27697095</v>
      </c>
      <c r="S113" s="44">
        <v>113942666</v>
      </c>
      <c r="U113" s="44">
        <f>12367+1409593+5910129+1054048+900453</f>
        <v>9286590</v>
      </c>
      <c r="W113" s="44">
        <v>44019123</v>
      </c>
      <c r="Y113" s="44">
        <f t="shared" si="12"/>
        <v>167248379</v>
      </c>
      <c r="AB113" s="44">
        <f t="shared" si="13"/>
        <v>0</v>
      </c>
    </row>
    <row r="114" spans="1:28" ht="12.75" customHeight="1">
      <c r="A114" s="44" t="s">
        <v>478</v>
      </c>
      <c r="C114" s="44" t="s">
        <v>92</v>
      </c>
      <c r="E114" s="44">
        <f t="shared" si="10"/>
        <v>4475162</v>
      </c>
      <c r="G114" s="44">
        <f>1364557+17459784</f>
        <v>18824341</v>
      </c>
      <c r="I114" s="44">
        <v>0</v>
      </c>
      <c r="K114" s="44">
        <v>23299503</v>
      </c>
      <c r="M114" s="44">
        <f t="shared" si="11"/>
        <v>3386946</v>
      </c>
      <c r="O114" s="44">
        <v>3341076</v>
      </c>
      <c r="Q114" s="44">
        <v>6728022</v>
      </c>
      <c r="S114" s="44">
        <v>14384561</v>
      </c>
      <c r="U114" s="44">
        <f>16571481-15325524</f>
        <v>1245957</v>
      </c>
      <c r="W114" s="44">
        <v>940963</v>
      </c>
      <c r="Y114" s="44">
        <f t="shared" si="12"/>
        <v>16571481</v>
      </c>
      <c r="AB114" s="44">
        <f t="shared" si="13"/>
        <v>0</v>
      </c>
    </row>
    <row r="115" spans="1:28" ht="12.75" customHeight="1">
      <c r="A115" s="44" t="s">
        <v>141</v>
      </c>
      <c r="C115" s="44" t="s">
        <v>27</v>
      </c>
      <c r="E115" s="44">
        <f t="shared" si="10"/>
        <v>39881246</v>
      </c>
      <c r="G115" s="44">
        <f>7755919+55880690</f>
        <v>63636609</v>
      </c>
      <c r="I115" s="44">
        <v>0</v>
      </c>
      <c r="K115" s="44">
        <v>103517855</v>
      </c>
      <c r="M115" s="44">
        <f t="shared" si="11"/>
        <v>24139965</v>
      </c>
      <c r="O115" s="44">
        <v>46581753</v>
      </c>
      <c r="Q115" s="44">
        <v>70721718</v>
      </c>
      <c r="S115" s="44">
        <v>19375518</v>
      </c>
      <c r="U115" s="44">
        <v>6448848</v>
      </c>
      <c r="W115" s="44">
        <v>6971771</v>
      </c>
      <c r="Y115" s="44">
        <f t="shared" si="12"/>
        <v>32796137</v>
      </c>
      <c r="AB115" s="44">
        <f t="shared" si="13"/>
        <v>0</v>
      </c>
    </row>
    <row r="116" spans="1:28" ht="12.75" customHeight="1">
      <c r="A116" s="44" t="s">
        <v>142</v>
      </c>
      <c r="C116" s="44" t="s">
        <v>102</v>
      </c>
      <c r="E116" s="44">
        <f t="shared" si="10"/>
        <v>24822989</v>
      </c>
      <c r="G116" s="44">
        <f>18963535+20301900</f>
        <v>39265435</v>
      </c>
      <c r="I116" s="44">
        <v>0</v>
      </c>
      <c r="K116" s="44">
        <v>64088424</v>
      </c>
      <c r="M116" s="44">
        <f t="shared" si="11"/>
        <v>14919018</v>
      </c>
      <c r="O116" s="44">
        <v>9225231</v>
      </c>
      <c r="Q116" s="44">
        <v>24144249</v>
      </c>
      <c r="S116" s="44">
        <v>28508541</v>
      </c>
      <c r="U116" s="44">
        <f>39944175-31379376</f>
        <v>8564799</v>
      </c>
      <c r="W116" s="44">
        <v>2870835</v>
      </c>
      <c r="Y116" s="44">
        <f t="shared" si="12"/>
        <v>39944175</v>
      </c>
      <c r="AB116" s="44">
        <f t="shared" si="13"/>
        <v>0</v>
      </c>
    </row>
    <row r="117" spans="1:28" ht="12.75" customHeight="1">
      <c r="A117" s="44" t="s">
        <v>143</v>
      </c>
      <c r="C117" s="44" t="s">
        <v>111</v>
      </c>
      <c r="E117" s="44">
        <f t="shared" si="10"/>
        <v>44582700</v>
      </c>
      <c r="G117" s="44">
        <f>14278593+29770599</f>
        <v>44049192</v>
      </c>
      <c r="I117" s="44">
        <v>0</v>
      </c>
      <c r="K117" s="44">
        <v>88631892</v>
      </c>
      <c r="M117" s="44">
        <f t="shared" si="11"/>
        <v>6592702</v>
      </c>
      <c r="O117" s="44">
        <v>11849896</v>
      </c>
      <c r="Q117" s="44">
        <v>18442598</v>
      </c>
      <c r="S117" s="44">
        <v>35598684</v>
      </c>
      <c r="U117" s="44">
        <f>70189294-41640724</f>
        <v>28548570</v>
      </c>
      <c r="W117" s="44">
        <v>6042040</v>
      </c>
      <c r="Y117" s="44">
        <f t="shared" si="12"/>
        <v>70189294</v>
      </c>
      <c r="AB117" s="44">
        <f t="shared" si="13"/>
        <v>0</v>
      </c>
    </row>
    <row r="118" spans="1:28" ht="12.75" customHeight="1">
      <c r="A118" s="44" t="s">
        <v>144</v>
      </c>
      <c r="C118" s="44" t="s">
        <v>88</v>
      </c>
      <c r="E118" s="44">
        <f t="shared" si="10"/>
        <v>33050394</v>
      </c>
      <c r="G118" s="44">
        <f>7280861+35495804</f>
        <v>42776665</v>
      </c>
      <c r="I118" s="44">
        <v>0</v>
      </c>
      <c r="K118" s="44">
        <v>75827059</v>
      </c>
      <c r="M118" s="44">
        <f t="shared" si="11"/>
        <v>17038066</v>
      </c>
      <c r="O118" s="44">
        <v>3625210</v>
      </c>
      <c r="Q118" s="44">
        <v>20663276</v>
      </c>
      <c r="S118" s="44">
        <v>40891497</v>
      </c>
      <c r="U118" s="44">
        <f>142829+434498+6321091</f>
        <v>6898418</v>
      </c>
      <c r="W118" s="44">
        <v>7373868</v>
      </c>
      <c r="Y118" s="44">
        <f t="shared" si="12"/>
        <v>55163783</v>
      </c>
      <c r="AB118" s="44">
        <f t="shared" si="13"/>
        <v>0</v>
      </c>
    </row>
    <row r="119" spans="1:28" ht="12.75" customHeight="1">
      <c r="A119" s="44" t="s">
        <v>36</v>
      </c>
      <c r="C119" s="44" t="s">
        <v>145</v>
      </c>
      <c r="E119" s="44">
        <f t="shared" si="10"/>
        <v>3519280</v>
      </c>
      <c r="G119" s="44">
        <f>982863+5637895</f>
        <v>6620758</v>
      </c>
      <c r="I119" s="44">
        <v>0</v>
      </c>
      <c r="K119" s="44">
        <v>10140038</v>
      </c>
      <c r="M119" s="44">
        <f t="shared" si="11"/>
        <v>833251</v>
      </c>
      <c r="O119" s="44">
        <v>583224</v>
      </c>
      <c r="Q119" s="44">
        <v>1416475</v>
      </c>
      <c r="S119" s="44">
        <v>6141928</v>
      </c>
      <c r="U119" s="44">
        <f>8723563-7577300</f>
        <v>1146263</v>
      </c>
      <c r="W119" s="44">
        <v>1435372</v>
      </c>
      <c r="Y119" s="44">
        <f t="shared" si="12"/>
        <v>8723563</v>
      </c>
      <c r="AB119" s="44">
        <f t="shared" si="13"/>
        <v>0</v>
      </c>
    </row>
    <row r="120" spans="1:28" ht="12.75" customHeight="1">
      <c r="A120" s="44" t="s">
        <v>146</v>
      </c>
      <c r="C120" s="44" t="s">
        <v>147</v>
      </c>
      <c r="E120" s="44">
        <f t="shared" si="10"/>
        <v>6283824</v>
      </c>
      <c r="G120" s="44">
        <f>538924+13552596</f>
        <v>14091520</v>
      </c>
      <c r="I120" s="44">
        <v>0</v>
      </c>
      <c r="K120" s="44">
        <v>20375344</v>
      </c>
      <c r="M120" s="44">
        <f t="shared" si="11"/>
        <v>1882288</v>
      </c>
      <c r="O120" s="44">
        <v>1519713</v>
      </c>
      <c r="Q120" s="44">
        <v>3402001</v>
      </c>
      <c r="S120" s="44">
        <v>12708052</v>
      </c>
      <c r="U120" s="44">
        <v>1581660</v>
      </c>
      <c r="W120" s="44">
        <v>2683631</v>
      </c>
      <c r="Y120" s="44">
        <f t="shared" si="12"/>
        <v>16973343</v>
      </c>
      <c r="AB120" s="44">
        <f t="shared" si="13"/>
        <v>0</v>
      </c>
    </row>
    <row r="121" spans="1:28" ht="12.75" customHeight="1">
      <c r="A121" s="44" t="s">
        <v>17</v>
      </c>
      <c r="C121" s="44" t="s">
        <v>17</v>
      </c>
      <c r="E121" s="44">
        <f t="shared" si="10"/>
        <v>43416124</v>
      </c>
      <c r="G121" s="44">
        <f>19489797+109501455</f>
        <v>128991252</v>
      </c>
      <c r="I121" s="44">
        <v>0</v>
      </c>
      <c r="K121" s="44">
        <v>172407376</v>
      </c>
      <c r="M121" s="44">
        <f t="shared" si="11"/>
        <v>15517020</v>
      </c>
      <c r="O121" s="44">
        <v>49397841</v>
      </c>
      <c r="Q121" s="44">
        <v>64914861</v>
      </c>
      <c r="S121" s="44">
        <v>85270139</v>
      </c>
      <c r="U121" s="44">
        <f>107492515-82557081</f>
        <v>24935434</v>
      </c>
      <c r="W121" s="44">
        <v>-2713058</v>
      </c>
      <c r="Y121" s="44">
        <f t="shared" si="12"/>
        <v>107492515</v>
      </c>
      <c r="AB121" s="44">
        <f t="shared" si="13"/>
        <v>0</v>
      </c>
    </row>
    <row r="122" spans="1:28" ht="12.75" customHeight="1">
      <c r="A122" s="44" t="s">
        <v>148</v>
      </c>
      <c r="C122" s="44" t="s">
        <v>15</v>
      </c>
      <c r="E122" s="44">
        <f t="shared" si="10"/>
        <v>3304588</v>
      </c>
      <c r="G122" s="44">
        <f>698860+2807699</f>
        <v>3506559</v>
      </c>
      <c r="I122" s="44">
        <v>0</v>
      </c>
      <c r="K122" s="44">
        <v>6811147</v>
      </c>
      <c r="M122" s="44">
        <f t="shared" si="11"/>
        <v>843781</v>
      </c>
      <c r="O122" s="44">
        <v>537771</v>
      </c>
      <c r="Q122" s="44">
        <v>1381552</v>
      </c>
      <c r="S122" s="44">
        <v>3048125</v>
      </c>
      <c r="U122" s="44">
        <f>5429595-4675466</f>
        <v>754129</v>
      </c>
      <c r="W122" s="44">
        <v>1627341</v>
      </c>
      <c r="Y122" s="44">
        <f t="shared" si="12"/>
        <v>5429595</v>
      </c>
      <c r="AB122" s="44">
        <f t="shared" si="13"/>
        <v>0</v>
      </c>
    </row>
    <row r="123" spans="1:28" ht="12.75" customHeight="1">
      <c r="A123" s="44" t="s">
        <v>149</v>
      </c>
      <c r="C123" s="44" t="s">
        <v>45</v>
      </c>
      <c r="E123" s="44">
        <f t="shared" si="10"/>
        <v>8994858</v>
      </c>
      <c r="G123" s="44">
        <f>4247285+17537435</f>
        <v>21784720</v>
      </c>
      <c r="I123" s="44">
        <v>0</v>
      </c>
      <c r="K123" s="44">
        <v>30779578</v>
      </c>
      <c r="M123" s="44">
        <f t="shared" si="11"/>
        <v>6260052</v>
      </c>
      <c r="O123" s="44">
        <v>7160209</v>
      </c>
      <c r="Q123" s="44">
        <v>13420261</v>
      </c>
      <c r="S123" s="44">
        <v>14758258</v>
      </c>
      <c r="U123" s="44">
        <f>559530+2745722</f>
        <v>3305252</v>
      </c>
      <c r="W123" s="44">
        <v>-704193</v>
      </c>
      <c r="Y123" s="44">
        <f t="shared" si="12"/>
        <v>17359317</v>
      </c>
      <c r="AB123" s="44">
        <f t="shared" si="13"/>
        <v>0</v>
      </c>
    </row>
    <row r="124" spans="1:28" ht="12.75" customHeight="1">
      <c r="A124" s="44" t="s">
        <v>150</v>
      </c>
      <c r="C124" s="44" t="s">
        <v>27</v>
      </c>
      <c r="E124" s="44">
        <f t="shared" si="10"/>
        <v>26958058</v>
      </c>
      <c r="G124" s="44">
        <v>76518019</v>
      </c>
      <c r="I124" s="44">
        <v>0</v>
      </c>
      <c r="K124" s="44">
        <v>103476077</v>
      </c>
      <c r="M124" s="44">
        <f t="shared" si="11"/>
        <v>6939260</v>
      </c>
      <c r="O124" s="44">
        <v>2901493</v>
      </c>
      <c r="Q124" s="44">
        <v>9840753</v>
      </c>
      <c r="S124" s="44">
        <v>73486752</v>
      </c>
      <c r="U124" s="44">
        <f>9175325+2296210+3911229</f>
        <v>15382764</v>
      </c>
      <c r="W124" s="44">
        <v>4765808</v>
      </c>
      <c r="Y124" s="44">
        <f t="shared" si="12"/>
        <v>93635324</v>
      </c>
      <c r="AB124" s="44">
        <f t="shared" si="13"/>
        <v>0</v>
      </c>
    </row>
    <row r="125" spans="1:28" ht="12.75" customHeight="1">
      <c r="A125" s="44" t="s">
        <v>151</v>
      </c>
      <c r="C125" s="44" t="s">
        <v>13</v>
      </c>
      <c r="E125" s="44">
        <f t="shared" si="10"/>
        <v>12583066</v>
      </c>
      <c r="G125" s="44">
        <f>7829917+37065571</f>
        <v>44895488</v>
      </c>
      <c r="I125" s="44">
        <v>0</v>
      </c>
      <c r="K125" s="44">
        <v>57478554</v>
      </c>
      <c r="M125" s="44">
        <f t="shared" si="11"/>
        <v>6412273</v>
      </c>
      <c r="O125" s="44">
        <v>13903313</v>
      </c>
      <c r="Q125" s="44">
        <v>20315586</v>
      </c>
      <c r="S125" s="44">
        <v>30821661</v>
      </c>
      <c r="U125" s="44">
        <f>37162968-32508141</f>
        <v>4654827</v>
      </c>
      <c r="W125" s="44">
        <v>1686480</v>
      </c>
      <c r="Y125" s="44">
        <f t="shared" si="12"/>
        <v>37162968</v>
      </c>
      <c r="AB125" s="44">
        <f t="shared" si="13"/>
        <v>0</v>
      </c>
    </row>
    <row r="126" spans="1:28" ht="12.75" customHeight="1">
      <c r="A126" s="44" t="s">
        <v>481</v>
      </c>
      <c r="C126" s="44" t="s">
        <v>45</v>
      </c>
      <c r="E126" s="44">
        <f t="shared" si="10"/>
        <v>6070666</v>
      </c>
      <c r="G126" s="44">
        <f>645000+4496938</f>
        <v>5141938</v>
      </c>
      <c r="I126" s="44">
        <v>0</v>
      </c>
      <c r="K126" s="44">
        <v>11212604</v>
      </c>
      <c r="M126" s="44">
        <f t="shared" si="11"/>
        <v>2784886</v>
      </c>
      <c r="O126" s="44">
        <v>588572</v>
      </c>
      <c r="Q126" s="44">
        <v>3373458</v>
      </c>
      <c r="S126" s="44">
        <v>4326938</v>
      </c>
      <c r="U126" s="44">
        <v>481166</v>
      </c>
      <c r="W126" s="44">
        <v>3031042</v>
      </c>
      <c r="Y126" s="44">
        <f t="shared" si="12"/>
        <v>7839146</v>
      </c>
      <c r="AB126" s="44">
        <f t="shared" si="13"/>
        <v>0</v>
      </c>
    </row>
    <row r="127" spans="1:28" ht="12.75" customHeight="1">
      <c r="A127" s="44" t="s">
        <v>152</v>
      </c>
      <c r="C127" s="44" t="s">
        <v>153</v>
      </c>
      <c r="E127" s="44">
        <f t="shared" si="10"/>
        <v>29117544</v>
      </c>
      <c r="G127" s="44">
        <v>50705562</v>
      </c>
      <c r="I127" s="44">
        <v>0</v>
      </c>
      <c r="K127" s="44">
        <v>79823106</v>
      </c>
      <c r="M127" s="44">
        <f t="shared" si="11"/>
        <v>10863622</v>
      </c>
      <c r="O127" s="44">
        <v>9180065</v>
      </c>
      <c r="Q127" s="44">
        <v>20043687</v>
      </c>
      <c r="S127" s="44">
        <v>46575580</v>
      </c>
      <c r="U127" s="44">
        <f>59779419-47694029</f>
        <v>12085390</v>
      </c>
      <c r="W127" s="44">
        <v>1118449</v>
      </c>
      <c r="Y127" s="44">
        <f t="shared" si="12"/>
        <v>59779419</v>
      </c>
      <c r="AB127" s="44">
        <f t="shared" si="13"/>
        <v>0</v>
      </c>
    </row>
    <row r="128" spans="1:28" ht="12.75" hidden="1" customHeight="1">
      <c r="A128" s="44" t="s">
        <v>154</v>
      </c>
      <c r="C128" s="44" t="s">
        <v>27</v>
      </c>
      <c r="E128" s="44">
        <f t="shared" si="10"/>
        <v>0</v>
      </c>
      <c r="G128" s="44">
        <v>0</v>
      </c>
      <c r="I128" s="44">
        <v>0</v>
      </c>
      <c r="K128" s="44">
        <v>0</v>
      </c>
      <c r="M128" s="44">
        <f t="shared" si="11"/>
        <v>0</v>
      </c>
      <c r="O128" s="44">
        <v>0</v>
      </c>
      <c r="Q128" s="44">
        <v>0</v>
      </c>
      <c r="S128" s="44">
        <v>0</v>
      </c>
      <c r="U128" s="44">
        <v>0</v>
      </c>
      <c r="W128" s="44">
        <v>0</v>
      </c>
      <c r="Y128" s="44">
        <f t="shared" si="12"/>
        <v>0</v>
      </c>
      <c r="AB128" s="44">
        <f t="shared" si="13"/>
        <v>0</v>
      </c>
    </row>
    <row r="129" spans="1:28" ht="12.75" customHeight="1">
      <c r="A129" s="44" t="s">
        <v>155</v>
      </c>
      <c r="C129" s="44" t="s">
        <v>40</v>
      </c>
      <c r="E129" s="44">
        <f t="shared" si="10"/>
        <v>14668792</v>
      </c>
      <c r="G129" s="44">
        <f>3983321+15246029</f>
        <v>19229350</v>
      </c>
      <c r="I129" s="44">
        <v>0</v>
      </c>
      <c r="K129" s="44">
        <v>33898142</v>
      </c>
      <c r="M129" s="44">
        <f t="shared" si="11"/>
        <v>3257546</v>
      </c>
      <c r="O129" s="44">
        <v>2364937</v>
      </c>
      <c r="Q129" s="44">
        <v>5622483</v>
      </c>
      <c r="S129" s="44">
        <v>18190581</v>
      </c>
      <c r="U129" s="44">
        <v>8651505</v>
      </c>
      <c r="W129" s="44">
        <v>1433573</v>
      </c>
      <c r="Y129" s="44">
        <f t="shared" si="12"/>
        <v>28275659</v>
      </c>
      <c r="AB129" s="44">
        <f t="shared" si="13"/>
        <v>0</v>
      </c>
    </row>
    <row r="130" spans="1:28" ht="12.75" customHeight="1">
      <c r="Y130" s="48" t="s">
        <v>484</v>
      </c>
    </row>
    <row r="131" spans="1:28" ht="12.75" customHeight="1">
      <c r="A131" s="44" t="s">
        <v>156</v>
      </c>
      <c r="C131" s="44" t="s">
        <v>156</v>
      </c>
      <c r="E131" s="46">
        <f t="shared" si="10"/>
        <v>20360615</v>
      </c>
      <c r="F131" s="46"/>
      <c r="G131" s="46">
        <f>10284493+46529265</f>
        <v>56813758</v>
      </c>
      <c r="H131" s="46"/>
      <c r="I131" s="46">
        <v>0</v>
      </c>
      <c r="J131" s="46"/>
      <c r="K131" s="46">
        <v>77174373</v>
      </c>
      <c r="L131" s="46"/>
      <c r="M131" s="46">
        <f t="shared" si="11"/>
        <v>9396759</v>
      </c>
      <c r="N131" s="46"/>
      <c r="O131" s="46">
        <v>5717049</v>
      </c>
      <c r="P131" s="46"/>
      <c r="Q131" s="46">
        <v>15113808</v>
      </c>
      <c r="R131" s="46"/>
      <c r="S131" s="46">
        <v>52708806</v>
      </c>
      <c r="T131" s="46"/>
      <c r="U131" s="46">
        <v>7655067</v>
      </c>
      <c r="V131" s="46"/>
      <c r="W131" s="46">
        <v>1696692</v>
      </c>
      <c r="X131" s="46"/>
      <c r="Y131" s="46">
        <f t="shared" si="12"/>
        <v>62060565</v>
      </c>
      <c r="Z131" s="46"/>
      <c r="AA131" s="46"/>
      <c r="AB131" s="46">
        <f t="shared" si="13"/>
        <v>0</v>
      </c>
    </row>
    <row r="132" spans="1:28" ht="12.75" customHeight="1">
      <c r="A132" s="44" t="s">
        <v>157</v>
      </c>
      <c r="C132" s="44" t="s">
        <v>33</v>
      </c>
      <c r="E132" s="44">
        <f t="shared" si="10"/>
        <v>4794759</v>
      </c>
      <c r="G132" s="44">
        <f>1111873+1941284</f>
        <v>3053157</v>
      </c>
      <c r="I132" s="44">
        <v>0</v>
      </c>
      <c r="K132" s="44">
        <v>7847916</v>
      </c>
      <c r="M132" s="44">
        <f t="shared" si="11"/>
        <v>831755</v>
      </c>
      <c r="O132" s="44">
        <v>272236</v>
      </c>
      <c r="Q132" s="44">
        <v>1103991</v>
      </c>
      <c r="S132" s="44">
        <v>2755886</v>
      </c>
      <c r="U132" s="44">
        <f>1406946+1764654</f>
        <v>3171600</v>
      </c>
      <c r="W132" s="44">
        <v>816439</v>
      </c>
      <c r="Y132" s="44">
        <f t="shared" si="12"/>
        <v>6743925</v>
      </c>
      <c r="AB132" s="44">
        <f t="shared" si="13"/>
        <v>0</v>
      </c>
    </row>
    <row r="133" spans="1:28" ht="12.75" customHeight="1">
      <c r="A133" s="44" t="s">
        <v>158</v>
      </c>
      <c r="C133" s="44" t="s">
        <v>159</v>
      </c>
      <c r="E133" s="44">
        <f t="shared" si="10"/>
        <v>20346638</v>
      </c>
      <c r="G133" s="44">
        <v>36080906</v>
      </c>
      <c r="I133" s="44">
        <v>0</v>
      </c>
      <c r="K133" s="44">
        <v>56427544</v>
      </c>
      <c r="M133" s="44">
        <f t="shared" si="11"/>
        <v>18852201</v>
      </c>
      <c r="O133" s="44">
        <v>7294775</v>
      </c>
      <c r="Q133" s="44">
        <v>26146976</v>
      </c>
      <c r="S133" s="44">
        <v>21116933</v>
      </c>
      <c r="U133" s="44">
        <v>4008736</v>
      </c>
      <c r="W133" s="44">
        <v>5154899</v>
      </c>
      <c r="Y133" s="44">
        <f t="shared" si="12"/>
        <v>30280568</v>
      </c>
      <c r="AB133" s="44">
        <f t="shared" si="13"/>
        <v>0</v>
      </c>
    </row>
    <row r="134" spans="1:28" s="46" customFormat="1" ht="12.75" customHeight="1">
      <c r="A134" s="46" t="s">
        <v>160</v>
      </c>
      <c r="C134" s="46" t="s">
        <v>111</v>
      </c>
      <c r="E134" s="44">
        <f t="shared" si="10"/>
        <v>63818769</v>
      </c>
      <c r="F134" s="44"/>
      <c r="G134" s="44">
        <f>66821315+90746129</f>
        <v>157567444</v>
      </c>
      <c r="H134" s="44"/>
      <c r="I134" s="44">
        <v>0</v>
      </c>
      <c r="J134" s="44"/>
      <c r="K134" s="44">
        <v>221386213</v>
      </c>
      <c r="L134" s="44"/>
      <c r="M134" s="44">
        <f t="shared" si="11"/>
        <v>18531756</v>
      </c>
      <c r="N134" s="44"/>
      <c r="O134" s="44">
        <v>41966949</v>
      </c>
      <c r="P134" s="44"/>
      <c r="Q134" s="44">
        <v>60498705</v>
      </c>
      <c r="R134" s="44"/>
      <c r="S134" s="44">
        <v>110110444</v>
      </c>
      <c r="T134" s="44"/>
      <c r="U134" s="44">
        <v>19808883</v>
      </c>
      <c r="V134" s="44"/>
      <c r="W134" s="44">
        <v>30968181</v>
      </c>
      <c r="X134" s="44"/>
      <c r="Y134" s="44">
        <f t="shared" si="12"/>
        <v>160887508</v>
      </c>
      <c r="Z134" s="44"/>
      <c r="AA134" s="44"/>
      <c r="AB134" s="44">
        <f t="shared" si="13"/>
        <v>0</v>
      </c>
    </row>
    <row r="135" spans="1:28" ht="12.75" customHeight="1">
      <c r="A135" s="44" t="s">
        <v>161</v>
      </c>
      <c r="C135" s="44" t="s">
        <v>15</v>
      </c>
      <c r="E135" s="44">
        <f t="shared" si="10"/>
        <v>21005329</v>
      </c>
      <c r="G135" s="44">
        <f>9295395+29609481</f>
        <v>38904876</v>
      </c>
      <c r="I135" s="44">
        <v>0</v>
      </c>
      <c r="K135" s="44">
        <v>59910205</v>
      </c>
      <c r="M135" s="44">
        <f t="shared" si="11"/>
        <v>7568080</v>
      </c>
      <c r="O135" s="44">
        <v>24389487</v>
      </c>
      <c r="Q135" s="44">
        <v>31957567</v>
      </c>
      <c r="S135" s="44">
        <v>19804699</v>
      </c>
      <c r="U135" s="44">
        <v>-1148433</v>
      </c>
      <c r="W135" s="44">
        <v>9296372</v>
      </c>
      <c r="Y135" s="44">
        <f t="shared" si="12"/>
        <v>27952638</v>
      </c>
      <c r="AB135" s="44">
        <f t="shared" si="13"/>
        <v>0</v>
      </c>
    </row>
    <row r="136" spans="1:28" ht="12.75" customHeight="1">
      <c r="A136" s="44" t="s">
        <v>162</v>
      </c>
      <c r="C136" s="44" t="s">
        <v>163</v>
      </c>
      <c r="E136" s="44">
        <f t="shared" si="10"/>
        <v>39957179</v>
      </c>
      <c r="G136" s="44">
        <f>7262673+65643587</f>
        <v>72906260</v>
      </c>
      <c r="I136" s="44">
        <v>0</v>
      </c>
      <c r="K136" s="44">
        <v>112863439</v>
      </c>
      <c r="M136" s="44">
        <f t="shared" si="11"/>
        <v>5840870</v>
      </c>
      <c r="O136" s="44">
        <v>24060239</v>
      </c>
      <c r="Q136" s="44">
        <v>29901109</v>
      </c>
      <c r="S136" s="44">
        <v>54670702</v>
      </c>
      <c r="U136" s="44">
        <v>4526100</v>
      </c>
      <c r="W136" s="44">
        <v>23765528</v>
      </c>
      <c r="Y136" s="44">
        <f t="shared" si="12"/>
        <v>82962330</v>
      </c>
      <c r="AB136" s="44">
        <f t="shared" si="13"/>
        <v>0</v>
      </c>
    </row>
    <row r="137" spans="1:28" ht="12.75" customHeight="1">
      <c r="A137" s="44" t="s">
        <v>164</v>
      </c>
      <c r="C137" s="44" t="s">
        <v>27</v>
      </c>
      <c r="E137" s="44">
        <f t="shared" si="10"/>
        <v>31381254</v>
      </c>
      <c r="G137" s="44">
        <f>9268316+28469985</f>
        <v>37738301</v>
      </c>
      <c r="I137" s="44">
        <v>0</v>
      </c>
      <c r="K137" s="44">
        <v>69119555</v>
      </c>
      <c r="M137" s="44">
        <f t="shared" si="11"/>
        <v>7424762</v>
      </c>
      <c r="O137" s="44">
        <v>9394917</v>
      </c>
      <c r="Q137" s="44">
        <v>16819679</v>
      </c>
      <c r="S137" s="44">
        <v>32550471</v>
      </c>
      <c r="U137" s="44">
        <v>464079</v>
      </c>
      <c r="W137" s="44">
        <v>19285326</v>
      </c>
      <c r="Y137" s="44">
        <f t="shared" ref="Y137:Y197" si="14">S137+U137+W137</f>
        <v>52299876</v>
      </c>
      <c r="AB137" s="44">
        <f t="shared" si="13"/>
        <v>0</v>
      </c>
    </row>
    <row r="138" spans="1:28" ht="12.75" customHeight="1">
      <c r="A138" s="44" t="s">
        <v>53</v>
      </c>
      <c r="C138" s="44" t="s">
        <v>53</v>
      </c>
      <c r="E138" s="44">
        <f t="shared" si="10"/>
        <v>41695138</v>
      </c>
      <c r="G138" s="44">
        <f>3494461+14875441</f>
        <v>18369902</v>
      </c>
      <c r="I138" s="44">
        <v>0</v>
      </c>
      <c r="K138" s="44">
        <v>60065040</v>
      </c>
      <c r="M138" s="44">
        <f t="shared" si="11"/>
        <v>4632309</v>
      </c>
      <c r="O138" s="44">
        <v>2164431</v>
      </c>
      <c r="Q138" s="44">
        <v>6796740</v>
      </c>
      <c r="S138" s="44">
        <v>16236683</v>
      </c>
      <c r="U138" s="44">
        <v>23548578</v>
      </c>
      <c r="W138" s="44">
        <v>13483039</v>
      </c>
      <c r="Y138" s="44">
        <f t="shared" si="14"/>
        <v>53268300</v>
      </c>
      <c r="AB138" s="44">
        <f t="shared" si="13"/>
        <v>0</v>
      </c>
    </row>
    <row r="139" spans="1:28" ht="12.75" customHeight="1">
      <c r="A139" s="44" t="s">
        <v>165</v>
      </c>
      <c r="C139" s="44" t="s">
        <v>92</v>
      </c>
      <c r="E139" s="44">
        <f t="shared" si="10"/>
        <v>60604143</v>
      </c>
      <c r="G139" s="44">
        <f>64435771+114452076</f>
        <v>178887847</v>
      </c>
      <c r="I139" s="44">
        <v>0</v>
      </c>
      <c r="K139" s="44">
        <v>239491990</v>
      </c>
      <c r="M139" s="44">
        <f t="shared" si="11"/>
        <v>17556213</v>
      </c>
      <c r="O139" s="44">
        <v>30476000</v>
      </c>
      <c r="Q139" s="44">
        <v>48032213</v>
      </c>
      <c r="S139" s="44">
        <v>143783114</v>
      </c>
      <c r="U139" s="44">
        <v>26640007</v>
      </c>
      <c r="W139" s="44">
        <v>21036656</v>
      </c>
      <c r="Y139" s="44">
        <f t="shared" si="14"/>
        <v>191459777</v>
      </c>
      <c r="AB139" s="44">
        <f t="shared" si="13"/>
        <v>0</v>
      </c>
    </row>
    <row r="140" spans="1:28" ht="12.75" customHeight="1">
      <c r="A140" s="44" t="s">
        <v>166</v>
      </c>
      <c r="C140" s="44" t="s">
        <v>92</v>
      </c>
      <c r="E140" s="44">
        <f t="shared" si="10"/>
        <v>5286945</v>
      </c>
      <c r="G140" s="44">
        <f>3704899+2874899</f>
        <v>6579798</v>
      </c>
      <c r="I140" s="44">
        <v>0</v>
      </c>
      <c r="K140" s="44">
        <v>11866743</v>
      </c>
      <c r="M140" s="44">
        <f t="shared" si="11"/>
        <v>3594321</v>
      </c>
      <c r="O140" s="44">
        <v>2325362</v>
      </c>
      <c r="Q140" s="44">
        <v>5919683</v>
      </c>
      <c r="S140" s="44">
        <v>3314320</v>
      </c>
      <c r="U140" s="44">
        <v>1764066</v>
      </c>
      <c r="W140" s="44">
        <v>868674</v>
      </c>
      <c r="Y140" s="44">
        <f t="shared" si="14"/>
        <v>5947060</v>
      </c>
      <c r="AB140" s="44">
        <f t="shared" si="13"/>
        <v>0</v>
      </c>
    </row>
    <row r="141" spans="1:28" ht="12.75" customHeight="1">
      <c r="A141" s="44" t="s">
        <v>167</v>
      </c>
      <c r="C141" s="44" t="s">
        <v>66</v>
      </c>
      <c r="E141" s="44">
        <f t="shared" si="10"/>
        <v>21434225</v>
      </c>
      <c r="G141" s="44">
        <f>10986334+23767266</f>
        <v>34753600</v>
      </c>
      <c r="I141" s="44">
        <v>0</v>
      </c>
      <c r="K141" s="44">
        <v>56187825</v>
      </c>
      <c r="M141" s="44">
        <f t="shared" si="11"/>
        <v>5419397</v>
      </c>
      <c r="O141" s="44">
        <v>3904067</v>
      </c>
      <c r="Q141" s="44">
        <v>9323464</v>
      </c>
      <c r="S141" s="44">
        <v>32148600</v>
      </c>
      <c r="U141" s="44">
        <v>8328870</v>
      </c>
      <c r="W141" s="44">
        <v>6386891</v>
      </c>
      <c r="Y141" s="44">
        <f t="shared" si="14"/>
        <v>46864361</v>
      </c>
      <c r="AB141" s="44">
        <f t="shared" si="13"/>
        <v>0</v>
      </c>
    </row>
    <row r="142" spans="1:28" ht="12.75" customHeight="1">
      <c r="A142" s="44" t="s">
        <v>168</v>
      </c>
      <c r="C142" s="44" t="s">
        <v>27</v>
      </c>
      <c r="E142" s="44">
        <f t="shared" si="10"/>
        <v>16440007</v>
      </c>
      <c r="G142" s="44">
        <f>3410360+46658580</f>
        <v>50068940</v>
      </c>
      <c r="I142" s="44">
        <v>0</v>
      </c>
      <c r="K142" s="44">
        <v>66508947</v>
      </c>
      <c r="M142" s="44">
        <f t="shared" si="11"/>
        <v>7545722</v>
      </c>
      <c r="O142" s="44">
        <v>13690542</v>
      </c>
      <c r="Q142" s="44">
        <v>21236264</v>
      </c>
      <c r="S142" s="44">
        <v>35941389</v>
      </c>
      <c r="U142" s="44">
        <f>1202622+3083637+469104</f>
        <v>4755363</v>
      </c>
      <c r="W142" s="44">
        <v>4575931</v>
      </c>
      <c r="Y142" s="44">
        <f t="shared" si="14"/>
        <v>45272683</v>
      </c>
      <c r="AB142" s="44">
        <f t="shared" si="13"/>
        <v>0</v>
      </c>
    </row>
    <row r="143" spans="1:28" ht="12.75" customHeight="1">
      <c r="A143" s="44" t="s">
        <v>169</v>
      </c>
      <c r="C143" s="44" t="s">
        <v>103</v>
      </c>
      <c r="E143" s="44">
        <f t="shared" si="10"/>
        <v>58208338</v>
      </c>
      <c r="G143" s="44">
        <f>12262955+72039845</f>
        <v>84302800</v>
      </c>
      <c r="I143" s="44">
        <v>0</v>
      </c>
      <c r="K143" s="44">
        <v>142511138</v>
      </c>
      <c r="M143" s="44">
        <f t="shared" si="11"/>
        <v>14064639</v>
      </c>
      <c r="O143" s="44">
        <v>28344892</v>
      </c>
      <c r="Q143" s="44">
        <v>42409531</v>
      </c>
      <c r="S143" s="44">
        <v>58783680</v>
      </c>
      <c r="U143" s="44">
        <v>31510137</v>
      </c>
      <c r="W143" s="44">
        <v>9807790</v>
      </c>
      <c r="Y143" s="44">
        <f t="shared" si="14"/>
        <v>100101607</v>
      </c>
      <c r="AB143" s="44">
        <f t="shared" si="13"/>
        <v>0</v>
      </c>
    </row>
    <row r="144" spans="1:28" ht="12.75" customHeight="1">
      <c r="A144" s="44" t="s">
        <v>170</v>
      </c>
      <c r="C144" s="44" t="s">
        <v>171</v>
      </c>
      <c r="E144" s="44">
        <f t="shared" si="10"/>
        <v>11198015</v>
      </c>
      <c r="G144" s="44">
        <f>4013720+1322399+2226793-3069881</f>
        <v>4493031</v>
      </c>
      <c r="I144" s="44">
        <v>0</v>
      </c>
      <c r="K144" s="44">
        <v>15691046</v>
      </c>
      <c r="M144" s="44">
        <f t="shared" si="11"/>
        <v>2869497</v>
      </c>
      <c r="O144" s="44">
        <v>3334368</v>
      </c>
      <c r="Q144" s="44">
        <v>6203865</v>
      </c>
      <c r="S144" s="44">
        <v>2935888</v>
      </c>
      <c r="U144" s="44">
        <v>2170548</v>
      </c>
      <c r="W144" s="44">
        <v>4380745</v>
      </c>
      <c r="Y144" s="44">
        <f t="shared" si="14"/>
        <v>9487181</v>
      </c>
      <c r="AB144" s="44">
        <f t="shared" si="13"/>
        <v>0</v>
      </c>
    </row>
    <row r="145" spans="1:28" ht="12.75" customHeight="1">
      <c r="A145" s="44" t="s">
        <v>172</v>
      </c>
      <c r="C145" s="44" t="s">
        <v>103</v>
      </c>
      <c r="E145" s="44">
        <f t="shared" si="10"/>
        <v>34240256</v>
      </c>
      <c r="G145" s="44">
        <f>50747148+1905607</f>
        <v>52652755</v>
      </c>
      <c r="I145" s="44">
        <v>0</v>
      </c>
      <c r="K145" s="44">
        <v>86893011</v>
      </c>
      <c r="M145" s="44">
        <f t="shared" si="11"/>
        <v>9908982</v>
      </c>
      <c r="O145" s="44">
        <v>8609622</v>
      </c>
      <c r="Q145" s="44">
        <v>18518604</v>
      </c>
      <c r="S145" s="44">
        <v>39910704</v>
      </c>
      <c r="U145" s="44">
        <f>68374407-27317195-39910704</f>
        <v>1146508</v>
      </c>
      <c r="W145" s="44">
        <v>27317195</v>
      </c>
      <c r="Y145" s="44">
        <f t="shared" si="14"/>
        <v>68374407</v>
      </c>
      <c r="AB145" s="44">
        <f t="shared" si="13"/>
        <v>0</v>
      </c>
    </row>
    <row r="146" spans="1:28" ht="12.75" customHeight="1">
      <c r="A146" s="44" t="s">
        <v>66</v>
      </c>
      <c r="C146" s="44" t="s">
        <v>45</v>
      </c>
      <c r="E146" s="44">
        <f t="shared" si="10"/>
        <v>35671487</v>
      </c>
      <c r="G146" s="44">
        <f>15181361+22497916</f>
        <v>37679277</v>
      </c>
      <c r="I146" s="44">
        <v>0</v>
      </c>
      <c r="K146" s="44">
        <v>73350764</v>
      </c>
      <c r="M146" s="44">
        <f t="shared" si="11"/>
        <v>5216725</v>
      </c>
      <c r="O146" s="44">
        <v>4866274</v>
      </c>
      <c r="Q146" s="44">
        <v>10082999</v>
      </c>
      <c r="S146" s="44">
        <v>32640506</v>
      </c>
      <c r="U146" s="44">
        <f>63267765-13134935-32640506</f>
        <v>17492324</v>
      </c>
      <c r="W146" s="44">
        <v>13134935</v>
      </c>
      <c r="Y146" s="44">
        <f t="shared" si="14"/>
        <v>63267765</v>
      </c>
      <c r="AB146" s="44">
        <f t="shared" si="13"/>
        <v>0</v>
      </c>
    </row>
    <row r="147" spans="1:28" ht="12.75" customHeight="1">
      <c r="A147" s="44" t="s">
        <v>173</v>
      </c>
      <c r="C147" s="44" t="s">
        <v>66</v>
      </c>
      <c r="E147" s="44">
        <f t="shared" ref="E147:E213" si="15">+K147-G147-I147</f>
        <v>25646695</v>
      </c>
      <c r="G147" s="44">
        <v>34167439</v>
      </c>
      <c r="I147" s="44">
        <v>0</v>
      </c>
      <c r="K147" s="44">
        <v>59814134</v>
      </c>
      <c r="M147" s="44">
        <f t="shared" ref="M147:M213" si="16">+Q147-O147</f>
        <v>8395276</v>
      </c>
      <c r="O147" s="44">
        <v>3079114</v>
      </c>
      <c r="Q147" s="44">
        <v>11474390</v>
      </c>
      <c r="S147" s="44">
        <v>25253823</v>
      </c>
      <c r="U147" s="44">
        <f>138238+2031588+3048461</f>
        <v>5218287</v>
      </c>
      <c r="W147" s="44">
        <v>17867634</v>
      </c>
      <c r="Y147" s="44">
        <f t="shared" si="14"/>
        <v>48339744</v>
      </c>
      <c r="AB147" s="44">
        <f t="shared" ref="AB147:AB213" si="17">+K147-Q147-Y147</f>
        <v>0</v>
      </c>
    </row>
    <row r="148" spans="1:28" ht="12.75" customHeight="1">
      <c r="A148" s="44" t="s">
        <v>174</v>
      </c>
      <c r="C148" s="44" t="s">
        <v>45</v>
      </c>
      <c r="E148" s="44">
        <f t="shared" si="15"/>
        <v>2182248</v>
      </c>
      <c r="G148" s="44">
        <f>294990+3238087</f>
        <v>3533077</v>
      </c>
      <c r="I148" s="44">
        <v>0</v>
      </c>
      <c r="K148" s="44">
        <v>5715325</v>
      </c>
      <c r="M148" s="44">
        <f t="shared" si="16"/>
        <v>1232021</v>
      </c>
      <c r="O148" s="44">
        <v>1720412</v>
      </c>
      <c r="Q148" s="44">
        <v>2952433</v>
      </c>
      <c r="S148" s="44">
        <v>2008216</v>
      </c>
      <c r="U148" s="44">
        <f>172705+104708+46610+33</f>
        <v>324056</v>
      </c>
      <c r="W148" s="44">
        <v>430620</v>
      </c>
      <c r="Y148" s="44">
        <f t="shared" si="14"/>
        <v>2762892</v>
      </c>
      <c r="AB148" s="44">
        <f t="shared" si="17"/>
        <v>0</v>
      </c>
    </row>
    <row r="149" spans="1:28" ht="12.75" customHeight="1">
      <c r="A149" s="44" t="s">
        <v>175</v>
      </c>
      <c r="C149" s="44" t="s">
        <v>176</v>
      </c>
      <c r="E149" s="44">
        <f t="shared" si="15"/>
        <v>17807410</v>
      </c>
      <c r="G149" s="44">
        <f>12934497+31566173</f>
        <v>44500670</v>
      </c>
      <c r="I149" s="44">
        <v>0</v>
      </c>
      <c r="K149" s="44">
        <v>62308080</v>
      </c>
      <c r="M149" s="44">
        <f t="shared" si="16"/>
        <v>7024604</v>
      </c>
      <c r="O149" s="44">
        <v>6501951</v>
      </c>
      <c r="Q149" s="44">
        <v>13526555</v>
      </c>
      <c r="S149" s="44">
        <v>37018250</v>
      </c>
      <c r="U149" s="44">
        <f>48781525-7525549-37018250</f>
        <v>4237726</v>
      </c>
      <c r="W149" s="44">
        <v>7525549</v>
      </c>
      <c r="Y149" s="44">
        <f t="shared" si="14"/>
        <v>48781525</v>
      </c>
      <c r="AB149" s="44">
        <f t="shared" si="17"/>
        <v>0</v>
      </c>
    </row>
    <row r="150" spans="1:28" ht="12.75" customHeight="1">
      <c r="A150" s="44" t="s">
        <v>177</v>
      </c>
      <c r="C150" s="44" t="s">
        <v>13</v>
      </c>
      <c r="E150" s="44">
        <f t="shared" si="15"/>
        <v>5150661</v>
      </c>
      <c r="G150" s="44">
        <f>1653686+4895643</f>
        <v>6549329</v>
      </c>
      <c r="I150" s="44">
        <v>0</v>
      </c>
      <c r="K150" s="44">
        <v>11699990</v>
      </c>
      <c r="M150" s="44">
        <f t="shared" si="16"/>
        <v>1284836</v>
      </c>
      <c r="O150" s="44">
        <v>1447371</v>
      </c>
      <c r="Q150" s="44">
        <v>2732207</v>
      </c>
      <c r="S150" s="44">
        <v>5068017</v>
      </c>
      <c r="U150" s="44">
        <f>8967783-1694681-5068017</f>
        <v>2205085</v>
      </c>
      <c r="W150" s="44">
        <v>1694681</v>
      </c>
      <c r="Y150" s="44">
        <f t="shared" si="14"/>
        <v>8967783</v>
      </c>
      <c r="AB150" s="44">
        <f t="shared" si="17"/>
        <v>0</v>
      </c>
    </row>
    <row r="151" spans="1:28" ht="12.75" customHeight="1">
      <c r="A151" s="44" t="s">
        <v>178</v>
      </c>
      <c r="C151" s="44" t="s">
        <v>179</v>
      </c>
      <c r="E151" s="44">
        <f t="shared" si="15"/>
        <v>8034502</v>
      </c>
      <c r="G151" s="44">
        <f>12448301+18041020</f>
        <v>30489321</v>
      </c>
      <c r="I151" s="44">
        <v>0</v>
      </c>
      <c r="K151" s="44">
        <v>38523823</v>
      </c>
      <c r="M151" s="44">
        <f t="shared" si="16"/>
        <v>2311633</v>
      </c>
      <c r="O151" s="44">
        <v>1447407</v>
      </c>
      <c r="Q151" s="44">
        <v>3759040</v>
      </c>
      <c r="S151" s="44">
        <v>28323805</v>
      </c>
      <c r="U151" s="44">
        <f>34764783-28323805-2815897</f>
        <v>3625081</v>
      </c>
      <c r="W151" s="44">
        <v>2815897</v>
      </c>
      <c r="Y151" s="44">
        <f t="shared" si="14"/>
        <v>34764783</v>
      </c>
      <c r="AB151" s="44">
        <f t="shared" si="17"/>
        <v>0</v>
      </c>
    </row>
    <row r="152" spans="1:28" s="121" customFormat="1" ht="12.75" hidden="1" customHeight="1">
      <c r="A152" s="44" t="s">
        <v>180</v>
      </c>
      <c r="B152" s="47"/>
      <c r="C152" s="44" t="s">
        <v>20</v>
      </c>
      <c r="D152" s="47"/>
      <c r="E152" s="44">
        <f t="shared" si="15"/>
        <v>0</v>
      </c>
      <c r="F152" s="44"/>
      <c r="G152" s="44"/>
      <c r="H152" s="44"/>
      <c r="I152" s="44"/>
      <c r="J152" s="44"/>
      <c r="K152" s="44"/>
      <c r="L152" s="44"/>
      <c r="M152" s="44">
        <f t="shared" si="16"/>
        <v>0</v>
      </c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>
        <f t="shared" si="14"/>
        <v>0</v>
      </c>
      <c r="Z152" s="44"/>
      <c r="AA152" s="44"/>
      <c r="AB152" s="44">
        <f t="shared" si="17"/>
        <v>0</v>
      </c>
    </row>
    <row r="153" spans="1:28" ht="12.75" customHeight="1">
      <c r="A153" s="44" t="s">
        <v>182</v>
      </c>
      <c r="C153" s="44" t="s">
        <v>183</v>
      </c>
      <c r="E153" s="44">
        <f t="shared" si="15"/>
        <v>3914147</v>
      </c>
      <c r="G153" s="44">
        <f>425851+2725901</f>
        <v>3151752</v>
      </c>
      <c r="I153" s="44">
        <v>0</v>
      </c>
      <c r="K153" s="44">
        <v>7065899</v>
      </c>
      <c r="M153" s="44">
        <f t="shared" si="16"/>
        <v>2038556</v>
      </c>
      <c r="O153" s="44">
        <v>1406586</v>
      </c>
      <c r="Q153" s="44">
        <v>3445142</v>
      </c>
      <c r="S153" s="44">
        <v>458659</v>
      </c>
      <c r="U153" s="44">
        <f>1639704+66193+461874+221640</f>
        <v>2389411</v>
      </c>
      <c r="W153" s="44">
        <v>772687</v>
      </c>
      <c r="Y153" s="44">
        <f t="shared" si="14"/>
        <v>3620757</v>
      </c>
      <c r="AB153" s="44">
        <f t="shared" si="17"/>
        <v>0</v>
      </c>
    </row>
    <row r="154" spans="1:28" ht="12.75" customHeight="1">
      <c r="A154" s="44" t="s">
        <v>487</v>
      </c>
      <c r="C154" s="44" t="s">
        <v>13</v>
      </c>
      <c r="E154" s="44">
        <f>+K154-G154-I154</f>
        <v>7927631</v>
      </c>
      <c r="G154" s="44">
        <f>739496+2604952</f>
        <v>3344448</v>
      </c>
      <c r="I154" s="44">
        <v>0</v>
      </c>
      <c r="K154" s="44">
        <v>11272079</v>
      </c>
      <c r="M154" s="44">
        <f>+Q154-O154</f>
        <v>3366684</v>
      </c>
      <c r="O154" s="44">
        <v>555263</v>
      </c>
      <c r="Q154" s="44">
        <v>3921947</v>
      </c>
      <c r="S154" s="44">
        <v>3278567</v>
      </c>
      <c r="U154" s="44">
        <f>2183+271847+321537+964311+465699</f>
        <v>2025577</v>
      </c>
      <c r="W154" s="44">
        <v>2045988</v>
      </c>
      <c r="Y154" s="44">
        <f>S154+U154+W154</f>
        <v>7350132</v>
      </c>
      <c r="AB154" s="44">
        <f>+K154-Q154-Y154</f>
        <v>0</v>
      </c>
    </row>
    <row r="155" spans="1:28" ht="12.75" customHeight="1">
      <c r="A155" s="44" t="s">
        <v>184</v>
      </c>
      <c r="C155" s="44" t="s">
        <v>89</v>
      </c>
      <c r="E155" s="44">
        <f t="shared" si="15"/>
        <v>10447137</v>
      </c>
      <c r="G155" s="44">
        <f>980410+25399294</f>
        <v>26379704</v>
      </c>
      <c r="I155" s="44">
        <v>0</v>
      </c>
      <c r="K155" s="44">
        <v>36826841</v>
      </c>
      <c r="M155" s="44">
        <f t="shared" si="16"/>
        <v>2374464</v>
      </c>
      <c r="O155" s="44">
        <v>2781234</v>
      </c>
      <c r="Q155" s="44">
        <v>5155698</v>
      </c>
      <c r="S155" s="44">
        <v>24248220</v>
      </c>
      <c r="U155" s="44">
        <f>91525+2367799+1388724</f>
        <v>3848048</v>
      </c>
      <c r="W155" s="44">
        <v>3574875</v>
      </c>
      <c r="Y155" s="44">
        <f t="shared" si="14"/>
        <v>31671143</v>
      </c>
      <c r="AB155" s="44">
        <f t="shared" si="17"/>
        <v>0</v>
      </c>
    </row>
    <row r="156" spans="1:28" ht="12.75" customHeight="1">
      <c r="A156" s="44" t="s">
        <v>181</v>
      </c>
      <c r="C156" s="44" t="s">
        <v>125</v>
      </c>
      <c r="E156" s="44">
        <f>+K156-G156-I156</f>
        <v>28449670</v>
      </c>
      <c r="G156" s="44">
        <f>19014434+41830905</f>
        <v>60845339</v>
      </c>
      <c r="I156" s="44">
        <v>0</v>
      </c>
      <c r="K156" s="44">
        <v>89295009</v>
      </c>
      <c r="M156" s="44">
        <f>+Q156-O156</f>
        <v>10328005</v>
      </c>
      <c r="O156" s="44">
        <v>19765839</v>
      </c>
      <c r="Q156" s="44">
        <v>30093844</v>
      </c>
      <c r="S156" s="44">
        <v>41686127</v>
      </c>
      <c r="U156" s="44">
        <f>936444+166633+430435+1727325+5571252+616982+614876+418254+618512+9829</f>
        <v>11110542</v>
      </c>
      <c r="W156" s="44">
        <v>6404496</v>
      </c>
      <c r="Y156" s="44">
        <f>S156+U156+W156</f>
        <v>59201165</v>
      </c>
      <c r="AB156" s="44">
        <f t="shared" si="17"/>
        <v>0</v>
      </c>
    </row>
    <row r="157" spans="1:28" ht="12.75" customHeight="1">
      <c r="A157" s="44" t="s">
        <v>185</v>
      </c>
      <c r="C157" s="44" t="s">
        <v>80</v>
      </c>
      <c r="E157" s="44">
        <f t="shared" si="15"/>
        <v>23707881</v>
      </c>
      <c r="G157" s="44">
        <v>12845527</v>
      </c>
      <c r="I157" s="44">
        <v>0</v>
      </c>
      <c r="K157" s="44">
        <v>36553408</v>
      </c>
      <c r="M157" s="44">
        <f t="shared" si="16"/>
        <v>5961933</v>
      </c>
      <c r="O157" s="44">
        <v>1491186</v>
      </c>
      <c r="Q157" s="44">
        <v>7453119</v>
      </c>
      <c r="S157" s="44">
        <v>9336749</v>
      </c>
      <c r="U157" s="44">
        <f>177584+2386000+1415510+286959</f>
        <v>4266053</v>
      </c>
      <c r="W157" s="44">
        <v>15497487</v>
      </c>
      <c r="Y157" s="44">
        <f t="shared" si="14"/>
        <v>29100289</v>
      </c>
      <c r="AB157" s="44">
        <f t="shared" si="17"/>
        <v>0</v>
      </c>
    </row>
    <row r="158" spans="1:28" ht="12.75" customHeight="1">
      <c r="A158" s="44" t="s">
        <v>186</v>
      </c>
      <c r="C158" s="44" t="s">
        <v>15</v>
      </c>
      <c r="E158" s="44">
        <f t="shared" si="15"/>
        <v>11311328</v>
      </c>
      <c r="G158" s="44">
        <v>29141603</v>
      </c>
      <c r="I158" s="44">
        <v>0</v>
      </c>
      <c r="K158" s="44">
        <v>40452931</v>
      </c>
      <c r="M158" s="44">
        <f t="shared" si="16"/>
        <v>3166857</v>
      </c>
      <c r="O158" s="44">
        <v>2932671</v>
      </c>
      <c r="Q158" s="44">
        <v>6099528</v>
      </c>
      <c r="S158" s="44">
        <v>27594366</v>
      </c>
      <c r="U158" s="44">
        <f>34353403-27594366-4152103</f>
        <v>2606934</v>
      </c>
      <c r="W158" s="44">
        <v>4152103</v>
      </c>
      <c r="Y158" s="44">
        <f t="shared" si="14"/>
        <v>34353403</v>
      </c>
      <c r="AB158" s="44">
        <f t="shared" si="17"/>
        <v>0</v>
      </c>
    </row>
    <row r="159" spans="1:28" ht="12.75" customHeight="1">
      <c r="A159" s="44" t="s">
        <v>187</v>
      </c>
      <c r="B159" s="44"/>
      <c r="C159" s="44" t="s">
        <v>27</v>
      </c>
      <c r="D159" s="44"/>
      <c r="E159" s="44">
        <f t="shared" si="15"/>
        <v>30618627</v>
      </c>
      <c r="G159" s="44">
        <f>67891046+4248992</f>
        <v>72140038</v>
      </c>
      <c r="I159" s="44">
        <v>0</v>
      </c>
      <c r="K159" s="44">
        <v>102758665</v>
      </c>
      <c r="M159" s="44">
        <f t="shared" si="16"/>
        <v>19398045</v>
      </c>
      <c r="O159" s="44">
        <v>36769478</v>
      </c>
      <c r="Q159" s="44">
        <v>56167523</v>
      </c>
      <c r="S159" s="44">
        <v>34133984</v>
      </c>
      <c r="U159" s="44">
        <f>46591142-34133984-925247</f>
        <v>11531911</v>
      </c>
      <c r="W159" s="44">
        <v>925247</v>
      </c>
      <c r="Y159" s="44">
        <f>S159+U159+W159</f>
        <v>46591142</v>
      </c>
      <c r="AB159" s="44">
        <f>+K159-Q159-Y159</f>
        <v>0</v>
      </c>
    </row>
    <row r="160" spans="1:28" ht="12.75" customHeight="1">
      <c r="A160" s="44" t="s">
        <v>189</v>
      </c>
      <c r="C160" s="44" t="s">
        <v>17</v>
      </c>
      <c r="E160" s="44">
        <f t="shared" si="15"/>
        <v>23653406</v>
      </c>
      <c r="G160" s="44">
        <f>1410569+62843222</f>
        <v>64253791</v>
      </c>
      <c r="I160" s="44">
        <v>0</v>
      </c>
      <c r="K160" s="44">
        <v>87907197</v>
      </c>
      <c r="M160" s="44">
        <f t="shared" si="16"/>
        <v>9310645</v>
      </c>
      <c r="O160" s="44">
        <v>9519942</v>
      </c>
      <c r="Q160" s="44">
        <v>18830587</v>
      </c>
      <c r="S160" s="44">
        <v>57741872</v>
      </c>
      <c r="U160" s="44">
        <f>69076610-57741872-5593150</f>
        <v>5741588</v>
      </c>
      <c r="W160" s="44">
        <v>5593150</v>
      </c>
      <c r="Y160" s="44">
        <f t="shared" si="14"/>
        <v>69076610</v>
      </c>
      <c r="AB160" s="44">
        <f t="shared" si="17"/>
        <v>0</v>
      </c>
    </row>
    <row r="161" spans="1:29" ht="12.75" customHeight="1">
      <c r="A161" s="44" t="s">
        <v>188</v>
      </c>
      <c r="C161" s="44" t="s">
        <v>27</v>
      </c>
      <c r="E161" s="44">
        <f t="shared" si="15"/>
        <v>27538098</v>
      </c>
      <c r="G161" s="44">
        <f>6334394+106500536</f>
        <v>112834930</v>
      </c>
      <c r="I161" s="44">
        <v>0</v>
      </c>
      <c r="K161" s="44">
        <v>140373028</v>
      </c>
      <c r="M161" s="44">
        <f t="shared" si="16"/>
        <v>8361629</v>
      </c>
      <c r="O161" s="44">
        <v>19338023</v>
      </c>
      <c r="Q161" s="44">
        <v>27699652</v>
      </c>
      <c r="S161" s="44">
        <v>99542944</v>
      </c>
      <c r="U161" s="44">
        <f>10244684+928723+2642812</f>
        <v>13816219</v>
      </c>
      <c r="W161" s="44">
        <v>-685787</v>
      </c>
      <c r="Y161" s="44">
        <f t="shared" si="14"/>
        <v>112673376</v>
      </c>
      <c r="AB161" s="44">
        <f>+K161-Q161-Y161</f>
        <v>0</v>
      </c>
    </row>
    <row r="162" spans="1:29" ht="12.75" customHeight="1">
      <c r="A162" s="44" t="s">
        <v>190</v>
      </c>
      <c r="C162" s="44" t="s">
        <v>47</v>
      </c>
      <c r="E162" s="44">
        <f t="shared" si="15"/>
        <v>6485718</v>
      </c>
      <c r="G162" s="44">
        <f>407945+7202000</f>
        <v>7609945</v>
      </c>
      <c r="I162" s="44">
        <v>0</v>
      </c>
      <c r="K162" s="44">
        <v>14095663</v>
      </c>
      <c r="M162" s="44">
        <f t="shared" si="16"/>
        <v>923913</v>
      </c>
      <c r="O162" s="44">
        <v>3774418</v>
      </c>
      <c r="Q162" s="44">
        <v>4698331</v>
      </c>
      <c r="S162" s="44">
        <v>8116752</v>
      </c>
      <c r="U162" s="44">
        <f>9397332-8116752+2988847</f>
        <v>4269427</v>
      </c>
      <c r="W162" s="44">
        <v>-2988847</v>
      </c>
      <c r="Y162" s="44">
        <f t="shared" si="14"/>
        <v>9397332</v>
      </c>
      <c r="AB162" s="44">
        <f t="shared" si="17"/>
        <v>0</v>
      </c>
    </row>
    <row r="163" spans="1:29" ht="12.75" customHeight="1">
      <c r="A163" s="44" t="s">
        <v>191</v>
      </c>
      <c r="C163" s="44" t="s">
        <v>13</v>
      </c>
      <c r="E163" s="44">
        <f t="shared" si="15"/>
        <v>11186812</v>
      </c>
      <c r="G163" s="44">
        <f>35540+13684411</f>
        <v>13719951</v>
      </c>
      <c r="I163" s="44">
        <v>0</v>
      </c>
      <c r="K163" s="44">
        <v>24906763</v>
      </c>
      <c r="M163" s="44">
        <f t="shared" si="16"/>
        <v>3978598</v>
      </c>
      <c r="O163" s="44">
        <v>3644624</v>
      </c>
      <c r="Q163" s="44">
        <v>7623222</v>
      </c>
      <c r="S163" s="44">
        <v>10899587</v>
      </c>
      <c r="U163" s="44">
        <f>17283541-1569485-10899587</f>
        <v>4814469</v>
      </c>
      <c r="W163" s="44">
        <v>1569485</v>
      </c>
      <c r="Y163" s="44">
        <f t="shared" si="14"/>
        <v>17283541</v>
      </c>
      <c r="AB163" s="44">
        <f t="shared" si="17"/>
        <v>0</v>
      </c>
    </row>
    <row r="164" spans="1:29" ht="12.75" customHeight="1">
      <c r="A164" s="44" t="s">
        <v>192</v>
      </c>
      <c r="C164" s="44" t="s">
        <v>38</v>
      </c>
      <c r="E164" s="44">
        <f t="shared" si="15"/>
        <v>15000591</v>
      </c>
      <c r="G164" s="44">
        <f>3506073+16586474</f>
        <v>20092547</v>
      </c>
      <c r="I164" s="44">
        <v>0</v>
      </c>
      <c r="K164" s="44">
        <v>35093138</v>
      </c>
      <c r="M164" s="44">
        <f>+Q164-O164</f>
        <v>2566808</v>
      </c>
      <c r="O164" s="44">
        <v>2680703</v>
      </c>
      <c r="Q164" s="44">
        <v>5247511</v>
      </c>
      <c r="S164" s="44">
        <v>18245397</v>
      </c>
      <c r="U164" s="44">
        <f>88036+5048861+4111967+4832</f>
        <v>9253696</v>
      </c>
      <c r="W164" s="44">
        <v>2346534</v>
      </c>
      <c r="Y164" s="44">
        <f>S164+U164+W164</f>
        <v>29845627</v>
      </c>
      <c r="AB164" s="44">
        <f t="shared" si="17"/>
        <v>0</v>
      </c>
    </row>
    <row r="165" spans="1:29" s="121" customFormat="1" ht="12.75" hidden="1" customHeight="1">
      <c r="A165" s="44" t="s">
        <v>193</v>
      </c>
      <c r="B165" s="47"/>
      <c r="C165" s="44" t="s">
        <v>45</v>
      </c>
      <c r="D165" s="47"/>
      <c r="E165" s="44">
        <f t="shared" si="15"/>
        <v>0</v>
      </c>
      <c r="F165" s="44"/>
      <c r="G165" s="44"/>
      <c r="H165" s="44"/>
      <c r="I165" s="44"/>
      <c r="J165" s="44"/>
      <c r="K165" s="44"/>
      <c r="L165" s="44"/>
      <c r="M165" s="44">
        <f t="shared" si="16"/>
        <v>0</v>
      </c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>
        <f t="shared" si="14"/>
        <v>0</v>
      </c>
      <c r="Z165" s="44"/>
      <c r="AA165" s="44"/>
      <c r="AB165" s="44">
        <f t="shared" si="17"/>
        <v>0</v>
      </c>
    </row>
    <row r="166" spans="1:29" ht="12.75" customHeight="1">
      <c r="A166" s="44" t="s">
        <v>194</v>
      </c>
      <c r="C166" s="44" t="s">
        <v>66</v>
      </c>
      <c r="E166" s="44">
        <f t="shared" si="15"/>
        <v>21046610</v>
      </c>
      <c r="G166" s="44">
        <f>6923121+34099148</f>
        <v>41022269</v>
      </c>
      <c r="I166" s="44">
        <v>0</v>
      </c>
      <c r="K166" s="44">
        <v>62068879</v>
      </c>
      <c r="M166" s="44">
        <f>+Q166-O166</f>
        <v>6670270</v>
      </c>
      <c r="O166" s="44">
        <v>1030191</v>
      </c>
      <c r="Q166" s="44">
        <v>7700461</v>
      </c>
      <c r="S166" s="44">
        <v>37322269</v>
      </c>
      <c r="U166" s="44">
        <f>214504+1138347+50000+8094</f>
        <v>1410945</v>
      </c>
      <c r="W166" s="44">
        <v>15635204</v>
      </c>
      <c r="Y166" s="44">
        <f>S166+U166+W166</f>
        <v>54368418</v>
      </c>
      <c r="AB166" s="44">
        <f t="shared" si="17"/>
        <v>0</v>
      </c>
    </row>
    <row r="167" spans="1:29" ht="12.75" customHeight="1">
      <c r="A167" s="44" t="s">
        <v>195</v>
      </c>
      <c r="C167" s="44" t="s">
        <v>17</v>
      </c>
      <c r="E167" s="44">
        <f>+K167-G167-I167</f>
        <v>13675482</v>
      </c>
      <c r="G167" s="44">
        <f>3438091+28356697</f>
        <v>31794788</v>
      </c>
      <c r="I167" s="44">
        <v>0</v>
      </c>
      <c r="K167" s="44">
        <v>45470270</v>
      </c>
      <c r="M167" s="44">
        <f t="shared" si="16"/>
        <v>2279275</v>
      </c>
      <c r="O167" s="44">
        <v>4512935</v>
      </c>
      <c r="Q167" s="44">
        <v>6792210</v>
      </c>
      <c r="S167" s="44">
        <v>27446483</v>
      </c>
      <c r="U167" s="44">
        <f>2092377+347692+1623488</f>
        <v>4063557</v>
      </c>
      <c r="W167" s="44">
        <v>7168020</v>
      </c>
      <c r="Y167" s="44">
        <f t="shared" si="14"/>
        <v>38678060</v>
      </c>
      <c r="AB167" s="44">
        <f>+K167-Q167-Y167</f>
        <v>0</v>
      </c>
    </row>
    <row r="168" spans="1:29" s="121" customFormat="1" ht="12.75" hidden="1" customHeight="1">
      <c r="A168" s="44" t="s">
        <v>492</v>
      </c>
      <c r="B168" s="47"/>
      <c r="C168" s="44" t="s">
        <v>27</v>
      </c>
      <c r="D168" s="47"/>
      <c r="E168" s="44">
        <f t="shared" si="15"/>
        <v>0</v>
      </c>
      <c r="F168" s="44"/>
      <c r="G168" s="44"/>
      <c r="H168" s="44"/>
      <c r="I168" s="44"/>
      <c r="J168" s="44"/>
      <c r="K168" s="44"/>
      <c r="L168" s="44"/>
      <c r="M168" s="44">
        <f t="shared" si="16"/>
        <v>0</v>
      </c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>
        <f t="shared" si="14"/>
        <v>0</v>
      </c>
      <c r="Z168" s="44"/>
      <c r="AA168" s="44"/>
      <c r="AB168" s="44">
        <f t="shared" si="17"/>
        <v>0</v>
      </c>
    </row>
    <row r="169" spans="1:29" s="121" customFormat="1" ht="12.75" hidden="1" customHeight="1">
      <c r="A169" s="44" t="s">
        <v>402</v>
      </c>
      <c r="B169" s="47"/>
      <c r="C169" s="44" t="s">
        <v>153</v>
      </c>
      <c r="D169" s="47"/>
      <c r="E169" s="44">
        <f t="shared" si="15"/>
        <v>8002450</v>
      </c>
      <c r="F169" s="44"/>
      <c r="G169" s="44">
        <v>19593772</v>
      </c>
      <c r="H169" s="44"/>
      <c r="I169" s="44">
        <v>0</v>
      </c>
      <c r="J169" s="44"/>
      <c r="K169" s="44">
        <v>27596222</v>
      </c>
      <c r="L169" s="44"/>
      <c r="M169" s="44">
        <f t="shared" si="16"/>
        <v>991532</v>
      </c>
      <c r="N169" s="44"/>
      <c r="O169" s="44">
        <v>255925</v>
      </c>
      <c r="P169" s="44"/>
      <c r="Q169" s="44">
        <v>1247457</v>
      </c>
      <c r="R169" s="44"/>
      <c r="S169" s="44">
        <v>19497271</v>
      </c>
      <c r="T169" s="44"/>
      <c r="U169" s="44">
        <f>26348765-19497271-1669292</f>
        <v>5182202</v>
      </c>
      <c r="V169" s="44"/>
      <c r="W169" s="44">
        <v>1669292</v>
      </c>
      <c r="X169" s="44"/>
      <c r="Y169" s="44">
        <f t="shared" si="14"/>
        <v>26348765</v>
      </c>
      <c r="Z169" s="44"/>
      <c r="AA169" s="44"/>
      <c r="AB169" s="44">
        <f t="shared" si="17"/>
        <v>0</v>
      </c>
    </row>
    <row r="170" spans="1:29" ht="12.75" customHeight="1">
      <c r="A170" s="44" t="s">
        <v>197</v>
      </c>
      <c r="C170" s="44" t="s">
        <v>163</v>
      </c>
      <c r="E170" s="44">
        <f>+K170-G170-I170</f>
        <v>47486101</v>
      </c>
      <c r="G170" s="44">
        <f>9590877+25783476</f>
        <v>35374353</v>
      </c>
      <c r="I170" s="44">
        <v>0</v>
      </c>
      <c r="K170" s="44">
        <v>82860454</v>
      </c>
      <c r="M170" s="44">
        <f>+Q170-O170</f>
        <v>10185121</v>
      </c>
      <c r="O170" s="44">
        <v>13818983</v>
      </c>
      <c r="Q170" s="44">
        <v>24004104</v>
      </c>
      <c r="S170" s="44">
        <v>16838672</v>
      </c>
      <c r="U170" s="44">
        <f>58856350-16838672-22282163</f>
        <v>19735515</v>
      </c>
      <c r="W170" s="44">
        <v>22282163</v>
      </c>
      <c r="Y170" s="44">
        <f>S170+U170+W170</f>
        <v>58856350</v>
      </c>
      <c r="AB170" s="44">
        <f>+K170-Q170-Y170</f>
        <v>0</v>
      </c>
    </row>
    <row r="171" spans="1:29" ht="12.75" customHeight="1">
      <c r="A171" s="44" t="s">
        <v>198</v>
      </c>
      <c r="C171" s="44" t="s">
        <v>199</v>
      </c>
      <c r="E171" s="44">
        <f>+K171-G171-I171</f>
        <v>35625229</v>
      </c>
      <c r="G171" s="44">
        <f>3397496+10305109</f>
        <v>13702605</v>
      </c>
      <c r="I171" s="44">
        <v>0</v>
      </c>
      <c r="K171" s="44">
        <v>49327834</v>
      </c>
      <c r="M171" s="44">
        <f t="shared" si="16"/>
        <v>1150005</v>
      </c>
      <c r="O171" s="44">
        <v>77765</v>
      </c>
      <c r="Q171" s="44">
        <v>1227770</v>
      </c>
      <c r="S171" s="44">
        <v>43619685</v>
      </c>
      <c r="U171" s="44">
        <f>48100064-2976958-43619685</f>
        <v>1503421</v>
      </c>
      <c r="W171" s="44">
        <v>2976958</v>
      </c>
      <c r="Y171" s="44">
        <f>S171+U171+W171</f>
        <v>48100064</v>
      </c>
      <c r="AB171" s="44">
        <f t="shared" si="17"/>
        <v>0</v>
      </c>
    </row>
    <row r="172" spans="1:29" ht="12.75" customHeight="1">
      <c r="A172" s="44" t="s">
        <v>200</v>
      </c>
      <c r="C172" s="44" t="s">
        <v>103</v>
      </c>
      <c r="E172" s="44">
        <f>+K172-G172-I172</f>
        <v>17605984</v>
      </c>
      <c r="G172" s="44">
        <f>6324645+29258518</f>
        <v>35583163</v>
      </c>
      <c r="I172" s="44">
        <v>0</v>
      </c>
      <c r="K172" s="44">
        <v>53189147</v>
      </c>
      <c r="M172" s="44">
        <f t="shared" si="16"/>
        <v>2526583</v>
      </c>
      <c r="O172" s="44">
        <v>4237919</v>
      </c>
      <c r="Q172" s="44">
        <v>6764502</v>
      </c>
      <c r="S172" s="44">
        <v>30948163</v>
      </c>
      <c r="U172" s="44">
        <f>7604173+1249729</f>
        <v>8853902</v>
      </c>
      <c r="W172" s="44">
        <v>6622580</v>
      </c>
      <c r="Y172" s="44">
        <f t="shared" si="14"/>
        <v>46424645</v>
      </c>
      <c r="AB172" s="44">
        <f t="shared" si="17"/>
        <v>0</v>
      </c>
    </row>
    <row r="173" spans="1:29" ht="12.75" customHeight="1">
      <c r="A173" s="44" t="s">
        <v>201</v>
      </c>
      <c r="C173" s="44" t="s">
        <v>92</v>
      </c>
      <c r="E173" s="44">
        <f>+K173-G173-I173</f>
        <v>22127763</v>
      </c>
      <c r="G173" s="44">
        <f>7366615+24089495</f>
        <v>31456110</v>
      </c>
      <c r="I173" s="44">
        <v>0</v>
      </c>
      <c r="K173" s="44">
        <v>53583873</v>
      </c>
      <c r="M173" s="44">
        <f>+Q173-O173</f>
        <v>7517966</v>
      </c>
      <c r="O173" s="44">
        <v>5917807</v>
      </c>
      <c r="Q173" s="44">
        <v>13435773</v>
      </c>
      <c r="S173" s="44">
        <v>24119943</v>
      </c>
      <c r="U173" s="44">
        <f>2902423+328601+984940+209599+335546</f>
        <v>4761109</v>
      </c>
      <c r="W173" s="44">
        <v>11267048</v>
      </c>
      <c r="Y173" s="44">
        <f>S173+U173+W173</f>
        <v>40148100</v>
      </c>
      <c r="AB173" s="44">
        <f>+K173-Q173-Y173</f>
        <v>0</v>
      </c>
    </row>
    <row r="174" spans="1:29" ht="12.75" hidden="1" customHeight="1">
      <c r="A174" s="44" t="s">
        <v>202</v>
      </c>
      <c r="C174" s="44" t="s">
        <v>27</v>
      </c>
      <c r="E174" s="44">
        <f>+K174-G174-I174</f>
        <v>0</v>
      </c>
      <c r="M174" s="44">
        <f>+Q174-O174</f>
        <v>0</v>
      </c>
      <c r="Y174" s="44">
        <f>S174+U174+W174</f>
        <v>0</v>
      </c>
      <c r="AB174" s="44">
        <f>+K174-Q174-Y174</f>
        <v>0</v>
      </c>
      <c r="AC174" s="44" t="s">
        <v>499</v>
      </c>
    </row>
    <row r="175" spans="1:29" ht="12.75" customHeight="1">
      <c r="A175" s="44" t="s">
        <v>203</v>
      </c>
      <c r="C175" s="44" t="s">
        <v>27</v>
      </c>
      <c r="E175" s="44">
        <f t="shared" si="15"/>
        <v>14367618</v>
      </c>
      <c r="G175" s="44">
        <f>1733386+27926719</f>
        <v>29660105</v>
      </c>
      <c r="I175" s="44">
        <v>0</v>
      </c>
      <c r="K175" s="44">
        <v>44027723</v>
      </c>
      <c r="M175" s="44">
        <f t="shared" si="16"/>
        <v>8534886</v>
      </c>
      <c r="O175" s="44">
        <v>7409757</v>
      </c>
      <c r="Q175" s="44">
        <v>15944643</v>
      </c>
      <c r="S175" s="44">
        <v>25225041</v>
      </c>
      <c r="U175" s="44">
        <f>839387+107075+591385+20396+89463</f>
        <v>1647706</v>
      </c>
      <c r="W175" s="44">
        <v>1210333</v>
      </c>
      <c r="Y175" s="44">
        <f t="shared" si="14"/>
        <v>28083080</v>
      </c>
      <c r="AB175" s="44">
        <f t="shared" si="17"/>
        <v>0</v>
      </c>
    </row>
    <row r="176" spans="1:29" ht="12.75" customHeight="1">
      <c r="A176" s="44" t="s">
        <v>204</v>
      </c>
      <c r="C176" s="44" t="s">
        <v>125</v>
      </c>
      <c r="E176" s="44">
        <f t="shared" si="15"/>
        <v>5255055</v>
      </c>
      <c r="G176" s="44">
        <v>6347804</v>
      </c>
      <c r="I176" s="44">
        <v>0</v>
      </c>
      <c r="K176" s="44">
        <v>11602859</v>
      </c>
      <c r="M176" s="44">
        <f t="shared" si="16"/>
        <v>3642660</v>
      </c>
      <c r="O176" s="44">
        <v>284525</v>
      </c>
      <c r="Q176" s="44">
        <v>3927185</v>
      </c>
      <c r="S176" s="44">
        <v>4965912</v>
      </c>
      <c r="U176" s="44">
        <f>30067+1328269+84991+368748+7248</f>
        <v>1819323</v>
      </c>
      <c r="W176" s="44">
        <v>890439</v>
      </c>
      <c r="Y176" s="44">
        <f t="shared" si="14"/>
        <v>7675674</v>
      </c>
      <c r="AB176" s="44">
        <f t="shared" si="17"/>
        <v>0</v>
      </c>
    </row>
    <row r="177" spans="1:28" ht="12.75" customHeight="1">
      <c r="A177" s="44" t="s">
        <v>205</v>
      </c>
      <c r="C177" s="44" t="s">
        <v>27</v>
      </c>
      <c r="E177" s="44">
        <f>+K177-G177-I177</f>
        <v>12609409</v>
      </c>
      <c r="G177" s="44">
        <f>1820665+17359392</f>
        <v>19180057</v>
      </c>
      <c r="I177" s="44">
        <v>0</v>
      </c>
      <c r="K177" s="44">
        <v>31789466</v>
      </c>
      <c r="M177" s="44">
        <f>+Q177-O177</f>
        <v>9690614</v>
      </c>
      <c r="O177" s="44">
        <v>6725503</v>
      </c>
      <c r="Q177" s="44">
        <v>16416117</v>
      </c>
      <c r="S177" s="44">
        <v>11180572</v>
      </c>
      <c r="U177" s="44">
        <f>1729069+106086+607599</f>
        <v>2442754</v>
      </c>
      <c r="W177" s="44">
        <v>1750023</v>
      </c>
      <c r="Y177" s="44">
        <f t="shared" si="14"/>
        <v>15373349</v>
      </c>
      <c r="AB177" s="44">
        <f t="shared" si="17"/>
        <v>0</v>
      </c>
    </row>
    <row r="178" spans="1:28" ht="12.75" customHeight="1">
      <c r="A178" s="44" t="s">
        <v>206</v>
      </c>
      <c r="C178" s="44" t="s">
        <v>47</v>
      </c>
      <c r="E178" s="44">
        <f t="shared" si="15"/>
        <v>17190840</v>
      </c>
      <c r="G178" s="44">
        <f>638158+69928885</f>
        <v>70567043</v>
      </c>
      <c r="I178" s="44">
        <v>0</v>
      </c>
      <c r="K178" s="44">
        <v>87757883</v>
      </c>
      <c r="M178" s="44">
        <f t="shared" si="16"/>
        <v>11980869</v>
      </c>
      <c r="O178" s="44">
        <v>498289</v>
      </c>
      <c r="Q178" s="44">
        <v>12479158</v>
      </c>
      <c r="S178" s="44">
        <v>62998885</v>
      </c>
      <c r="U178" s="44">
        <f>37220+3565500</f>
        <v>3602720</v>
      </c>
      <c r="W178" s="44">
        <v>8677120</v>
      </c>
      <c r="Y178" s="44">
        <f>S178+U178+W178</f>
        <v>75278725</v>
      </c>
      <c r="AB178" s="44">
        <f t="shared" si="17"/>
        <v>0</v>
      </c>
    </row>
    <row r="179" spans="1:28" ht="12.75" customHeight="1">
      <c r="A179" s="44" t="s">
        <v>207</v>
      </c>
      <c r="C179" s="44" t="s">
        <v>102</v>
      </c>
      <c r="E179" s="44">
        <f t="shared" si="15"/>
        <v>12048863</v>
      </c>
      <c r="G179" s="44">
        <f>17562768+39044966</f>
        <v>56607734</v>
      </c>
      <c r="I179" s="44">
        <v>0</v>
      </c>
      <c r="K179" s="44">
        <v>68656597</v>
      </c>
      <c r="M179" s="44">
        <f>+Q179-O179</f>
        <v>8165512</v>
      </c>
      <c r="O179" s="44">
        <v>14274112</v>
      </c>
      <c r="Q179" s="44">
        <v>22439624</v>
      </c>
      <c r="S179" s="44">
        <v>39459496</v>
      </c>
      <c r="U179" s="44">
        <f>3255095+18540+628181+291614</f>
        <v>4193430</v>
      </c>
      <c r="W179" s="44">
        <v>2564047</v>
      </c>
      <c r="Y179" s="44">
        <f t="shared" si="14"/>
        <v>46216973</v>
      </c>
      <c r="AB179" s="44">
        <f t="shared" si="17"/>
        <v>0</v>
      </c>
    </row>
    <row r="180" spans="1:28" ht="12.75" customHeight="1">
      <c r="A180" s="44" t="s">
        <v>208</v>
      </c>
      <c r="C180" s="44" t="s">
        <v>209</v>
      </c>
      <c r="E180" s="44">
        <f>+K180-G180-I180</f>
        <v>31775322</v>
      </c>
      <c r="G180" s="44">
        <f>11136219+31670718</f>
        <v>42806937</v>
      </c>
      <c r="I180" s="44">
        <v>0</v>
      </c>
      <c r="K180" s="44">
        <v>74582259</v>
      </c>
      <c r="M180" s="44">
        <f t="shared" si="16"/>
        <v>4291918</v>
      </c>
      <c r="O180" s="44">
        <v>4798984</v>
      </c>
      <c r="Q180" s="44">
        <v>9090902</v>
      </c>
      <c r="S180" s="44">
        <v>41291151</v>
      </c>
      <c r="U180" s="44">
        <f>14684+394408</f>
        <v>409092</v>
      </c>
      <c r="W180" s="44">
        <v>23791114</v>
      </c>
      <c r="Y180" s="44">
        <f t="shared" si="14"/>
        <v>65491357</v>
      </c>
      <c r="AB180" s="44">
        <f t="shared" si="17"/>
        <v>0</v>
      </c>
    </row>
    <row r="181" spans="1:28" ht="12.75" customHeight="1">
      <c r="A181" s="44" t="s">
        <v>210</v>
      </c>
      <c r="C181" s="44" t="s">
        <v>211</v>
      </c>
      <c r="E181" s="44">
        <f>+K181-G181-I181</f>
        <v>5449573</v>
      </c>
      <c r="G181" s="44">
        <f>526937+5513783</f>
        <v>6040720</v>
      </c>
      <c r="I181" s="44">
        <v>0</v>
      </c>
      <c r="K181" s="44">
        <v>11490293</v>
      </c>
      <c r="M181" s="44">
        <f>+Q181-O181</f>
        <v>1536016</v>
      </c>
      <c r="O181" s="44">
        <v>541876</v>
      </c>
      <c r="Q181" s="44">
        <v>2077892</v>
      </c>
      <c r="S181" s="44">
        <v>5480278</v>
      </c>
      <c r="U181" s="44">
        <f>140829+224667+679493+455661+641351</f>
        <v>2142001</v>
      </c>
      <c r="W181" s="44">
        <v>1790122</v>
      </c>
      <c r="Y181" s="44">
        <f>S181+U181+W181</f>
        <v>9412401</v>
      </c>
      <c r="AB181" s="44">
        <f>+K181-Q181-Y181</f>
        <v>0</v>
      </c>
    </row>
    <row r="182" spans="1:28" ht="12.75" customHeight="1">
      <c r="A182" s="44" t="s">
        <v>212</v>
      </c>
      <c r="C182" s="44" t="s">
        <v>213</v>
      </c>
      <c r="E182" s="44">
        <f t="shared" si="15"/>
        <v>11698953</v>
      </c>
      <c r="G182" s="44">
        <f>2304529+16920945</f>
        <v>19225474</v>
      </c>
      <c r="I182" s="44">
        <v>0</v>
      </c>
      <c r="K182" s="44">
        <v>30924427</v>
      </c>
      <c r="M182" s="44">
        <f t="shared" si="16"/>
        <v>4583454</v>
      </c>
      <c r="O182" s="44">
        <v>3143113</v>
      </c>
      <c r="Q182" s="44">
        <v>7726567</v>
      </c>
      <c r="S182" s="44">
        <v>18230304</v>
      </c>
      <c r="U182" s="44">
        <f>23197860+445016-18230304</f>
        <v>5412572</v>
      </c>
      <c r="W182" s="44">
        <v>-445016</v>
      </c>
      <c r="Y182" s="44">
        <f t="shared" si="14"/>
        <v>23197860</v>
      </c>
      <c r="AB182" s="44">
        <f t="shared" si="17"/>
        <v>0</v>
      </c>
    </row>
    <row r="183" spans="1:28" ht="12.75" customHeight="1">
      <c r="A183" s="44" t="s">
        <v>214</v>
      </c>
      <c r="C183" s="44" t="s">
        <v>86</v>
      </c>
      <c r="E183" s="44">
        <f t="shared" si="15"/>
        <v>12560598</v>
      </c>
      <c r="G183" s="44">
        <f>3852659+125666+40195044</f>
        <v>44173369</v>
      </c>
      <c r="I183" s="44">
        <v>0</v>
      </c>
      <c r="K183" s="44">
        <v>56733967</v>
      </c>
      <c r="M183" s="44">
        <f t="shared" si="16"/>
        <v>3738877</v>
      </c>
      <c r="O183" s="44">
        <f>81971+24657457</f>
        <v>24739428</v>
      </c>
      <c r="Q183" s="44">
        <v>28478305</v>
      </c>
      <c r="S183" s="44">
        <v>24898369</v>
      </c>
      <c r="U183" s="44">
        <f>1281909+186683+63795+426046</f>
        <v>1958433</v>
      </c>
      <c r="W183" s="44">
        <v>1398860</v>
      </c>
      <c r="Y183" s="44">
        <f t="shared" si="14"/>
        <v>28255662</v>
      </c>
      <c r="AB183" s="44">
        <f t="shared" si="17"/>
        <v>0</v>
      </c>
    </row>
    <row r="184" spans="1:28" ht="12.75" customHeight="1">
      <c r="A184" s="44" t="s">
        <v>215</v>
      </c>
      <c r="C184" s="44" t="s">
        <v>22</v>
      </c>
      <c r="E184" s="44">
        <f t="shared" si="15"/>
        <v>17551085</v>
      </c>
      <c r="G184" s="44">
        <f>1297800+40819214</f>
        <v>42117014</v>
      </c>
      <c r="I184" s="44">
        <v>0</v>
      </c>
      <c r="K184" s="44">
        <v>59668099</v>
      </c>
      <c r="M184" s="44">
        <f t="shared" si="16"/>
        <v>2423770</v>
      </c>
      <c r="O184" s="44">
        <v>7286784</v>
      </c>
      <c r="Q184" s="44">
        <v>9710554</v>
      </c>
      <c r="S184" s="44">
        <v>39983161</v>
      </c>
      <c r="U184" s="44">
        <f>49957545+1110180-39983161</f>
        <v>11084564</v>
      </c>
      <c r="W184" s="44">
        <v>-1110180</v>
      </c>
      <c r="Y184" s="44">
        <f t="shared" si="14"/>
        <v>49957545</v>
      </c>
      <c r="AB184" s="44">
        <f t="shared" si="17"/>
        <v>0</v>
      </c>
    </row>
    <row r="185" spans="1:28" ht="12.75" customHeight="1">
      <c r="A185" s="44" t="s">
        <v>216</v>
      </c>
      <c r="C185" s="44" t="s">
        <v>45</v>
      </c>
      <c r="E185" s="44">
        <f t="shared" si="15"/>
        <v>7422959</v>
      </c>
      <c r="G185" s="44">
        <f>1029293+4040060</f>
        <v>5069353</v>
      </c>
      <c r="I185" s="44">
        <v>0</v>
      </c>
      <c r="K185" s="44">
        <v>12492312</v>
      </c>
      <c r="M185" s="44">
        <f t="shared" si="16"/>
        <v>2994723</v>
      </c>
      <c r="O185" s="44">
        <v>1703287</v>
      </c>
      <c r="Q185" s="44">
        <v>4698010</v>
      </c>
      <c r="S185" s="44">
        <v>3754436</v>
      </c>
      <c r="U185" s="44">
        <f>1406366+1186813</f>
        <v>2593179</v>
      </c>
      <c r="W185" s="44">
        <v>1446687</v>
      </c>
      <c r="Y185" s="44">
        <f t="shared" si="14"/>
        <v>7794302</v>
      </c>
      <c r="AB185" s="44">
        <f t="shared" si="17"/>
        <v>0</v>
      </c>
    </row>
    <row r="186" spans="1:28" ht="12.75" customHeight="1">
      <c r="A186" s="44" t="s">
        <v>217</v>
      </c>
      <c r="C186" s="44" t="s">
        <v>43</v>
      </c>
      <c r="E186" s="44">
        <f t="shared" si="15"/>
        <v>23052301</v>
      </c>
      <c r="G186" s="44">
        <f>18426733+37156699</f>
        <v>55583432</v>
      </c>
      <c r="I186" s="44">
        <v>0</v>
      </c>
      <c r="K186" s="44">
        <v>78635733</v>
      </c>
      <c r="M186" s="44">
        <f t="shared" si="16"/>
        <v>3944907</v>
      </c>
      <c r="O186" s="44">
        <v>27150776</v>
      </c>
      <c r="Q186" s="44">
        <v>31095683</v>
      </c>
      <c r="S186" s="44">
        <v>27305149</v>
      </c>
      <c r="U186" s="44">
        <f>47540050-27305149-10230103</f>
        <v>10004798</v>
      </c>
      <c r="W186" s="44">
        <v>10230103</v>
      </c>
      <c r="Y186" s="44">
        <f t="shared" si="14"/>
        <v>47540050</v>
      </c>
      <c r="AB186" s="44">
        <f>+K186-Q186-Y186</f>
        <v>0</v>
      </c>
    </row>
    <row r="187" spans="1:28" ht="12.75" hidden="1" customHeight="1">
      <c r="A187" s="44" t="s">
        <v>218</v>
      </c>
      <c r="C187" s="44" t="s">
        <v>27</v>
      </c>
      <c r="E187" s="44">
        <f t="shared" si="15"/>
        <v>0</v>
      </c>
      <c r="M187" s="44">
        <f t="shared" si="16"/>
        <v>0</v>
      </c>
      <c r="Y187" s="44">
        <f t="shared" si="14"/>
        <v>0</v>
      </c>
      <c r="AB187" s="44">
        <f>+K187-Q187-Y187</f>
        <v>0</v>
      </c>
    </row>
    <row r="188" spans="1:28" ht="12.75" customHeight="1">
      <c r="A188" s="44" t="s">
        <v>219</v>
      </c>
      <c r="C188" s="44" t="s">
        <v>199</v>
      </c>
      <c r="E188" s="44">
        <f t="shared" si="15"/>
        <v>3009642</v>
      </c>
      <c r="G188" s="44">
        <f>140108+6267073</f>
        <v>6407181</v>
      </c>
      <c r="I188" s="44">
        <v>0</v>
      </c>
      <c r="K188" s="44">
        <v>9416823</v>
      </c>
      <c r="M188" s="44">
        <f t="shared" si="16"/>
        <v>995647</v>
      </c>
      <c r="O188" s="44">
        <v>1191774</v>
      </c>
      <c r="Q188" s="44">
        <v>2187421</v>
      </c>
      <c r="S188" s="44">
        <v>5216000</v>
      </c>
      <c r="U188" s="44">
        <f>171147+130248+440785+226335</f>
        <v>968515</v>
      </c>
      <c r="W188" s="44">
        <v>1044887</v>
      </c>
      <c r="Y188" s="44">
        <f t="shared" si="14"/>
        <v>7229402</v>
      </c>
      <c r="AB188" s="44">
        <f t="shared" si="17"/>
        <v>0</v>
      </c>
    </row>
    <row r="189" spans="1:28" ht="12.75" customHeight="1">
      <c r="A189" s="44" t="s">
        <v>220</v>
      </c>
      <c r="C189" s="44" t="s">
        <v>66</v>
      </c>
      <c r="E189" s="44">
        <f>+K189-G189-I189</f>
        <v>13435178</v>
      </c>
      <c r="G189" s="44">
        <f>2804350+6237682</f>
        <v>9042032</v>
      </c>
      <c r="I189" s="44">
        <v>0</v>
      </c>
      <c r="K189" s="44">
        <v>22477210</v>
      </c>
      <c r="M189" s="44">
        <f>+Q189-O189</f>
        <v>5077182</v>
      </c>
      <c r="O189" s="44">
        <v>1312559</v>
      </c>
      <c r="Q189" s="44">
        <v>6389741</v>
      </c>
      <c r="S189" s="44">
        <v>6072494</v>
      </c>
      <c r="U189" s="44">
        <f>368513+27287+659233+343994+169291+579433</f>
        <v>2147751</v>
      </c>
      <c r="W189" s="44">
        <v>7867224</v>
      </c>
      <c r="Y189" s="44">
        <f t="shared" si="14"/>
        <v>16087469</v>
      </c>
      <c r="AB189" s="44">
        <f>+K189-Q189-Y189</f>
        <v>0</v>
      </c>
    </row>
    <row r="190" spans="1:28" ht="12.75" customHeight="1">
      <c r="A190" s="44" t="s">
        <v>221</v>
      </c>
      <c r="C190" s="44" t="s">
        <v>27</v>
      </c>
      <c r="E190" s="44">
        <f>+K190-G190-I190</f>
        <v>26628220</v>
      </c>
      <c r="G190" s="44">
        <f>2781576+47391139</f>
        <v>50172715</v>
      </c>
      <c r="I190" s="44">
        <v>0</v>
      </c>
      <c r="K190" s="44">
        <v>76800935</v>
      </c>
      <c r="M190" s="44">
        <f>+Q190-O190</f>
        <v>11251110</v>
      </c>
      <c r="O190" s="44">
        <v>22981130</v>
      </c>
      <c r="Q190" s="44">
        <v>34232240</v>
      </c>
      <c r="S190" s="44">
        <v>30592575</v>
      </c>
      <c r="U190" s="44">
        <f>42568695-30592575-5210492</f>
        <v>6765628</v>
      </c>
      <c r="W190" s="44">
        <v>5210492</v>
      </c>
      <c r="Y190" s="44">
        <f t="shared" si="14"/>
        <v>42568695</v>
      </c>
      <c r="AB190" s="44">
        <f>+K190-Q190-Y190</f>
        <v>0</v>
      </c>
    </row>
    <row r="191" spans="1:28" ht="12.75" customHeight="1">
      <c r="A191" s="44" t="s">
        <v>222</v>
      </c>
      <c r="C191" s="44" t="s">
        <v>47</v>
      </c>
      <c r="E191" s="44">
        <f t="shared" si="15"/>
        <v>8325119</v>
      </c>
      <c r="G191" s="44">
        <f>361137+4355912</f>
        <v>4717049</v>
      </c>
      <c r="I191" s="44">
        <v>0</v>
      </c>
      <c r="K191" s="44">
        <v>13042168</v>
      </c>
      <c r="M191" s="44">
        <f t="shared" si="16"/>
        <v>3657045</v>
      </c>
      <c r="O191" s="44">
        <v>3542129</v>
      </c>
      <c r="Q191" s="44">
        <v>7199174</v>
      </c>
      <c r="S191" s="44">
        <v>4377049</v>
      </c>
      <c r="U191" s="44">
        <f>833034+1008494</f>
        <v>1841528</v>
      </c>
      <c r="W191" s="44">
        <v>-375583</v>
      </c>
      <c r="Y191" s="44">
        <f t="shared" si="14"/>
        <v>5842994</v>
      </c>
      <c r="AB191" s="44">
        <f t="shared" si="17"/>
        <v>0</v>
      </c>
    </row>
    <row r="192" spans="1:28" ht="12.75" customHeight="1">
      <c r="A192" s="44" t="s">
        <v>223</v>
      </c>
      <c r="C192" s="44" t="s">
        <v>94</v>
      </c>
      <c r="E192" s="44">
        <f t="shared" si="15"/>
        <v>5335115</v>
      </c>
      <c r="G192" s="44">
        <f>4995691+13547392</f>
        <v>18543083</v>
      </c>
      <c r="I192" s="44">
        <v>0</v>
      </c>
      <c r="K192" s="44">
        <v>23878198</v>
      </c>
      <c r="M192" s="44">
        <f t="shared" si="16"/>
        <v>2406698</v>
      </c>
      <c r="O192" s="44">
        <v>3670553</v>
      </c>
      <c r="Q192" s="44">
        <v>6077251</v>
      </c>
      <c r="S192" s="44">
        <v>14201641</v>
      </c>
      <c r="U192" s="44">
        <f>50455+369858+326820+191303+632125+16885</f>
        <v>1587446</v>
      </c>
      <c r="W192" s="44">
        <v>2011860</v>
      </c>
      <c r="Y192" s="44">
        <f t="shared" si="14"/>
        <v>17800947</v>
      </c>
      <c r="AB192" s="44">
        <f t="shared" si="17"/>
        <v>0</v>
      </c>
    </row>
    <row r="193" spans="1:31" ht="12.75" customHeight="1">
      <c r="A193" s="44" t="s">
        <v>76</v>
      </c>
      <c r="B193" s="44"/>
      <c r="C193" s="44" t="s">
        <v>132</v>
      </c>
      <c r="D193" s="44"/>
      <c r="E193" s="44">
        <f>+K193-G193-I193</f>
        <v>37214310</v>
      </c>
      <c r="G193" s="44">
        <f>9261426+41333384</f>
        <v>50594810</v>
      </c>
      <c r="I193" s="44">
        <v>0</v>
      </c>
      <c r="K193" s="44">
        <v>87809120</v>
      </c>
      <c r="M193" s="44">
        <f t="shared" si="16"/>
        <v>12599962</v>
      </c>
      <c r="O193" s="44">
        <v>23374117</v>
      </c>
      <c r="Q193" s="44">
        <v>35974079</v>
      </c>
      <c r="S193" s="44">
        <v>33005235</v>
      </c>
      <c r="U193" s="44">
        <f>51835041-33005235+2969219</f>
        <v>21799025</v>
      </c>
      <c r="W193" s="44">
        <v>-2969219</v>
      </c>
      <c r="Y193" s="44">
        <f t="shared" si="14"/>
        <v>51835041</v>
      </c>
      <c r="AB193" s="44">
        <f t="shared" si="17"/>
        <v>0</v>
      </c>
    </row>
    <row r="194" spans="1:31" ht="12.75" customHeight="1">
      <c r="A194" s="44" t="s">
        <v>224</v>
      </c>
      <c r="C194" s="44" t="s">
        <v>27</v>
      </c>
      <c r="E194" s="44">
        <f>+K194-G194-I194</f>
        <v>16785689</v>
      </c>
      <c r="G194" s="44">
        <f>5699519+16447860</f>
        <v>22147379</v>
      </c>
      <c r="I194" s="44">
        <v>0</v>
      </c>
      <c r="K194" s="44">
        <v>38933068</v>
      </c>
      <c r="M194" s="44">
        <f t="shared" si="16"/>
        <v>9427073</v>
      </c>
      <c r="O194" s="44">
        <v>14107249</v>
      </c>
      <c r="Q194" s="44">
        <v>23534322</v>
      </c>
      <c r="S194" s="44">
        <v>3660747</v>
      </c>
      <c r="U194" s="44">
        <f>1921641+3046317</f>
        <v>4967958</v>
      </c>
      <c r="W194" s="44">
        <v>6770041</v>
      </c>
      <c r="Y194" s="44">
        <f t="shared" si="14"/>
        <v>15398746</v>
      </c>
      <c r="AB194" s="44">
        <f t="shared" si="17"/>
        <v>0</v>
      </c>
    </row>
    <row r="195" spans="1:31" ht="12.75" customHeight="1">
      <c r="Y195" s="48" t="s">
        <v>484</v>
      </c>
    </row>
    <row r="196" spans="1:31" ht="12.75" customHeight="1">
      <c r="A196" s="44" t="s">
        <v>225</v>
      </c>
      <c r="C196" s="44" t="s">
        <v>27</v>
      </c>
      <c r="E196" s="46">
        <f t="shared" si="15"/>
        <v>70225756</v>
      </c>
      <c r="F196" s="46"/>
      <c r="G196" s="46">
        <f>23114129+58621661</f>
        <v>81735790</v>
      </c>
      <c r="H196" s="46"/>
      <c r="I196" s="46">
        <v>0</v>
      </c>
      <c r="J196" s="46"/>
      <c r="K196" s="46">
        <v>151961546</v>
      </c>
      <c r="L196" s="46"/>
      <c r="M196" s="46">
        <f t="shared" si="16"/>
        <v>16935781</v>
      </c>
      <c r="N196" s="46"/>
      <c r="O196" s="46">
        <v>28392757</v>
      </c>
      <c r="P196" s="46"/>
      <c r="Q196" s="46">
        <v>45328538</v>
      </c>
      <c r="R196" s="46"/>
      <c r="S196" s="46">
        <v>58708166</v>
      </c>
      <c r="T196" s="46"/>
      <c r="U196" s="46">
        <f>25606578+915681+6091245</f>
        <v>32613504</v>
      </c>
      <c r="V196" s="46"/>
      <c r="W196" s="46">
        <v>15311338</v>
      </c>
      <c r="X196" s="46"/>
      <c r="Y196" s="46">
        <f t="shared" si="14"/>
        <v>106633008</v>
      </c>
      <c r="Z196" s="46"/>
      <c r="AA196" s="46"/>
      <c r="AB196" s="46">
        <f>+K196-Q196-Y196</f>
        <v>0</v>
      </c>
      <c r="AC196" s="46"/>
      <c r="AD196" s="46"/>
      <c r="AE196" s="46"/>
    </row>
    <row r="197" spans="1:31" ht="12.75" customHeight="1">
      <c r="A197" s="44" t="s">
        <v>226</v>
      </c>
      <c r="C197" s="44" t="s">
        <v>45</v>
      </c>
      <c r="E197" s="44">
        <f t="shared" si="15"/>
        <v>17712754</v>
      </c>
      <c r="G197" s="44">
        <f>10052540+24406959</f>
        <v>34459499</v>
      </c>
      <c r="I197" s="44">
        <v>0</v>
      </c>
      <c r="K197" s="44">
        <v>52172253</v>
      </c>
      <c r="M197" s="44">
        <f t="shared" si="16"/>
        <v>8592649</v>
      </c>
      <c r="O197" s="44">
        <v>15387076</v>
      </c>
      <c r="Q197" s="44">
        <v>23979725</v>
      </c>
      <c r="S197" s="44">
        <v>15333356</v>
      </c>
      <c r="U197" s="44">
        <f>28192528-15333356-4001172</f>
        <v>8858000</v>
      </c>
      <c r="W197" s="44">
        <v>4001172</v>
      </c>
      <c r="Y197" s="44">
        <f t="shared" si="14"/>
        <v>28192528</v>
      </c>
      <c r="AB197" s="44">
        <f t="shared" si="17"/>
        <v>0</v>
      </c>
    </row>
    <row r="198" spans="1:31" s="46" customFormat="1" ht="12.75" customHeight="1">
      <c r="A198" s="46" t="s">
        <v>227</v>
      </c>
      <c r="C198" s="46" t="s">
        <v>17</v>
      </c>
      <c r="E198" s="44">
        <f t="shared" si="15"/>
        <v>9492348</v>
      </c>
      <c r="F198" s="44"/>
      <c r="G198" s="44">
        <f>1051422+13012040</f>
        <v>14063462</v>
      </c>
      <c r="H198" s="44"/>
      <c r="I198" s="44">
        <v>0</v>
      </c>
      <c r="J198" s="44"/>
      <c r="K198" s="44">
        <v>23555810</v>
      </c>
      <c r="L198" s="44"/>
      <c r="M198" s="44">
        <f t="shared" si="16"/>
        <v>6278359</v>
      </c>
      <c r="N198" s="44"/>
      <c r="O198" s="44">
        <v>2657755</v>
      </c>
      <c r="P198" s="44"/>
      <c r="Q198" s="44">
        <v>8936114</v>
      </c>
      <c r="R198" s="44"/>
      <c r="S198" s="44">
        <v>11063069</v>
      </c>
      <c r="T198" s="44"/>
      <c r="U198" s="44">
        <f>14619696-11063069-992171</f>
        <v>2564456</v>
      </c>
      <c r="V198" s="44"/>
      <c r="W198" s="44">
        <v>992171</v>
      </c>
      <c r="X198" s="44"/>
      <c r="Y198" s="44">
        <f t="shared" ref="Y198:Y214" si="18">S198+U198+W198</f>
        <v>14619696</v>
      </c>
      <c r="Z198" s="44"/>
      <c r="AA198" s="44"/>
      <c r="AB198" s="44">
        <f t="shared" si="17"/>
        <v>0</v>
      </c>
    </row>
    <row r="199" spans="1:31" ht="12.75" customHeight="1">
      <c r="A199" s="44" t="s">
        <v>228</v>
      </c>
      <c r="C199" s="44" t="s">
        <v>153</v>
      </c>
      <c r="E199" s="44">
        <f t="shared" si="15"/>
        <v>7533619</v>
      </c>
      <c r="G199" s="44">
        <v>17434359</v>
      </c>
      <c r="I199" s="44">
        <v>0</v>
      </c>
      <c r="K199" s="44">
        <v>24967978</v>
      </c>
      <c r="M199" s="44">
        <f t="shared" si="16"/>
        <v>1788116</v>
      </c>
      <c r="O199" s="44">
        <v>1203663</v>
      </c>
      <c r="Q199" s="44">
        <v>2991779</v>
      </c>
      <c r="S199" s="44">
        <v>16335343</v>
      </c>
      <c r="U199" s="44">
        <f>21976199-16335343-1128018</f>
        <v>4512838</v>
      </c>
      <c r="W199" s="44">
        <v>1128018</v>
      </c>
      <c r="Y199" s="44">
        <f t="shared" si="18"/>
        <v>21976199</v>
      </c>
      <c r="AB199" s="44">
        <f t="shared" si="17"/>
        <v>0</v>
      </c>
    </row>
    <row r="200" spans="1:31" ht="12.75" customHeight="1">
      <c r="A200" s="44" t="s">
        <v>229</v>
      </c>
      <c r="C200" s="44" t="s">
        <v>228</v>
      </c>
      <c r="E200" s="44">
        <f t="shared" si="15"/>
        <v>19045061</v>
      </c>
      <c r="G200" s="44">
        <f>44042017+710252+7628644</f>
        <v>52380913</v>
      </c>
      <c r="I200" s="44">
        <v>0</v>
      </c>
      <c r="K200" s="44">
        <v>71425974</v>
      </c>
      <c r="M200" s="44">
        <f t="shared" si="16"/>
        <v>5155315</v>
      </c>
      <c r="O200" s="44">
        <v>9345368</v>
      </c>
      <c r="Q200" s="44">
        <v>14500683</v>
      </c>
      <c r="S200" s="44">
        <v>43433659</v>
      </c>
      <c r="U200" s="44">
        <f>10717+509241+360017+162247</f>
        <v>1042222</v>
      </c>
      <c r="W200" s="44">
        <v>12449410</v>
      </c>
      <c r="Y200" s="44">
        <f t="shared" si="18"/>
        <v>56925291</v>
      </c>
      <c r="AB200" s="44">
        <f t="shared" si="17"/>
        <v>0</v>
      </c>
    </row>
    <row r="201" spans="1:31" ht="12.75" customHeight="1">
      <c r="A201" s="44" t="s">
        <v>230</v>
      </c>
      <c r="C201" s="44" t="s">
        <v>45</v>
      </c>
      <c r="E201" s="44">
        <f t="shared" si="15"/>
        <v>4717348</v>
      </c>
      <c r="G201" s="44">
        <f>1263932+2954238</f>
        <v>4218170</v>
      </c>
      <c r="I201" s="44">
        <v>0</v>
      </c>
      <c r="K201" s="44">
        <v>8935518</v>
      </c>
      <c r="M201" s="44">
        <f t="shared" si="16"/>
        <v>2217421</v>
      </c>
      <c r="O201" s="44">
        <v>1865296</v>
      </c>
      <c r="Q201" s="44">
        <v>4082717</v>
      </c>
      <c r="S201" s="44">
        <v>2515127</v>
      </c>
      <c r="U201" s="44">
        <f>39455+449435</f>
        <v>488890</v>
      </c>
      <c r="W201" s="44">
        <v>1848784</v>
      </c>
      <c r="Y201" s="44">
        <f t="shared" si="18"/>
        <v>4852801</v>
      </c>
      <c r="AB201" s="44">
        <f t="shared" si="17"/>
        <v>0</v>
      </c>
    </row>
    <row r="202" spans="1:31" ht="12.75" customHeight="1">
      <c r="A202" s="44" t="s">
        <v>231</v>
      </c>
      <c r="C202" s="44" t="s">
        <v>27</v>
      </c>
      <c r="E202" s="44">
        <f t="shared" si="15"/>
        <v>64958556</v>
      </c>
      <c r="G202" s="44">
        <f>10891294+96559886</f>
        <v>107451180</v>
      </c>
      <c r="I202" s="44">
        <v>0</v>
      </c>
      <c r="K202" s="44">
        <v>172409736</v>
      </c>
      <c r="M202" s="44">
        <f t="shared" si="16"/>
        <v>16704909</v>
      </c>
      <c r="O202" s="44">
        <v>22320256</v>
      </c>
      <c r="Q202" s="44">
        <v>39025165</v>
      </c>
      <c r="S202" s="44">
        <v>92250325</v>
      </c>
      <c r="U202" s="44">
        <f>133384571-12324836-92250325</f>
        <v>28809410</v>
      </c>
      <c r="W202" s="44">
        <v>12324836</v>
      </c>
      <c r="Y202" s="44">
        <f t="shared" si="18"/>
        <v>133384571</v>
      </c>
      <c r="AB202" s="44">
        <f t="shared" si="17"/>
        <v>0</v>
      </c>
    </row>
    <row r="203" spans="1:31" ht="12.75" customHeight="1">
      <c r="A203" s="44" t="s">
        <v>232</v>
      </c>
      <c r="C203" s="44" t="s">
        <v>27</v>
      </c>
      <c r="E203" s="44">
        <f t="shared" si="15"/>
        <v>45204216</v>
      </c>
      <c r="G203" s="44">
        <f>3219895+38968894</f>
        <v>42188789</v>
      </c>
      <c r="I203" s="44">
        <v>0</v>
      </c>
      <c r="K203" s="44">
        <v>87393005</v>
      </c>
      <c r="M203" s="44">
        <f t="shared" si="16"/>
        <v>11281021</v>
      </c>
      <c r="O203" s="44">
        <v>30456759</v>
      </c>
      <c r="Q203" s="44">
        <v>41737780</v>
      </c>
      <c r="S203" s="44">
        <v>30383626</v>
      </c>
      <c r="U203" s="44">
        <f>45655225-30383626-5754886</f>
        <v>9516713</v>
      </c>
      <c r="W203" s="44">
        <v>5754886</v>
      </c>
      <c r="Y203" s="44">
        <f t="shared" si="18"/>
        <v>45655225</v>
      </c>
      <c r="AB203" s="44">
        <f t="shared" si="17"/>
        <v>0</v>
      </c>
    </row>
    <row r="204" spans="1:31" ht="12.75" customHeight="1">
      <c r="A204" s="44" t="s">
        <v>233</v>
      </c>
      <c r="C204" s="44" t="s">
        <v>111</v>
      </c>
      <c r="E204" s="44">
        <f t="shared" si="15"/>
        <v>48442616</v>
      </c>
      <c r="G204" s="44">
        <f>20105343+191667</f>
        <v>20297010</v>
      </c>
      <c r="I204" s="44">
        <v>0</v>
      </c>
      <c r="K204" s="44">
        <v>68739626</v>
      </c>
      <c r="M204" s="44">
        <f t="shared" si="16"/>
        <v>5642247</v>
      </c>
      <c r="O204" s="44">
        <v>12534124</v>
      </c>
      <c r="Q204" s="44">
        <v>18176371</v>
      </c>
      <c r="S204" s="44">
        <v>28928245</v>
      </c>
      <c r="U204" s="44">
        <f>6292181+4354019+1794071</f>
        <v>12440271</v>
      </c>
      <c r="W204" s="44">
        <v>9194739</v>
      </c>
      <c r="Y204" s="44">
        <f t="shared" si="18"/>
        <v>50563255</v>
      </c>
      <c r="AB204" s="44">
        <f t="shared" si="17"/>
        <v>0</v>
      </c>
    </row>
    <row r="205" spans="1:31" ht="12.75" customHeight="1">
      <c r="A205" s="44" t="s">
        <v>234</v>
      </c>
      <c r="C205" s="44" t="s">
        <v>45</v>
      </c>
      <c r="E205" s="44">
        <f t="shared" si="15"/>
        <v>-28443693</v>
      </c>
      <c r="G205" s="44">
        <f>47281728+40326308</f>
        <v>87608036</v>
      </c>
      <c r="I205" s="44">
        <v>0</v>
      </c>
      <c r="K205" s="44">
        <v>59164343</v>
      </c>
      <c r="M205" s="44">
        <f t="shared" si="16"/>
        <v>4194177</v>
      </c>
      <c r="O205" s="44">
        <v>6396004</v>
      </c>
      <c r="Q205" s="44">
        <v>10590181</v>
      </c>
      <c r="S205" s="44">
        <v>37784204</v>
      </c>
      <c r="U205" s="44">
        <f>974457+304503+343119</f>
        <v>1622079</v>
      </c>
      <c r="W205" s="44">
        <v>9167879</v>
      </c>
      <c r="Y205" s="44">
        <f t="shared" si="18"/>
        <v>48574162</v>
      </c>
      <c r="AB205" s="44">
        <f t="shared" si="17"/>
        <v>0</v>
      </c>
    </row>
    <row r="206" spans="1:31" ht="12.75" customHeight="1">
      <c r="A206" s="44" t="s">
        <v>235</v>
      </c>
      <c r="C206" s="44" t="s">
        <v>183</v>
      </c>
      <c r="E206" s="44">
        <f t="shared" si="15"/>
        <v>65250558</v>
      </c>
      <c r="G206" s="44">
        <f>9599057+6241488+56331348</f>
        <v>72171893</v>
      </c>
      <c r="I206" s="44">
        <v>0</v>
      </c>
      <c r="J206" s="44" t="s">
        <v>461</v>
      </c>
      <c r="K206" s="44">
        <v>137422451</v>
      </c>
      <c r="M206" s="44">
        <f t="shared" si="16"/>
        <v>16783439</v>
      </c>
      <c r="O206" s="44">
        <v>23303326</v>
      </c>
      <c r="Q206" s="44">
        <v>40086765</v>
      </c>
      <c r="S206" s="44">
        <v>72139031</v>
      </c>
      <c r="U206" s="44">
        <f>97335686-9809389-72139031</f>
        <v>15387266</v>
      </c>
      <c r="W206" s="44">
        <v>9809389</v>
      </c>
      <c r="Y206" s="44">
        <f t="shared" si="18"/>
        <v>97335686</v>
      </c>
      <c r="AB206" s="44">
        <f t="shared" si="17"/>
        <v>0</v>
      </c>
    </row>
    <row r="207" spans="1:31" ht="12.75" customHeight="1">
      <c r="A207" s="44" t="s">
        <v>236</v>
      </c>
      <c r="C207" s="44" t="s">
        <v>45</v>
      </c>
      <c r="E207" s="44">
        <f t="shared" si="15"/>
        <v>13525119</v>
      </c>
      <c r="G207" s="44">
        <f>4945496+11940864</f>
        <v>16886360</v>
      </c>
      <c r="I207" s="44">
        <v>0</v>
      </c>
      <c r="K207" s="44">
        <v>30411479</v>
      </c>
      <c r="M207" s="44">
        <f t="shared" si="16"/>
        <v>3308169</v>
      </c>
      <c r="O207" s="44">
        <v>4478751</v>
      </c>
      <c r="Q207" s="44">
        <v>7786920</v>
      </c>
      <c r="S207" s="44">
        <v>14193458</v>
      </c>
      <c r="U207" s="44">
        <f>618403+1513821</f>
        <v>2132224</v>
      </c>
      <c r="W207" s="44">
        <v>6298877</v>
      </c>
      <c r="Y207" s="44">
        <f t="shared" si="18"/>
        <v>22624559</v>
      </c>
      <c r="AB207" s="44">
        <f t="shared" si="17"/>
        <v>0</v>
      </c>
    </row>
    <row r="208" spans="1:31" ht="12.75" customHeight="1">
      <c r="A208" s="44" t="s">
        <v>237</v>
      </c>
      <c r="C208" s="44" t="s">
        <v>33</v>
      </c>
      <c r="E208" s="44">
        <f t="shared" si="15"/>
        <v>3801370</v>
      </c>
      <c r="G208" s="44">
        <f>1325583+3875119</f>
        <v>5200702</v>
      </c>
      <c r="I208" s="44">
        <v>0</v>
      </c>
      <c r="K208" s="44">
        <v>9002072</v>
      </c>
      <c r="M208" s="44">
        <f t="shared" si="16"/>
        <v>1432663</v>
      </c>
      <c r="O208" s="44">
        <v>1186318</v>
      </c>
      <c r="Q208" s="44">
        <v>2618981</v>
      </c>
      <c r="S208" s="44">
        <v>3959006</v>
      </c>
      <c r="U208" s="44">
        <f>258297+10579+1514098</f>
        <v>1782974</v>
      </c>
      <c r="W208" s="44">
        <v>641111</v>
      </c>
      <c r="Y208" s="44">
        <f t="shared" si="18"/>
        <v>6383091</v>
      </c>
      <c r="AB208" s="44">
        <f t="shared" si="17"/>
        <v>0</v>
      </c>
    </row>
    <row r="209" spans="1:31" ht="12.75" customHeight="1">
      <c r="A209" s="44" t="s">
        <v>238</v>
      </c>
      <c r="C209" s="44" t="s">
        <v>239</v>
      </c>
      <c r="E209" s="44">
        <f>+K209-G209-I209</f>
        <v>16724794</v>
      </c>
      <c r="G209" s="44">
        <v>18031079</v>
      </c>
      <c r="I209" s="44">
        <v>0</v>
      </c>
      <c r="K209" s="44">
        <v>34755873</v>
      </c>
      <c r="M209" s="44">
        <f t="shared" si="16"/>
        <v>1277718</v>
      </c>
      <c r="O209" s="44">
        <v>299433</v>
      </c>
      <c r="Q209" s="44">
        <v>1577151</v>
      </c>
      <c r="S209" s="44">
        <v>17934079</v>
      </c>
      <c r="U209" s="44">
        <f>6222283+192823+1504251+2247429+43820</f>
        <v>10210606</v>
      </c>
      <c r="W209" s="44">
        <v>5034037</v>
      </c>
      <c r="Y209" s="44">
        <f t="shared" si="18"/>
        <v>33178722</v>
      </c>
      <c r="AB209" s="44">
        <f t="shared" si="17"/>
        <v>0</v>
      </c>
    </row>
    <row r="210" spans="1:31" ht="12.75" customHeight="1">
      <c r="A210" s="44" t="s">
        <v>486</v>
      </c>
      <c r="C210" s="44" t="s">
        <v>249</v>
      </c>
      <c r="E210" s="44">
        <f>+K210-G210-I210</f>
        <v>17147686</v>
      </c>
      <c r="G210" s="44">
        <v>17552636</v>
      </c>
      <c r="I210" s="44">
        <v>0</v>
      </c>
      <c r="K210" s="44">
        <v>34700322</v>
      </c>
      <c r="M210" s="44">
        <f>+Q210-O210</f>
        <v>4573018</v>
      </c>
      <c r="O210" s="44">
        <v>5022036</v>
      </c>
      <c r="Q210" s="44">
        <v>9595054</v>
      </c>
      <c r="S210" s="44">
        <v>16103015</v>
      </c>
      <c r="U210" s="44">
        <f>25105268-16103015+2204727</f>
        <v>11206980</v>
      </c>
      <c r="W210" s="44">
        <v>-2204727</v>
      </c>
      <c r="Y210" s="44">
        <f>S210+U210+W210</f>
        <v>25105268</v>
      </c>
      <c r="AB210" s="44">
        <f>+K210-Q210-Y210</f>
        <v>0</v>
      </c>
    </row>
    <row r="211" spans="1:31" ht="12.75" customHeight="1">
      <c r="A211" s="44" t="s">
        <v>240</v>
      </c>
      <c r="C211" s="44" t="s">
        <v>13</v>
      </c>
      <c r="E211" s="44">
        <f t="shared" si="15"/>
        <v>30520171</v>
      </c>
      <c r="G211" s="44">
        <v>61048860</v>
      </c>
      <c r="I211" s="44">
        <v>0</v>
      </c>
      <c r="K211" s="44">
        <v>91569031</v>
      </c>
      <c r="M211" s="44">
        <f t="shared" si="16"/>
        <v>13742413</v>
      </c>
      <c r="O211" s="44">
        <v>29251965</v>
      </c>
      <c r="Q211" s="44">
        <v>42994378</v>
      </c>
      <c r="S211" s="44">
        <v>34242932</v>
      </c>
      <c r="U211" s="44">
        <f>48574653-34242932-2893903</f>
        <v>11437818</v>
      </c>
      <c r="W211" s="44">
        <v>2893903</v>
      </c>
      <c r="Y211" s="44">
        <f t="shared" si="18"/>
        <v>48574653</v>
      </c>
      <c r="AB211" s="44">
        <f t="shared" si="17"/>
        <v>0</v>
      </c>
    </row>
    <row r="212" spans="1:31" s="121" customFormat="1" ht="12.75" hidden="1" customHeight="1">
      <c r="A212" s="44" t="s">
        <v>241</v>
      </c>
      <c r="B212" s="47"/>
      <c r="C212" s="44" t="s">
        <v>22</v>
      </c>
      <c r="D212" s="47"/>
      <c r="E212" s="44">
        <f t="shared" si="15"/>
        <v>0</v>
      </c>
      <c r="F212" s="44"/>
      <c r="G212" s="44"/>
      <c r="H212" s="44"/>
      <c r="I212" s="44"/>
      <c r="J212" s="44"/>
      <c r="K212" s="44"/>
      <c r="L212" s="44"/>
      <c r="M212" s="44">
        <f t="shared" si="16"/>
        <v>0</v>
      </c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>
        <f t="shared" si="18"/>
        <v>0</v>
      </c>
      <c r="Z212" s="44"/>
      <c r="AA212" s="44"/>
      <c r="AB212" s="44">
        <f t="shared" si="17"/>
        <v>0</v>
      </c>
    </row>
    <row r="213" spans="1:31" ht="12.75" customHeight="1">
      <c r="A213" s="44" t="s">
        <v>242</v>
      </c>
      <c r="C213" s="44" t="s">
        <v>27</v>
      </c>
      <c r="E213" s="44">
        <f t="shared" si="15"/>
        <v>55651829</v>
      </c>
      <c r="G213" s="44">
        <f>9533153+172454902</f>
        <v>181988055</v>
      </c>
      <c r="I213" s="44">
        <v>0</v>
      </c>
      <c r="K213" s="44">
        <v>237639884</v>
      </c>
      <c r="M213" s="44">
        <f t="shared" si="16"/>
        <v>34138514</v>
      </c>
      <c r="O213" s="44">
        <v>37593583</v>
      </c>
      <c r="Q213" s="44">
        <v>71732097</v>
      </c>
      <c r="S213" s="44">
        <v>143431182</v>
      </c>
      <c r="U213" s="44">
        <f>4384860+6941526</f>
        <v>11326386</v>
      </c>
      <c r="W213" s="44">
        <v>11150219</v>
      </c>
      <c r="Y213" s="44">
        <f t="shared" si="18"/>
        <v>165907787</v>
      </c>
      <c r="AB213" s="44">
        <f t="shared" si="17"/>
        <v>0</v>
      </c>
    </row>
    <row r="214" spans="1:31" ht="12.75" customHeight="1">
      <c r="A214" s="44" t="s">
        <v>243</v>
      </c>
      <c r="C214" s="44" t="s">
        <v>163</v>
      </c>
      <c r="E214" s="44">
        <f t="shared" ref="E214" si="19">+K214-G214-I214</f>
        <v>33495175</v>
      </c>
      <c r="G214" s="44">
        <f>9046429+24797897</f>
        <v>33844326</v>
      </c>
      <c r="I214" s="44">
        <v>0</v>
      </c>
      <c r="K214" s="44">
        <v>67339501</v>
      </c>
      <c r="M214" s="44">
        <f t="shared" ref="M214" si="20">+Q214-O214</f>
        <v>4453775</v>
      </c>
      <c r="O214" s="44">
        <v>15596705</v>
      </c>
      <c r="Q214" s="44">
        <v>20050480</v>
      </c>
      <c r="S214" s="44">
        <v>18839904</v>
      </c>
      <c r="U214" s="44">
        <f>23301382+140769+2918714</f>
        <v>26360865</v>
      </c>
      <c r="W214" s="44">
        <v>2088252</v>
      </c>
      <c r="Y214" s="44">
        <f t="shared" si="18"/>
        <v>47289021</v>
      </c>
      <c r="AB214" s="44">
        <f t="shared" ref="AB214" si="21">+K214-Q214-Y214</f>
        <v>0</v>
      </c>
    </row>
    <row r="215" spans="1:31" ht="12.75" customHeight="1">
      <c r="A215" s="44" t="s">
        <v>244</v>
      </c>
      <c r="C215" s="44" t="s">
        <v>13</v>
      </c>
      <c r="E215" s="44">
        <f t="shared" ref="E215:E255" si="22">+K215-G215-I215</f>
        <v>10904461</v>
      </c>
      <c r="G215" s="44">
        <v>28730877</v>
      </c>
      <c r="I215" s="44">
        <v>0</v>
      </c>
      <c r="K215" s="44">
        <v>39635338</v>
      </c>
      <c r="M215" s="44">
        <f t="shared" ref="M215:M255" si="23">+Q215-O215</f>
        <v>4492728</v>
      </c>
      <c r="O215" s="44">
        <v>12825732</v>
      </c>
      <c r="Q215" s="44">
        <v>17318460</v>
      </c>
      <c r="S215" s="44">
        <v>18719874</v>
      </c>
      <c r="U215" s="44">
        <f>711687+53728+378851+684642+56561+7879+9120</f>
        <v>1902468</v>
      </c>
      <c r="W215" s="44">
        <v>1694536</v>
      </c>
      <c r="Y215" s="44">
        <f t="shared" ref="Y215:Y255" si="24">S215+U215+W215</f>
        <v>22316878</v>
      </c>
      <c r="AB215" s="44">
        <f t="shared" ref="AB215:AB255" si="25">+K215-Q215-Y215</f>
        <v>0</v>
      </c>
    </row>
    <row r="216" spans="1:31" ht="12.75" customHeight="1">
      <c r="A216" s="44" t="s">
        <v>245</v>
      </c>
      <c r="C216" s="44" t="s">
        <v>110</v>
      </c>
      <c r="E216" s="44">
        <f t="shared" si="22"/>
        <v>10308888</v>
      </c>
      <c r="G216" s="44">
        <v>20821417</v>
      </c>
      <c r="I216" s="44">
        <v>0</v>
      </c>
      <c r="K216" s="44">
        <v>31130305</v>
      </c>
      <c r="M216" s="44">
        <f t="shared" si="23"/>
        <v>4005754</v>
      </c>
      <c r="O216" s="44">
        <v>1099070</v>
      </c>
      <c r="Q216" s="44">
        <v>5104824</v>
      </c>
      <c r="S216" s="44">
        <v>18766481</v>
      </c>
      <c r="U216" s="44">
        <f>26025481-3592587-18766481</f>
        <v>3666413</v>
      </c>
      <c r="W216" s="44">
        <v>3592587</v>
      </c>
      <c r="Y216" s="44">
        <f t="shared" si="24"/>
        <v>26025481</v>
      </c>
      <c r="AB216" s="44">
        <f t="shared" si="25"/>
        <v>0</v>
      </c>
    </row>
    <row r="217" spans="1:31" ht="12.75" customHeight="1">
      <c r="A217" s="44" t="s">
        <v>246</v>
      </c>
      <c r="C217" s="44" t="s">
        <v>209</v>
      </c>
      <c r="E217" s="44">
        <f t="shared" si="22"/>
        <v>9359557</v>
      </c>
      <c r="G217" s="44">
        <f>13237135+26344596</f>
        <v>39581731</v>
      </c>
      <c r="I217" s="44">
        <v>0</v>
      </c>
      <c r="K217" s="44">
        <v>48941288</v>
      </c>
      <c r="M217" s="44">
        <f t="shared" si="23"/>
        <v>3517946</v>
      </c>
      <c r="O217" s="44">
        <v>5482798</v>
      </c>
      <c r="Q217" s="44">
        <v>9000744</v>
      </c>
      <c r="S217" s="44">
        <v>32242094</v>
      </c>
      <c r="U217" s="44">
        <f>39940544-5455035-32242094</f>
        <v>2243415</v>
      </c>
      <c r="W217" s="44">
        <v>5455035</v>
      </c>
      <c r="Y217" s="44">
        <f t="shared" si="24"/>
        <v>39940544</v>
      </c>
      <c r="AB217" s="44">
        <f t="shared" si="25"/>
        <v>0</v>
      </c>
    </row>
    <row r="218" spans="1:31" ht="12.75" customHeight="1">
      <c r="A218" s="44" t="s">
        <v>247</v>
      </c>
      <c r="C218" s="44" t="s">
        <v>163</v>
      </c>
      <c r="E218" s="44">
        <f t="shared" si="22"/>
        <v>202887000</v>
      </c>
      <c r="G218" s="44">
        <f>25131000+496181000</f>
        <v>521312000</v>
      </c>
      <c r="I218" s="44">
        <v>262000</v>
      </c>
      <c r="K218" s="44">
        <v>724461000</v>
      </c>
      <c r="M218" s="44">
        <f t="shared" si="23"/>
        <v>120679000</v>
      </c>
      <c r="O218" s="44">
        <v>213322000</v>
      </c>
      <c r="Q218" s="44">
        <v>334001000</v>
      </c>
      <c r="S218" s="44">
        <v>338428000</v>
      </c>
      <c r="U218" s="44">
        <f>5421000+25978000+20633000</f>
        <v>52032000</v>
      </c>
      <c r="W218" s="44">
        <v>0</v>
      </c>
      <c r="Y218" s="44">
        <f>S218+U218+W218</f>
        <v>390460000</v>
      </c>
      <c r="AB218" s="44">
        <f>+K218-Q218-Y218</f>
        <v>0</v>
      </c>
    </row>
    <row r="219" spans="1:31" ht="12.75" customHeight="1">
      <c r="A219" s="44" t="s">
        <v>248</v>
      </c>
      <c r="C219" s="44" t="s">
        <v>249</v>
      </c>
      <c r="E219" s="44">
        <f t="shared" si="22"/>
        <v>4295264</v>
      </c>
      <c r="G219" s="44">
        <f>167295+3330795</f>
        <v>3498090</v>
      </c>
      <c r="I219" s="44">
        <v>0</v>
      </c>
      <c r="K219" s="44">
        <v>7793354</v>
      </c>
      <c r="M219" s="44">
        <f t="shared" si="23"/>
        <v>414476</v>
      </c>
      <c r="O219" s="44">
        <v>1190204</v>
      </c>
      <c r="Q219" s="44">
        <v>1604680</v>
      </c>
      <c r="S219" s="44">
        <v>2551971</v>
      </c>
      <c r="U219" s="44">
        <f>194266+1578431</f>
        <v>1772697</v>
      </c>
      <c r="W219" s="44">
        <v>1864006</v>
      </c>
      <c r="Y219" s="44">
        <f t="shared" si="24"/>
        <v>6188674</v>
      </c>
      <c r="AB219" s="44">
        <f t="shared" si="25"/>
        <v>0</v>
      </c>
    </row>
    <row r="220" spans="1:31" ht="12.75" customHeight="1">
      <c r="A220" s="44" t="s">
        <v>250</v>
      </c>
      <c r="C220" s="44" t="s">
        <v>103</v>
      </c>
      <c r="E220" s="44">
        <f t="shared" si="22"/>
        <v>4328425</v>
      </c>
      <c r="G220" s="44">
        <f>369473+1683944+663018+2565102-2130708</f>
        <v>3150829</v>
      </c>
      <c r="I220" s="44">
        <v>0</v>
      </c>
      <c r="K220" s="44">
        <v>7479254</v>
      </c>
      <c r="M220" s="44">
        <f t="shared" si="23"/>
        <v>824999</v>
      </c>
      <c r="O220" s="44">
        <v>449722</v>
      </c>
      <c r="Q220" s="44">
        <v>1274721</v>
      </c>
      <c r="S220" s="44">
        <v>2692994</v>
      </c>
      <c r="U220" s="44">
        <f>6204533-2767668-2692994</f>
        <v>743871</v>
      </c>
      <c r="W220" s="44">
        <v>2767668</v>
      </c>
      <c r="Y220" s="44">
        <f t="shared" si="24"/>
        <v>6204533</v>
      </c>
      <c r="AB220" s="44">
        <f t="shared" si="25"/>
        <v>0</v>
      </c>
    </row>
    <row r="221" spans="1:31" ht="12.75" customHeight="1">
      <c r="A221" s="44" t="s">
        <v>251</v>
      </c>
      <c r="C221" s="44" t="s">
        <v>66</v>
      </c>
      <c r="E221" s="44">
        <f t="shared" si="22"/>
        <v>11385893</v>
      </c>
      <c r="G221" s="44">
        <f>28565178+28306674</f>
        <v>56871852</v>
      </c>
      <c r="I221" s="44">
        <v>0</v>
      </c>
      <c r="K221" s="44">
        <v>68257745</v>
      </c>
      <c r="M221" s="44">
        <f t="shared" si="23"/>
        <v>17389221</v>
      </c>
      <c r="O221" s="44">
        <v>8320783</v>
      </c>
      <c r="Q221" s="44">
        <v>25710004</v>
      </c>
      <c r="S221" s="44">
        <v>38614884</v>
      </c>
      <c r="U221" s="44">
        <f>1505411+39182</f>
        <v>1544593</v>
      </c>
      <c r="W221" s="44">
        <v>2388264</v>
      </c>
      <c r="Y221" s="44">
        <f t="shared" si="24"/>
        <v>42547741</v>
      </c>
      <c r="AB221" s="44">
        <f t="shared" si="25"/>
        <v>0</v>
      </c>
    </row>
    <row r="222" spans="1:31" ht="12.75" customHeight="1">
      <c r="A222" s="44" t="s">
        <v>252</v>
      </c>
      <c r="C222" s="44" t="s">
        <v>209</v>
      </c>
      <c r="E222" s="44">
        <f t="shared" si="22"/>
        <v>54686237</v>
      </c>
      <c r="G222" s="44">
        <f>12876312+29177945</f>
        <v>42054257</v>
      </c>
      <c r="I222" s="44">
        <v>0</v>
      </c>
      <c r="K222" s="44">
        <v>96740494</v>
      </c>
      <c r="M222" s="44">
        <f t="shared" si="23"/>
        <v>4798889</v>
      </c>
      <c r="O222" s="44">
        <f>11335689</f>
        <v>11335689</v>
      </c>
      <c r="Q222" s="44">
        <v>16134578</v>
      </c>
      <c r="S222" s="44">
        <v>31419257</v>
      </c>
      <c r="U222" s="44">
        <f>7752991+44147+1395200</f>
        <v>9192338</v>
      </c>
      <c r="W222" s="44">
        <v>39994321</v>
      </c>
      <c r="Y222" s="44">
        <f t="shared" si="24"/>
        <v>80605916</v>
      </c>
      <c r="AB222" s="44">
        <f t="shared" si="25"/>
        <v>0</v>
      </c>
    </row>
    <row r="223" spans="1:31" ht="12.75" customHeight="1">
      <c r="A223" s="44" t="s">
        <v>253</v>
      </c>
      <c r="C223" s="44" t="s">
        <v>13</v>
      </c>
      <c r="E223" s="44">
        <f t="shared" si="22"/>
        <v>24099622</v>
      </c>
      <c r="G223" s="44">
        <f>23270469+99912017</f>
        <v>123182486</v>
      </c>
      <c r="I223" s="44">
        <v>0</v>
      </c>
      <c r="K223" s="44">
        <v>147282108</v>
      </c>
      <c r="M223" s="44">
        <f t="shared" si="23"/>
        <v>4316013</v>
      </c>
      <c r="O223" s="44">
        <v>14120165</v>
      </c>
      <c r="Q223" s="44">
        <v>18436178</v>
      </c>
      <c r="S223" s="44">
        <v>109159210</v>
      </c>
      <c r="U223" s="44">
        <f>35163+10072077+4067423</f>
        <v>14174663</v>
      </c>
      <c r="W223" s="44">
        <v>5512057</v>
      </c>
      <c r="Y223" s="44">
        <f>S223+U223+W223</f>
        <v>128845930</v>
      </c>
      <c r="AB223" s="44">
        <f t="shared" si="25"/>
        <v>0</v>
      </c>
    </row>
    <row r="224" spans="1:31" ht="12.75" customHeight="1">
      <c r="A224" s="44" t="s">
        <v>254</v>
      </c>
      <c r="C224" s="44" t="s">
        <v>89</v>
      </c>
      <c r="E224" s="44">
        <f t="shared" si="22"/>
        <v>4125938</v>
      </c>
      <c r="G224" s="44">
        <f>2740431+3045902</f>
        <v>5786333</v>
      </c>
      <c r="I224" s="44">
        <v>0</v>
      </c>
      <c r="K224" s="44">
        <v>9912271</v>
      </c>
      <c r="M224" s="44">
        <f t="shared" si="23"/>
        <v>654597</v>
      </c>
      <c r="O224" s="44">
        <v>1834790</v>
      </c>
      <c r="Q224" s="44">
        <v>2489387</v>
      </c>
      <c r="S224" s="44">
        <v>4362912</v>
      </c>
      <c r="U224" s="44">
        <f>996783+1035011</f>
        <v>2031794</v>
      </c>
      <c r="W224" s="44">
        <v>1028178</v>
      </c>
      <c r="Y224" s="44">
        <f t="shared" si="24"/>
        <v>7422884</v>
      </c>
      <c r="AB224" s="44">
        <f t="shared" si="25"/>
        <v>0</v>
      </c>
      <c r="AE224" s="44" t="s">
        <v>449</v>
      </c>
    </row>
    <row r="225" spans="1:29" ht="12.75" customHeight="1">
      <c r="A225" s="44" t="s">
        <v>159</v>
      </c>
      <c r="C225" s="47" t="s">
        <v>66</v>
      </c>
      <c r="E225" s="44">
        <f>+K225-G225-I225</f>
        <v>4581676</v>
      </c>
      <c r="G225" s="44">
        <f>1275566+3661854</f>
        <v>4937420</v>
      </c>
      <c r="I225" s="44">
        <v>0</v>
      </c>
      <c r="K225" s="44">
        <v>9519096</v>
      </c>
      <c r="M225" s="44">
        <f>+Q225-O225</f>
        <v>2396526</v>
      </c>
      <c r="O225" s="44">
        <v>1415732</v>
      </c>
      <c r="Q225" s="44">
        <v>3812258</v>
      </c>
      <c r="S225" s="44">
        <v>3428036</v>
      </c>
      <c r="U225" s="44">
        <f>286049+452996+285004+435633</f>
        <v>1459682</v>
      </c>
      <c r="W225" s="44">
        <v>819120</v>
      </c>
      <c r="Y225" s="44">
        <f>S225+U225+W225</f>
        <v>5706838</v>
      </c>
      <c r="AB225" s="44">
        <f>+K225-Q225-Y225</f>
        <v>0</v>
      </c>
    </row>
    <row r="226" spans="1:29" ht="12.75" customHeight="1">
      <c r="A226" s="44" t="s">
        <v>255</v>
      </c>
      <c r="C226" s="44" t="s">
        <v>27</v>
      </c>
      <c r="E226" s="44">
        <f t="shared" si="22"/>
        <v>12212528</v>
      </c>
      <c r="G226" s="44">
        <f>1308125+5988560</f>
        <v>7296685</v>
      </c>
      <c r="I226" s="44">
        <v>0</v>
      </c>
      <c r="K226" s="44">
        <v>19509213</v>
      </c>
      <c r="M226" s="44">
        <f t="shared" si="23"/>
        <v>7848342</v>
      </c>
      <c r="O226" s="44">
        <v>3683670</v>
      </c>
      <c r="Q226" s="44">
        <v>11532012</v>
      </c>
      <c r="S226" s="44">
        <v>2660670</v>
      </c>
      <c r="U226" s="44">
        <f>263997+72163</f>
        <v>336160</v>
      </c>
      <c r="W226" s="44">
        <v>4980371</v>
      </c>
      <c r="Y226" s="44">
        <f t="shared" si="24"/>
        <v>7977201</v>
      </c>
      <c r="AB226" s="44">
        <f t="shared" si="25"/>
        <v>0</v>
      </c>
    </row>
    <row r="227" spans="1:29" ht="12.75" customHeight="1">
      <c r="A227" s="44" t="s">
        <v>256</v>
      </c>
      <c r="B227" s="44"/>
      <c r="C227" s="44" t="s">
        <v>43</v>
      </c>
      <c r="D227" s="44"/>
      <c r="E227" s="44">
        <f>+K227-G227-I227</f>
        <v>68235905</v>
      </c>
      <c r="G227" s="44">
        <f>4454512+5871603</f>
        <v>10326115</v>
      </c>
      <c r="I227" s="44">
        <v>41777027</v>
      </c>
      <c r="K227" s="44">
        <v>120339047</v>
      </c>
      <c r="M227" s="44">
        <f>+Q227-O227</f>
        <v>15497807</v>
      </c>
      <c r="O227" s="44">
        <f>1706954+25826550</f>
        <v>27533504</v>
      </c>
      <c r="Q227" s="44">
        <v>43031311</v>
      </c>
      <c r="S227" s="44">
        <v>29923172</v>
      </c>
      <c r="U227" s="44">
        <f>77307736-40505801-29923172</f>
        <v>6878763</v>
      </c>
      <c r="W227" s="44">
        <v>40505801</v>
      </c>
      <c r="Y227" s="44">
        <f>S227+U227+W227</f>
        <v>77307736</v>
      </c>
      <c r="AB227" s="44">
        <f>+K227-Q227-Y227</f>
        <v>0</v>
      </c>
    </row>
    <row r="228" spans="1:29" ht="12.75" customHeight="1">
      <c r="A228" s="44" t="s">
        <v>257</v>
      </c>
      <c r="C228" s="44" t="s">
        <v>258</v>
      </c>
      <c r="E228" s="44">
        <f>+K228-G228-I228</f>
        <v>3420277</v>
      </c>
      <c r="G228" s="44">
        <v>7074095</v>
      </c>
      <c r="I228" s="44">
        <v>0</v>
      </c>
      <c r="K228" s="44">
        <v>10494372</v>
      </c>
      <c r="M228" s="44">
        <f>+Q228-O228</f>
        <v>991897</v>
      </c>
      <c r="O228" s="44">
        <v>6557214</v>
      </c>
      <c r="Q228" s="44">
        <v>7549111</v>
      </c>
      <c r="S228" s="44">
        <v>7949273</v>
      </c>
      <c r="U228" s="44">
        <v>100139</v>
      </c>
      <c r="W228" s="44">
        <v>-5104151</v>
      </c>
      <c r="Y228" s="44">
        <f>S228+U228+W228</f>
        <v>2945261</v>
      </c>
      <c r="AB228" s="44">
        <f>+K228-Q228-Y228</f>
        <v>0</v>
      </c>
    </row>
    <row r="229" spans="1:29" ht="12.75" customHeight="1">
      <c r="A229" s="44" t="s">
        <v>259</v>
      </c>
      <c r="C229" s="44" t="s">
        <v>260</v>
      </c>
      <c r="E229" s="44">
        <f t="shared" si="22"/>
        <v>8309939</v>
      </c>
      <c r="G229" s="44">
        <f>5176482+16817727</f>
        <v>21994209</v>
      </c>
      <c r="I229" s="44">
        <v>0</v>
      </c>
      <c r="K229" s="44">
        <v>30304148</v>
      </c>
      <c r="M229" s="44">
        <f t="shared" si="23"/>
        <v>3012453</v>
      </c>
      <c r="O229" s="44">
        <v>4709865</v>
      </c>
      <c r="Q229" s="44">
        <v>7722318</v>
      </c>
      <c r="S229" s="44">
        <v>18887291</v>
      </c>
      <c r="U229" s="44">
        <f>22581830-1578909-18887291</f>
        <v>2115630</v>
      </c>
      <c r="W229" s="44">
        <v>1578909</v>
      </c>
      <c r="Y229" s="44">
        <f t="shared" si="24"/>
        <v>22581830</v>
      </c>
      <c r="AB229" s="44">
        <f t="shared" si="25"/>
        <v>0</v>
      </c>
    </row>
    <row r="230" spans="1:29" ht="12.75" customHeight="1">
      <c r="A230" s="44" t="s">
        <v>261</v>
      </c>
      <c r="C230" s="44" t="s">
        <v>66</v>
      </c>
      <c r="E230" s="44">
        <f t="shared" si="22"/>
        <v>35434117</v>
      </c>
      <c r="G230" s="44">
        <f>7112466+38535594</f>
        <v>45648060</v>
      </c>
      <c r="I230" s="44">
        <v>0</v>
      </c>
      <c r="K230" s="44">
        <v>81082177</v>
      </c>
      <c r="M230" s="44">
        <f t="shared" si="23"/>
        <v>8828866</v>
      </c>
      <c r="O230" s="44">
        <v>9947479</v>
      </c>
      <c r="Q230" s="44">
        <v>18776345</v>
      </c>
      <c r="S230" s="44">
        <v>36535266</v>
      </c>
      <c r="U230" s="44">
        <f>2200914+237729+2050367</f>
        <v>4489010</v>
      </c>
      <c r="W230" s="44">
        <v>21281556</v>
      </c>
      <c r="Y230" s="44">
        <f t="shared" si="24"/>
        <v>62305832</v>
      </c>
      <c r="AB230" s="44">
        <f t="shared" si="25"/>
        <v>0</v>
      </c>
    </row>
    <row r="231" spans="1:29" ht="12.75" hidden="1" customHeight="1">
      <c r="A231" s="44" t="s">
        <v>262</v>
      </c>
      <c r="C231" s="44" t="s">
        <v>132</v>
      </c>
      <c r="E231" s="44">
        <f>+K231-G231-I231</f>
        <v>0</v>
      </c>
      <c r="M231" s="44">
        <f t="shared" si="23"/>
        <v>0</v>
      </c>
      <c r="Y231" s="44">
        <f t="shared" si="24"/>
        <v>0</v>
      </c>
      <c r="AB231" s="44">
        <f t="shared" si="25"/>
        <v>0</v>
      </c>
      <c r="AC231" s="44" t="s">
        <v>498</v>
      </c>
    </row>
    <row r="232" spans="1:29" ht="12.75" customHeight="1">
      <c r="A232" s="44" t="s">
        <v>263</v>
      </c>
      <c r="C232" s="44" t="s">
        <v>53</v>
      </c>
      <c r="E232" s="44">
        <f t="shared" si="22"/>
        <v>20374811</v>
      </c>
      <c r="G232" s="44">
        <f>5472100+33684956</f>
        <v>39157056</v>
      </c>
      <c r="I232" s="44">
        <v>0</v>
      </c>
      <c r="K232" s="44">
        <v>59531867</v>
      </c>
      <c r="M232" s="44">
        <f t="shared" si="23"/>
        <v>4756328</v>
      </c>
      <c r="O232" s="44">
        <v>2395675</v>
      </c>
      <c r="Q232" s="44">
        <v>7152003</v>
      </c>
      <c r="S232" s="44">
        <v>38789043</v>
      </c>
      <c r="U232" s="44">
        <f>1148929+3787006+8852705</f>
        <v>13788640</v>
      </c>
      <c r="W232" s="44">
        <v>-197819</v>
      </c>
      <c r="Y232" s="44">
        <f t="shared" si="24"/>
        <v>52379864</v>
      </c>
      <c r="AB232" s="44">
        <f t="shared" si="25"/>
        <v>0</v>
      </c>
    </row>
    <row r="233" spans="1:29" ht="12.75" customHeight="1">
      <c r="A233" s="44" t="s">
        <v>264</v>
      </c>
      <c r="C233" s="44" t="s">
        <v>239</v>
      </c>
      <c r="E233" s="44">
        <f>+K233-G233-I233</f>
        <v>10416196</v>
      </c>
      <c r="G233" s="44">
        <f>1660064+18930211</f>
        <v>20590275</v>
      </c>
      <c r="I233" s="44">
        <v>0</v>
      </c>
      <c r="K233" s="44">
        <v>31006471</v>
      </c>
      <c r="M233" s="44">
        <f>+Q233-O233</f>
        <v>1333102</v>
      </c>
      <c r="O233" s="44">
        <v>1381161</v>
      </c>
      <c r="Q233" s="44">
        <v>2714263</v>
      </c>
      <c r="S233" s="44">
        <v>13192324</v>
      </c>
      <c r="U233" s="44">
        <f>28292208-17243564</f>
        <v>11048644</v>
      </c>
      <c r="W233" s="44">
        <v>4051240</v>
      </c>
      <c r="Y233" s="44">
        <f>S233+U233+W233</f>
        <v>28292208</v>
      </c>
      <c r="AB233" s="44">
        <f>+K233-Q233-Y233</f>
        <v>0</v>
      </c>
    </row>
    <row r="234" spans="1:29" ht="12.75" customHeight="1">
      <c r="A234" s="44" t="s">
        <v>111</v>
      </c>
      <c r="C234" s="44" t="s">
        <v>80</v>
      </c>
      <c r="E234" s="44">
        <f t="shared" si="22"/>
        <v>25782089</v>
      </c>
      <c r="G234" s="44">
        <v>39746844</v>
      </c>
      <c r="I234" s="44">
        <v>0</v>
      </c>
      <c r="K234" s="44">
        <v>65528933</v>
      </c>
      <c r="M234" s="44">
        <f t="shared" si="23"/>
        <v>7010012</v>
      </c>
      <c r="O234" s="44">
        <v>14391950</v>
      </c>
      <c r="Q234" s="44">
        <v>21401962</v>
      </c>
      <c r="S234" s="44">
        <v>34737846</v>
      </c>
      <c r="U234" s="44">
        <f>44126971-31684071</f>
        <v>12442900</v>
      </c>
      <c r="W234" s="44">
        <v>-3053775</v>
      </c>
      <c r="Y234" s="44">
        <f t="shared" si="24"/>
        <v>44126971</v>
      </c>
      <c r="AB234" s="44">
        <f t="shared" si="25"/>
        <v>0</v>
      </c>
    </row>
    <row r="235" spans="1:29" ht="12.75" customHeight="1">
      <c r="A235" s="44" t="s">
        <v>265</v>
      </c>
      <c r="C235" s="44" t="s">
        <v>27</v>
      </c>
      <c r="E235" s="44">
        <f t="shared" si="22"/>
        <v>7752847</v>
      </c>
      <c r="G235" s="44">
        <f>3133700+11256333</f>
        <v>14390033</v>
      </c>
      <c r="I235" s="44">
        <v>0</v>
      </c>
      <c r="K235" s="44">
        <v>22142880</v>
      </c>
      <c r="M235" s="44">
        <f t="shared" si="23"/>
        <v>10753915</v>
      </c>
      <c r="O235" s="44">
        <v>11803906</v>
      </c>
      <c r="Q235" s="44">
        <v>22557821</v>
      </c>
      <c r="S235" s="44">
        <v>-2136804</v>
      </c>
      <c r="U235" s="44">
        <f>-414941+2575594</f>
        <v>2160653</v>
      </c>
      <c r="W235" s="44">
        <v>-438790</v>
      </c>
      <c r="Y235" s="44">
        <f t="shared" si="24"/>
        <v>-414941</v>
      </c>
      <c r="AB235" s="44">
        <f t="shared" si="25"/>
        <v>0</v>
      </c>
    </row>
    <row r="236" spans="1:29" ht="12.75" customHeight="1">
      <c r="A236" s="44" t="s">
        <v>40</v>
      </c>
      <c r="C236" s="44" t="s">
        <v>451</v>
      </c>
      <c r="E236" s="44">
        <f t="shared" si="22"/>
        <v>13471783</v>
      </c>
      <c r="G236" s="44">
        <f>5167252+19733193</f>
        <v>24900445</v>
      </c>
      <c r="I236" s="44">
        <v>0</v>
      </c>
      <c r="K236" s="44">
        <v>38372228</v>
      </c>
      <c r="M236" s="44">
        <f t="shared" si="23"/>
        <v>3715440</v>
      </c>
      <c r="O236" s="44">
        <v>14081745</v>
      </c>
      <c r="Q236" s="44">
        <v>17797185</v>
      </c>
      <c r="S236" s="44">
        <v>14373784</v>
      </c>
      <c r="U236" s="44">
        <f>20575043-16776930</f>
        <v>3798113</v>
      </c>
      <c r="W236" s="44">
        <v>2403146</v>
      </c>
      <c r="Y236" s="44">
        <f t="shared" si="24"/>
        <v>20575043</v>
      </c>
      <c r="AB236" s="44">
        <f t="shared" si="25"/>
        <v>0</v>
      </c>
    </row>
    <row r="237" spans="1:29" ht="12.75" customHeight="1">
      <c r="A237" s="44" t="s">
        <v>266</v>
      </c>
      <c r="C237" s="44" t="s">
        <v>267</v>
      </c>
      <c r="E237" s="44">
        <f t="shared" si="22"/>
        <v>5732211</v>
      </c>
      <c r="G237" s="44">
        <v>13150618</v>
      </c>
      <c r="I237" s="44">
        <v>0</v>
      </c>
      <c r="K237" s="44">
        <v>18882829</v>
      </c>
      <c r="M237" s="44">
        <f t="shared" si="23"/>
        <v>3969502</v>
      </c>
      <c r="O237" s="44">
        <v>165467</v>
      </c>
      <c r="Q237" s="44">
        <v>4134969</v>
      </c>
      <c r="S237" s="44">
        <v>9877678</v>
      </c>
      <c r="U237" s="44">
        <f>14747860-11118699</f>
        <v>3629161</v>
      </c>
      <c r="W237" s="44">
        <v>1241021</v>
      </c>
      <c r="Y237" s="44">
        <f t="shared" si="24"/>
        <v>14747860</v>
      </c>
      <c r="AB237" s="44">
        <f t="shared" si="25"/>
        <v>0</v>
      </c>
    </row>
    <row r="238" spans="1:29" ht="12.75" customHeight="1">
      <c r="A238" s="44" t="s">
        <v>268</v>
      </c>
      <c r="C238" s="44" t="s">
        <v>269</v>
      </c>
      <c r="E238" s="44">
        <f>+K238-G238-I238</f>
        <v>3166587</v>
      </c>
      <c r="G238" s="44">
        <f>744476+3263928</f>
        <v>4008404</v>
      </c>
      <c r="I238" s="44">
        <v>0</v>
      </c>
      <c r="K238" s="44">
        <v>7174991</v>
      </c>
      <c r="M238" s="44">
        <f t="shared" si="23"/>
        <v>1699757</v>
      </c>
      <c r="O238" s="44">
        <v>222070</v>
      </c>
      <c r="Q238" s="44">
        <v>1921827</v>
      </c>
      <c r="S238" s="44">
        <v>3103325</v>
      </c>
      <c r="U238" s="44">
        <f>5253164-4626088</f>
        <v>627076</v>
      </c>
      <c r="W238" s="44">
        <v>1522763</v>
      </c>
      <c r="Y238" s="44">
        <f t="shared" si="24"/>
        <v>5253164</v>
      </c>
      <c r="AB238" s="44">
        <f t="shared" si="25"/>
        <v>0</v>
      </c>
    </row>
    <row r="239" spans="1:29" ht="12.75" hidden="1" customHeight="1">
      <c r="A239" s="44" t="s">
        <v>270</v>
      </c>
      <c r="C239" s="44" t="s">
        <v>136</v>
      </c>
      <c r="E239" s="44">
        <f>+K239-G239-I239</f>
        <v>0</v>
      </c>
      <c r="I239" s="44">
        <v>0</v>
      </c>
      <c r="M239" s="44">
        <f>+Q239-O239</f>
        <v>0</v>
      </c>
      <c r="U239" s="44">
        <v>0</v>
      </c>
      <c r="Y239" s="44">
        <f>S239+U239+W239</f>
        <v>0</v>
      </c>
      <c r="AB239" s="44">
        <f>+K239-Q239-Y239</f>
        <v>0</v>
      </c>
      <c r="AC239" s="44" t="s">
        <v>500</v>
      </c>
    </row>
    <row r="240" spans="1:29" ht="12.75" customHeight="1">
      <c r="A240" s="44" t="s">
        <v>271</v>
      </c>
      <c r="C240" s="44" t="s">
        <v>66</v>
      </c>
      <c r="E240" s="44">
        <f t="shared" si="22"/>
        <v>6686941</v>
      </c>
      <c r="G240" s="44">
        <f>3461376+14809058</f>
        <v>18270434</v>
      </c>
      <c r="I240" s="44">
        <v>0</v>
      </c>
      <c r="K240" s="44">
        <v>24957375</v>
      </c>
      <c r="M240" s="44">
        <f t="shared" si="23"/>
        <v>1892234</v>
      </c>
      <c r="O240" s="44">
        <v>4076254</v>
      </c>
      <c r="Q240" s="44">
        <v>5968488</v>
      </c>
      <c r="S240" s="44">
        <v>14274151</v>
      </c>
      <c r="U240" s="44">
        <f>75750+659710+603430</f>
        <v>1338890</v>
      </c>
      <c r="W240" s="44">
        <v>3375846</v>
      </c>
      <c r="Y240" s="44">
        <f t="shared" si="24"/>
        <v>18988887</v>
      </c>
      <c r="AB240" s="44">
        <f t="shared" si="25"/>
        <v>0</v>
      </c>
    </row>
    <row r="241" spans="1:28" ht="12.75" customHeight="1">
      <c r="A241" s="44" t="s">
        <v>272</v>
      </c>
      <c r="C241" s="44" t="s">
        <v>43</v>
      </c>
      <c r="E241" s="44">
        <f t="shared" si="22"/>
        <v>66780826</v>
      </c>
      <c r="G241" s="44">
        <f>131598837+69111264</f>
        <v>200710101</v>
      </c>
      <c r="I241" s="44">
        <v>0</v>
      </c>
      <c r="K241" s="44">
        <v>267490927</v>
      </c>
      <c r="M241" s="44">
        <f t="shared" si="23"/>
        <v>17462936</v>
      </c>
      <c r="O241" s="44">
        <v>23661532</v>
      </c>
      <c r="Q241" s="44">
        <v>41124468</v>
      </c>
      <c r="S241" s="44">
        <v>177018595</v>
      </c>
      <c r="U241" s="44">
        <f>226366459-200774443</f>
        <v>25592016</v>
      </c>
      <c r="W241" s="44">
        <v>23755848</v>
      </c>
      <c r="Y241" s="44">
        <f t="shared" si="24"/>
        <v>226366459</v>
      </c>
      <c r="AB241" s="44">
        <f t="shared" si="25"/>
        <v>0</v>
      </c>
    </row>
    <row r="242" spans="1:28" ht="12.75" customHeight="1">
      <c r="A242" s="44" t="s">
        <v>273</v>
      </c>
      <c r="C242" s="44" t="s">
        <v>27</v>
      </c>
      <c r="E242" s="44">
        <f t="shared" si="22"/>
        <v>199831456</v>
      </c>
      <c r="G242" s="44">
        <f>19975264+112438</f>
        <v>20087702</v>
      </c>
      <c r="I242" s="44">
        <v>0</v>
      </c>
      <c r="K242" s="44">
        <v>219919158</v>
      </c>
      <c r="M242" s="44">
        <f t="shared" si="23"/>
        <v>26731373</v>
      </c>
      <c r="O242" s="44">
        <v>21979979</v>
      </c>
      <c r="Q242" s="44">
        <v>48711352</v>
      </c>
      <c r="S242" s="44">
        <v>116075155</v>
      </c>
      <c r="U242" s="44">
        <f>171207806-133033016</f>
        <v>38174790</v>
      </c>
      <c r="W242" s="44">
        <v>16957861</v>
      </c>
      <c r="Y242" s="44">
        <f t="shared" si="24"/>
        <v>171207806</v>
      </c>
      <c r="AB242" s="44">
        <f t="shared" si="25"/>
        <v>0</v>
      </c>
    </row>
    <row r="243" spans="1:28" ht="12.75" customHeight="1">
      <c r="A243" s="44" t="s">
        <v>274</v>
      </c>
      <c r="C243" s="44" t="s">
        <v>43</v>
      </c>
      <c r="E243" s="44">
        <f t="shared" si="22"/>
        <v>14362178</v>
      </c>
      <c r="G243" s="44">
        <v>20340610</v>
      </c>
      <c r="I243" s="44">
        <v>0</v>
      </c>
      <c r="K243" s="44">
        <v>34702788</v>
      </c>
      <c r="M243" s="44">
        <f t="shared" si="23"/>
        <v>3369140</v>
      </c>
      <c r="O243" s="44">
        <v>2627564</v>
      </c>
      <c r="Q243" s="44">
        <v>5996704</v>
      </c>
      <c r="S243" s="44">
        <v>18141493</v>
      </c>
      <c r="U243" s="44">
        <f>28706084-22535340</f>
        <v>6170744</v>
      </c>
      <c r="W243" s="44">
        <v>4393847</v>
      </c>
      <c r="Y243" s="44">
        <f t="shared" si="24"/>
        <v>28706084</v>
      </c>
      <c r="AB243" s="44">
        <f t="shared" si="25"/>
        <v>0</v>
      </c>
    </row>
    <row r="244" spans="1:28" ht="12.75" customHeight="1">
      <c r="A244" s="44" t="s">
        <v>275</v>
      </c>
      <c r="C244" s="44" t="s">
        <v>92</v>
      </c>
      <c r="E244" s="44">
        <f t="shared" si="22"/>
        <v>14065533</v>
      </c>
      <c r="G244" s="44">
        <v>93210043</v>
      </c>
      <c r="I244" s="44">
        <v>0</v>
      </c>
      <c r="K244" s="44">
        <v>107275576</v>
      </c>
      <c r="M244" s="44">
        <f t="shared" si="23"/>
        <v>3484750</v>
      </c>
      <c r="O244" s="44">
        <v>3618512</v>
      </c>
      <c r="Q244" s="44">
        <v>7103262</v>
      </c>
      <c r="S244" s="44">
        <v>90902453</v>
      </c>
      <c r="U244" s="44">
        <f>100172314-97091608</f>
        <v>3080706</v>
      </c>
      <c r="W244" s="44">
        <v>6189155</v>
      </c>
      <c r="Y244" s="44">
        <f t="shared" si="24"/>
        <v>100172314</v>
      </c>
      <c r="AB244" s="44">
        <f t="shared" si="25"/>
        <v>0</v>
      </c>
    </row>
    <row r="245" spans="1:28" ht="12.75" customHeight="1">
      <c r="A245" s="44" t="s">
        <v>276</v>
      </c>
      <c r="C245" s="44" t="s">
        <v>38</v>
      </c>
      <c r="E245" s="44">
        <f t="shared" si="22"/>
        <v>8261891</v>
      </c>
      <c r="G245" s="44">
        <v>5317874</v>
      </c>
      <c r="I245" s="44">
        <v>0</v>
      </c>
      <c r="K245" s="44">
        <v>13579765</v>
      </c>
      <c r="M245" s="44">
        <f t="shared" si="23"/>
        <v>2315255</v>
      </c>
      <c r="O245" s="44">
        <v>853974</v>
      </c>
      <c r="Q245" s="44">
        <v>3169229</v>
      </c>
      <c r="S245" s="44">
        <v>3019890</v>
      </c>
      <c r="U245" s="44">
        <f>10410536-6300330</f>
        <v>4110206</v>
      </c>
      <c r="W245" s="44">
        <v>3280440</v>
      </c>
      <c r="Y245" s="44">
        <f t="shared" si="24"/>
        <v>10410536</v>
      </c>
      <c r="AB245" s="44">
        <f t="shared" si="25"/>
        <v>0</v>
      </c>
    </row>
    <row r="246" spans="1:28" ht="12.75" customHeight="1">
      <c r="A246" s="44" t="s">
        <v>277</v>
      </c>
      <c r="C246" s="44" t="s">
        <v>92</v>
      </c>
      <c r="E246" s="44">
        <f t="shared" si="22"/>
        <v>33459606</v>
      </c>
      <c r="G246" s="44">
        <f>14499328+44057444</f>
        <v>58556772</v>
      </c>
      <c r="I246" s="44">
        <v>0</v>
      </c>
      <c r="K246" s="44">
        <v>92016378</v>
      </c>
      <c r="M246" s="44">
        <f t="shared" si="23"/>
        <v>13687701</v>
      </c>
      <c r="O246" s="44">
        <v>16399716</v>
      </c>
      <c r="Q246" s="44">
        <v>30087417</v>
      </c>
      <c r="S246" s="44">
        <v>41374191</v>
      </c>
      <c r="U246" s="44">
        <f>61928961-51732610</f>
        <v>10196351</v>
      </c>
      <c r="W246" s="44">
        <v>10358419</v>
      </c>
      <c r="Y246" s="44">
        <f t="shared" si="24"/>
        <v>61928961</v>
      </c>
      <c r="AB246" s="44">
        <f t="shared" si="25"/>
        <v>0</v>
      </c>
    </row>
    <row r="247" spans="1:28" ht="12.75" customHeight="1">
      <c r="A247" s="44" t="s">
        <v>278</v>
      </c>
      <c r="C247" s="44" t="s">
        <v>92</v>
      </c>
      <c r="E247" s="44">
        <f t="shared" si="22"/>
        <v>6331599</v>
      </c>
      <c r="G247" s="44">
        <f>153788+10402750</f>
        <v>10556538</v>
      </c>
      <c r="I247" s="44">
        <v>0</v>
      </c>
      <c r="K247" s="44">
        <v>16888137</v>
      </c>
      <c r="M247" s="44">
        <f t="shared" si="23"/>
        <v>4218351</v>
      </c>
      <c r="O247" s="44">
        <v>2845374</v>
      </c>
      <c r="Q247" s="44">
        <v>7063725</v>
      </c>
      <c r="S247" s="44">
        <v>7242908</v>
      </c>
      <c r="U247" s="44">
        <f>9824412-8600211</f>
        <v>1224201</v>
      </c>
      <c r="W247" s="44">
        <v>1357303</v>
      </c>
      <c r="Y247" s="44">
        <f t="shared" si="24"/>
        <v>9824412</v>
      </c>
      <c r="AB247" s="44">
        <f t="shared" si="25"/>
        <v>0</v>
      </c>
    </row>
    <row r="248" spans="1:28" ht="12.75" customHeight="1">
      <c r="A248" s="44" t="s">
        <v>279</v>
      </c>
      <c r="C248" s="44" t="s">
        <v>92</v>
      </c>
      <c r="E248" s="44">
        <f t="shared" si="22"/>
        <v>15148599</v>
      </c>
      <c r="G248" s="44">
        <f>1430869+30250251</f>
        <v>31681120</v>
      </c>
      <c r="I248" s="44">
        <v>0</v>
      </c>
      <c r="K248" s="44">
        <v>46829719</v>
      </c>
      <c r="M248" s="44">
        <f t="shared" si="23"/>
        <v>9265105</v>
      </c>
      <c r="O248" s="44">
        <v>1014949</v>
      </c>
      <c r="Q248" s="44">
        <v>10280054</v>
      </c>
      <c r="S248" s="44">
        <v>28262813</v>
      </c>
      <c r="U248" s="44">
        <f>139066+3356+2568576</f>
        <v>2710998</v>
      </c>
      <c r="W248" s="44">
        <v>5575854</v>
      </c>
      <c r="Y248" s="44">
        <f t="shared" si="24"/>
        <v>36549665</v>
      </c>
      <c r="AB248" s="44">
        <f t="shared" si="25"/>
        <v>0</v>
      </c>
    </row>
    <row r="249" spans="1:28" ht="12.75" customHeight="1">
      <c r="A249" s="44" t="s">
        <v>280</v>
      </c>
      <c r="C249" s="44" t="s">
        <v>281</v>
      </c>
      <c r="E249" s="44">
        <f t="shared" si="22"/>
        <v>10917249</v>
      </c>
      <c r="G249" s="44">
        <f>2569198+14818299</f>
        <v>17387497</v>
      </c>
      <c r="I249" s="44">
        <v>0</v>
      </c>
      <c r="K249" s="44">
        <v>28304746</v>
      </c>
      <c r="M249" s="44">
        <f t="shared" si="23"/>
        <v>4212359</v>
      </c>
      <c r="O249" s="44">
        <v>6239361</v>
      </c>
      <c r="Q249" s="44">
        <v>10451720</v>
      </c>
      <c r="S249" s="44">
        <v>10499997</v>
      </c>
      <c r="U249" s="44">
        <f>200119+274269+35000</f>
        <v>509388</v>
      </c>
      <c r="W249" s="44">
        <v>6843641</v>
      </c>
      <c r="Y249" s="44">
        <f t="shared" si="24"/>
        <v>17853026</v>
      </c>
      <c r="AB249" s="44">
        <f t="shared" si="25"/>
        <v>0</v>
      </c>
    </row>
    <row r="250" spans="1:28" ht="12.75" customHeight="1">
      <c r="A250" s="44" t="s">
        <v>282</v>
      </c>
      <c r="C250" s="44" t="s">
        <v>199</v>
      </c>
      <c r="E250" s="44">
        <f t="shared" si="22"/>
        <v>33148813</v>
      </c>
      <c r="G250" s="44">
        <v>38732579</v>
      </c>
      <c r="I250" s="44">
        <v>1956504</v>
      </c>
      <c r="K250" s="44">
        <v>73837896</v>
      </c>
      <c r="M250" s="44">
        <f t="shared" si="23"/>
        <v>9374020</v>
      </c>
      <c r="O250" s="44">
        <v>4576728</v>
      </c>
      <c r="Q250" s="44">
        <v>13950748</v>
      </c>
      <c r="S250" s="44">
        <v>31287978</v>
      </c>
      <c r="U250" s="44">
        <f>59887148-45633937</f>
        <v>14253211</v>
      </c>
      <c r="W250" s="44">
        <v>14345959</v>
      </c>
      <c r="Y250" s="44">
        <f t="shared" si="24"/>
        <v>59887148</v>
      </c>
      <c r="AB250" s="44">
        <f t="shared" si="25"/>
        <v>0</v>
      </c>
    </row>
    <row r="251" spans="1:28" ht="12.75" customHeight="1">
      <c r="A251" s="44" t="s">
        <v>283</v>
      </c>
      <c r="C251" s="44" t="s">
        <v>43</v>
      </c>
      <c r="E251" s="44">
        <f t="shared" si="22"/>
        <v>23532193</v>
      </c>
      <c r="G251" s="44">
        <f>6230405+33378399</f>
        <v>39608804</v>
      </c>
      <c r="I251" s="44">
        <v>0</v>
      </c>
      <c r="K251" s="44">
        <v>63140997</v>
      </c>
      <c r="M251" s="44">
        <f t="shared" si="23"/>
        <v>6212846</v>
      </c>
      <c r="O251" s="44">
        <v>9087646</v>
      </c>
      <c r="Q251" s="44">
        <v>15300492</v>
      </c>
      <c r="S251" s="44">
        <v>31113804</v>
      </c>
      <c r="U251" s="44">
        <f>47840505-34782833</f>
        <v>13057672</v>
      </c>
      <c r="W251" s="44">
        <v>3669029</v>
      </c>
      <c r="Y251" s="44">
        <f t="shared" si="24"/>
        <v>47840505</v>
      </c>
      <c r="AB251" s="44">
        <f t="shared" si="25"/>
        <v>0</v>
      </c>
    </row>
    <row r="252" spans="1:28" ht="12.75" customHeight="1">
      <c r="A252" s="44" t="s">
        <v>284</v>
      </c>
      <c r="C252" s="44" t="s">
        <v>45</v>
      </c>
      <c r="E252" s="44">
        <f t="shared" si="22"/>
        <v>12063569</v>
      </c>
      <c r="G252" s="44">
        <f>9837715+16254593</f>
        <v>26092308</v>
      </c>
      <c r="I252" s="44">
        <v>0</v>
      </c>
      <c r="K252" s="44">
        <v>38155877</v>
      </c>
      <c r="M252" s="44">
        <f t="shared" si="23"/>
        <v>4994690</v>
      </c>
      <c r="O252" s="44">
        <v>8363167</v>
      </c>
      <c r="Q252" s="44">
        <v>13357857</v>
      </c>
      <c r="S252" s="44">
        <v>17213738</v>
      </c>
      <c r="U252" s="44">
        <v>403221</v>
      </c>
      <c r="W252" s="44">
        <v>7181061</v>
      </c>
      <c r="Y252" s="44">
        <f t="shared" si="24"/>
        <v>24798020</v>
      </c>
      <c r="AB252" s="44">
        <f t="shared" si="25"/>
        <v>0</v>
      </c>
    </row>
    <row r="253" spans="1:28" ht="12.75" customHeight="1">
      <c r="A253" s="44" t="s">
        <v>285</v>
      </c>
      <c r="C253" s="44" t="s">
        <v>30</v>
      </c>
      <c r="E253" s="44">
        <f t="shared" si="22"/>
        <v>14702942</v>
      </c>
      <c r="G253" s="44">
        <f>17005555+16935780</f>
        <v>33941335</v>
      </c>
      <c r="I253" s="44">
        <v>0</v>
      </c>
      <c r="K253" s="44">
        <v>48644277</v>
      </c>
      <c r="M253" s="44">
        <f t="shared" si="23"/>
        <v>4227373</v>
      </c>
      <c r="O253" s="44">
        <v>3792210</v>
      </c>
      <c r="Q253" s="44">
        <v>8019583</v>
      </c>
      <c r="S253" s="44">
        <v>31163498</v>
      </c>
      <c r="U253" s="44">
        <f>40624694-3792172-31163498</f>
        <v>5669024</v>
      </c>
      <c r="W253" s="44">
        <v>3792172</v>
      </c>
      <c r="Y253" s="44">
        <f t="shared" si="24"/>
        <v>40624694</v>
      </c>
      <c r="AB253" s="44">
        <f t="shared" si="25"/>
        <v>0</v>
      </c>
    </row>
    <row r="254" spans="1:28" ht="12.75" customHeight="1">
      <c r="A254" s="44" t="s">
        <v>286</v>
      </c>
      <c r="C254" s="44" t="s">
        <v>61</v>
      </c>
      <c r="E254" s="44">
        <f t="shared" si="22"/>
        <v>32035486</v>
      </c>
      <c r="G254" s="44">
        <v>94584870</v>
      </c>
      <c r="I254" s="44">
        <v>0</v>
      </c>
      <c r="K254" s="44">
        <v>126620356</v>
      </c>
      <c r="M254" s="44">
        <f t="shared" si="23"/>
        <v>23614215</v>
      </c>
      <c r="O254" s="44">
        <v>30788370</v>
      </c>
      <c r="Q254" s="44">
        <v>54402585</v>
      </c>
      <c r="S254" s="44">
        <v>69610269</v>
      </c>
      <c r="U254" s="44">
        <f>72217771-58534965</f>
        <v>13682806</v>
      </c>
      <c r="W254" s="44">
        <v>-11075304</v>
      </c>
      <c r="Y254" s="44">
        <f t="shared" si="24"/>
        <v>72217771</v>
      </c>
      <c r="AB254" s="44">
        <f t="shared" si="25"/>
        <v>0</v>
      </c>
    </row>
    <row r="255" spans="1:28" ht="12.75" customHeight="1">
      <c r="A255" s="44" t="s">
        <v>287</v>
      </c>
      <c r="C255" s="44" t="s">
        <v>288</v>
      </c>
      <c r="E255" s="44">
        <f t="shared" si="22"/>
        <v>14608781</v>
      </c>
      <c r="G255" s="44">
        <f>3141068+15303855</f>
        <v>18444923</v>
      </c>
      <c r="I255" s="44">
        <v>0</v>
      </c>
      <c r="K255" s="44">
        <v>33053704</v>
      </c>
      <c r="M255" s="44">
        <f t="shared" si="23"/>
        <v>6690292</v>
      </c>
      <c r="O255" s="44">
        <v>6489704</v>
      </c>
      <c r="Q255" s="44">
        <v>13179996</v>
      </c>
      <c r="S255" s="44">
        <v>11444464</v>
      </c>
      <c r="U255" s="44">
        <f>19873708-11444464-3480185</f>
        <v>4949059</v>
      </c>
      <c r="W255" s="44">
        <v>3480185</v>
      </c>
      <c r="Y255" s="44">
        <f t="shared" si="24"/>
        <v>19873708</v>
      </c>
      <c r="AB255" s="44">
        <f t="shared" si="25"/>
        <v>0</v>
      </c>
    </row>
  </sheetData>
  <mergeCells count="3">
    <mergeCell ref="S6:W6"/>
    <mergeCell ref="M6:O6"/>
    <mergeCell ref="E6:I6"/>
  </mergeCells>
  <phoneticPr fontId="4" type="noConversion"/>
  <printOptions horizontalCentered="1"/>
  <pageMargins left="0.75" right="0.75" top="0.5" bottom="0.5" header="0" footer="0.25"/>
  <pageSetup scale="84" firstPageNumber="4" pageOrder="overThenDown" orientation="portrait" useFirstPageNumber="1" r:id="rId1"/>
  <headerFooter alignWithMargins="0">
    <oddFooter>&amp;C&amp;"Times New Roman,Regular"&amp;11&amp;P</oddFooter>
  </headerFooter>
  <rowBreaks count="3" manualBreakCount="3">
    <brk id="69" max="24" man="1"/>
    <brk id="130" max="24" man="1"/>
    <brk id="195" max="24" man="1"/>
  </rowBreaks>
  <colBreaks count="1" manualBreakCount="1">
    <brk id="12" min="9" max="25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dimension ref="A1:HU343"/>
  <sheetViews>
    <sheetView view="pageBreakPreview" zoomScale="160" zoomScaleNormal="100" zoomScaleSheetLayoutView="160" workbookViewId="0">
      <pane xSplit="3" ySplit="10" topLeftCell="BM11" activePane="bottomRight" state="frozen"/>
      <selection pane="topRight" activeCell="D1" sqref="D1"/>
      <selection pane="bottomLeft" activeCell="A11" sqref="A11"/>
      <selection pane="bottomRight" activeCell="BR9" sqref="BR9"/>
    </sheetView>
  </sheetViews>
  <sheetFormatPr defaultColWidth="0" defaultRowHeight="12.75" customHeight="1"/>
  <cols>
    <col min="1" max="1" width="13.6640625" style="5" customWidth="1"/>
    <col min="2" max="2" width="2.109375" customWidth="1"/>
    <col min="3" max="3" width="10.109375" style="5" customWidth="1"/>
    <col min="4" max="4" width="1.88671875" style="2" customWidth="1"/>
    <col min="5" max="5" width="11.6640625" style="5" customWidth="1"/>
    <col min="6" max="6" width="2" style="5" customWidth="1"/>
    <col min="7" max="7" width="11.6640625" style="5" customWidth="1"/>
    <col min="8" max="8" width="2" style="5" customWidth="1"/>
    <col min="9" max="9" width="11.6640625" style="5" customWidth="1"/>
    <col min="10" max="10" width="2" style="5" customWidth="1"/>
    <col min="11" max="11" width="11.6640625" style="5" customWidth="1"/>
    <col min="12" max="12" width="2" style="5" customWidth="1"/>
    <col min="13" max="13" width="11.6640625" style="5" customWidth="1"/>
    <col min="14" max="14" width="2.109375" style="5" customWidth="1"/>
    <col min="15" max="15" width="11.6640625" style="5" customWidth="1"/>
    <col min="16" max="16" width="2.6640625" style="5" customWidth="1"/>
    <col min="17" max="17" width="11.6640625" style="5" customWidth="1"/>
    <col min="18" max="18" width="1.6640625" style="5" customWidth="1"/>
    <col min="19" max="19" width="11.6640625" style="5" customWidth="1"/>
    <col min="20" max="20" width="1.6640625" style="5" customWidth="1"/>
    <col min="21" max="21" width="11.6640625" style="5" customWidth="1"/>
    <col min="22" max="22" width="1.6640625" style="5" customWidth="1"/>
    <col min="23" max="23" width="11.6640625" style="5" customWidth="1"/>
    <col min="24" max="24" width="1.6640625" customWidth="1"/>
    <col min="25" max="25" width="25" customWidth="1"/>
    <col min="26" max="26" width="12.33203125" style="5" customWidth="1"/>
    <col min="27" max="27" width="1.6640625" style="10" customWidth="1"/>
    <col min="28" max="28" width="10.33203125" style="5" customWidth="1"/>
    <col min="29" max="29" width="1.6640625" customWidth="1"/>
    <col min="30" max="30" width="11.6640625" style="5" customWidth="1"/>
    <col min="31" max="31" width="1.6640625" style="5" customWidth="1"/>
    <col min="32" max="32" width="11.6640625" style="5" customWidth="1"/>
    <col min="33" max="33" width="1.6640625" style="5" customWidth="1"/>
    <col min="34" max="34" width="11.6640625" style="5" customWidth="1"/>
    <col min="35" max="35" width="1.6640625" style="5" customWidth="1"/>
    <col min="36" max="36" width="11.6640625" style="5" customWidth="1"/>
    <col min="37" max="37" width="1.6640625" style="5" customWidth="1"/>
    <col min="38" max="38" width="11.6640625" style="5" customWidth="1"/>
    <col min="39" max="39" width="2.6640625" style="5" customWidth="1"/>
    <col min="40" max="40" width="11.44140625" customWidth="1"/>
    <col min="41" max="41" width="1.6640625" customWidth="1"/>
    <col min="42" max="42" width="11.33203125" customWidth="1"/>
    <col min="43" max="43" width="1.6640625" customWidth="1"/>
    <col min="44" max="44" width="10.109375" customWidth="1"/>
    <col min="45" max="45" width="1.6640625" customWidth="1"/>
    <col min="46" max="46" width="10.5546875" customWidth="1"/>
    <col min="47" max="47" width="1.6640625" customWidth="1"/>
    <col min="48" max="48" width="10.33203125" hidden="1" customWidth="1"/>
    <col min="49" max="49" width="1.6640625" hidden="1" customWidth="1"/>
    <col min="50" max="50" width="9.6640625" hidden="1" customWidth="1"/>
    <col min="51" max="51" width="1.6640625" hidden="1" customWidth="1"/>
    <col min="52" max="52" width="11.6640625" style="57" customWidth="1"/>
    <col min="53" max="53" width="18.33203125" customWidth="1"/>
    <col min="54" max="54" width="11.6640625" style="55" customWidth="1"/>
    <col min="55" max="55" width="1.44140625" style="55" customWidth="1"/>
    <col min="56" max="56" width="10" style="55" customWidth="1"/>
    <col min="57" max="57" width="1.44140625" style="55" customWidth="1"/>
    <col min="58" max="58" width="11.33203125" style="55" customWidth="1"/>
    <col min="59" max="59" width="1.44140625" style="55" customWidth="1"/>
    <col min="60" max="60" width="11.33203125" style="55" customWidth="1"/>
    <col min="61" max="61" width="1.44140625" style="55" customWidth="1"/>
    <col min="62" max="62" width="11.109375" style="55" customWidth="1"/>
    <col min="63" max="63" width="1.44140625" style="55" customWidth="1"/>
    <col min="64" max="64" width="11.33203125" style="55" customWidth="1"/>
    <col min="65" max="65" width="1.44140625" style="55" customWidth="1"/>
    <col min="66" max="66" width="11.109375" style="55" customWidth="1"/>
    <col min="67" max="67" width="1.6640625" style="36" customWidth="1"/>
    <col min="68" max="68" width="11.6640625" style="36" customWidth="1"/>
    <col min="69" max="69" width="1.6640625" style="36" customWidth="1"/>
    <col min="70" max="72" width="8.44140625" style="36" customWidth="1"/>
    <col min="73" max="73" width="8.44140625" style="83" customWidth="1"/>
    <col min="74" max="95" width="8.44140625" style="36" customWidth="1"/>
    <col min="96" max="228" width="8.44140625" style="5" hidden="1" customWidth="1"/>
    <col min="229" max="16384" width="8.44140625" style="61" hidden="1"/>
  </cols>
  <sheetData>
    <row r="1" spans="1:229" s="22" customFormat="1" ht="12.75" customHeight="1">
      <c r="A1" s="29" t="s">
        <v>391</v>
      </c>
      <c r="D1" s="2"/>
      <c r="Z1" s="29" t="s">
        <v>391</v>
      </c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/>
      <c r="BB1" s="74" t="s">
        <v>494</v>
      </c>
      <c r="BC1" s="75"/>
      <c r="BD1" s="75"/>
      <c r="BE1" s="35"/>
      <c r="BF1" s="35"/>
      <c r="BG1" s="35"/>
      <c r="BH1" s="35"/>
      <c r="BI1" s="35"/>
      <c r="BJ1" s="35"/>
      <c r="BK1" s="35"/>
      <c r="BL1" s="35"/>
      <c r="BM1" s="35"/>
      <c r="BN1" s="75"/>
      <c r="BO1" s="33"/>
      <c r="BS1" s="39"/>
      <c r="BT1" s="39"/>
      <c r="BU1" s="82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HU1" s="62"/>
    </row>
    <row r="2" spans="1:229" s="22" customFormat="1" ht="12.75" customHeight="1">
      <c r="A2" s="23" t="s">
        <v>472</v>
      </c>
      <c r="D2" s="2"/>
      <c r="Z2" s="23" t="s">
        <v>473</v>
      </c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/>
      <c r="BB2" s="76" t="s">
        <v>348</v>
      </c>
      <c r="BC2" s="75"/>
      <c r="BD2" s="75"/>
      <c r="BE2" s="35"/>
      <c r="BF2" s="35"/>
      <c r="BG2" s="35"/>
      <c r="BH2" s="35"/>
      <c r="BI2" s="35"/>
      <c r="BJ2" s="35"/>
      <c r="BK2" s="35"/>
      <c r="BL2" s="35"/>
      <c r="BM2" s="35"/>
      <c r="BN2" s="75"/>
      <c r="BO2" s="33"/>
      <c r="BS2" s="39"/>
      <c r="BT2" s="39"/>
      <c r="BU2" s="82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HU2" s="62"/>
    </row>
    <row r="3" spans="1:229" s="22" customFormat="1" ht="12.75" customHeight="1">
      <c r="A3" s="29" t="s">
        <v>495</v>
      </c>
      <c r="D3" s="2"/>
      <c r="Z3" s="29" t="s">
        <v>501</v>
      </c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/>
      <c r="BB3" s="74" t="s">
        <v>495</v>
      </c>
      <c r="BC3" s="75"/>
      <c r="BD3" s="75"/>
      <c r="BE3" s="35"/>
      <c r="BF3" s="35"/>
      <c r="BG3" s="35"/>
      <c r="BH3" s="35"/>
      <c r="BI3" s="35"/>
      <c r="BJ3" s="35"/>
      <c r="BK3" s="35"/>
      <c r="BL3" s="35"/>
      <c r="BM3" s="35"/>
      <c r="BN3" s="75"/>
      <c r="BO3" s="33"/>
      <c r="BS3" s="36"/>
      <c r="BT3" s="36"/>
      <c r="BU3" s="83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HU3" s="62"/>
    </row>
    <row r="4" spans="1:229" ht="12.75" customHeight="1">
      <c r="A4" s="22" t="s">
        <v>289</v>
      </c>
      <c r="Z4" s="22" t="s">
        <v>289</v>
      </c>
      <c r="AA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B4" s="75" t="s">
        <v>289</v>
      </c>
      <c r="BC4" s="47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3"/>
      <c r="BP4" s="5"/>
      <c r="BQ4" s="5"/>
      <c r="BR4" s="5"/>
    </row>
    <row r="5" spans="1:229" ht="12.75" hidden="1" customHeight="1"/>
    <row r="6" spans="1:229" ht="12.75" hidden="1" customHeight="1">
      <c r="A6" s="22"/>
      <c r="V6" s="67"/>
      <c r="W6" s="67"/>
      <c r="Z6" s="22"/>
      <c r="AA6" s="5"/>
      <c r="AN6" s="5"/>
      <c r="AO6" s="5"/>
      <c r="AP6" s="5"/>
      <c r="AQ6" s="5"/>
      <c r="AR6" s="5"/>
      <c r="AS6" s="5"/>
      <c r="AT6" s="5"/>
      <c r="AU6" s="5"/>
      <c r="AV6" s="61"/>
      <c r="AW6" s="61"/>
      <c r="AX6" s="61"/>
      <c r="AY6" s="5"/>
      <c r="AZ6" s="5"/>
      <c r="BB6" s="75"/>
      <c r="BC6" s="47"/>
      <c r="BD6" s="35"/>
      <c r="BE6" s="35"/>
      <c r="BF6" s="77"/>
      <c r="BG6" s="77"/>
      <c r="BH6" s="77"/>
      <c r="BI6" s="77"/>
      <c r="BJ6" s="77"/>
      <c r="BK6" s="77"/>
      <c r="BL6" s="77"/>
      <c r="BM6" s="77"/>
      <c r="BN6" s="35"/>
      <c r="BO6" s="33"/>
      <c r="BP6" s="5"/>
      <c r="BQ6" s="5"/>
      <c r="BR6" s="5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</row>
    <row r="7" spans="1:229" ht="12.75" customHeight="1">
      <c r="A7" s="22" t="s">
        <v>484</v>
      </c>
      <c r="Q7" s="161" t="s">
        <v>2</v>
      </c>
      <c r="R7" s="161"/>
      <c r="S7" s="161"/>
      <c r="T7" s="161"/>
      <c r="U7" s="161"/>
      <c r="Z7" s="22" t="s">
        <v>484</v>
      </c>
      <c r="AT7" s="157"/>
      <c r="AV7" s="6" t="s">
        <v>411</v>
      </c>
      <c r="AW7" s="5"/>
      <c r="AX7" s="6" t="s">
        <v>412</v>
      </c>
      <c r="BB7" s="22" t="s">
        <v>484</v>
      </c>
    </row>
    <row r="8" spans="1:229" s="6" customFormat="1" ht="12.75" customHeight="1">
      <c r="D8" s="3"/>
      <c r="Q8" s="6" t="s">
        <v>7</v>
      </c>
      <c r="AV8" s="6" t="s">
        <v>349</v>
      </c>
      <c r="AX8" s="6" t="s">
        <v>349</v>
      </c>
      <c r="BA8"/>
      <c r="BB8" s="8"/>
      <c r="BC8" s="8"/>
      <c r="BD8" s="8"/>
      <c r="BE8" s="8"/>
      <c r="BF8" s="8" t="s">
        <v>296</v>
      </c>
      <c r="BG8" s="8"/>
      <c r="BH8" s="8" t="s">
        <v>350</v>
      </c>
      <c r="BI8" s="8"/>
      <c r="BJ8" s="8"/>
      <c r="BK8" s="8"/>
      <c r="BL8" s="8" t="s">
        <v>294</v>
      </c>
      <c r="BM8" s="8"/>
      <c r="BN8" s="8" t="s">
        <v>6</v>
      </c>
      <c r="BO8" s="33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HU8" s="63"/>
    </row>
    <row r="9" spans="1:229" s="6" customFormat="1" ht="12.75" customHeight="1">
      <c r="E9" s="6" t="s">
        <v>3</v>
      </c>
      <c r="G9" s="6" t="s">
        <v>351</v>
      </c>
      <c r="I9" s="6" t="s">
        <v>6</v>
      </c>
      <c r="K9" s="6" t="s">
        <v>3</v>
      </c>
      <c r="M9" s="6" t="s">
        <v>351</v>
      </c>
      <c r="O9" s="6" t="s">
        <v>6</v>
      </c>
      <c r="Q9" s="6" t="s">
        <v>4</v>
      </c>
      <c r="W9" s="8" t="s">
        <v>6</v>
      </c>
      <c r="AD9" s="6" t="s">
        <v>345</v>
      </c>
      <c r="AF9" s="6" t="s">
        <v>353</v>
      </c>
      <c r="AJ9" s="6" t="s">
        <v>345</v>
      </c>
      <c r="AL9" s="6" t="s">
        <v>354</v>
      </c>
      <c r="AR9" s="6" t="s">
        <v>4</v>
      </c>
      <c r="AT9" s="6" t="s">
        <v>368</v>
      </c>
      <c r="AV9" s="6" t="s">
        <v>413</v>
      </c>
      <c r="AX9" s="6" t="s">
        <v>413</v>
      </c>
      <c r="AZ9" s="6" t="s">
        <v>355</v>
      </c>
      <c r="BA9"/>
      <c r="BB9" s="8"/>
      <c r="BC9" s="8"/>
      <c r="BD9" s="8"/>
      <c r="BE9" s="8"/>
      <c r="BF9" s="8" t="s">
        <v>356</v>
      </c>
      <c r="BG9" s="8"/>
      <c r="BH9" s="8" t="s">
        <v>302</v>
      </c>
      <c r="BI9" s="8"/>
      <c r="BJ9" s="8"/>
      <c r="BK9" s="8"/>
      <c r="BL9" s="8" t="s">
        <v>352</v>
      </c>
      <c r="BM9" s="8"/>
      <c r="BN9" s="8" t="s">
        <v>352</v>
      </c>
      <c r="BO9" s="33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HU9" s="63"/>
    </row>
    <row r="10" spans="1:229" s="8" customFormat="1" ht="12.75" customHeight="1">
      <c r="A10" s="7" t="s">
        <v>8</v>
      </c>
      <c r="C10" s="7" t="s">
        <v>9</v>
      </c>
      <c r="E10" s="7" t="s">
        <v>0</v>
      </c>
      <c r="G10" s="7" t="s">
        <v>0</v>
      </c>
      <c r="I10" s="7" t="s">
        <v>0</v>
      </c>
      <c r="K10" s="7" t="s">
        <v>1</v>
      </c>
      <c r="M10" s="7" t="s">
        <v>1</v>
      </c>
      <c r="O10" s="7" t="s">
        <v>1</v>
      </c>
      <c r="Q10" s="7" t="s">
        <v>0</v>
      </c>
      <c r="S10" s="7" t="s">
        <v>10</v>
      </c>
      <c r="U10" s="7" t="s">
        <v>11</v>
      </c>
      <c r="W10" s="7" t="s">
        <v>2</v>
      </c>
      <c r="Z10" s="7" t="s">
        <v>8</v>
      </c>
      <c r="AB10" s="7" t="s">
        <v>9</v>
      </c>
      <c r="AD10" s="78" t="s">
        <v>302</v>
      </c>
      <c r="AE10" s="78"/>
      <c r="AF10" s="78" t="s">
        <v>357</v>
      </c>
      <c r="AH10" s="78" t="s">
        <v>357</v>
      </c>
      <c r="AJ10" s="78" t="s">
        <v>358</v>
      </c>
      <c r="AL10" s="78" t="s">
        <v>414</v>
      </c>
      <c r="AN10" s="78" t="s">
        <v>359</v>
      </c>
      <c r="AP10" s="78" t="s">
        <v>360</v>
      </c>
      <c r="AR10" s="78" t="s">
        <v>361</v>
      </c>
      <c r="AT10" s="78" t="s">
        <v>2</v>
      </c>
      <c r="AV10" s="7" t="s">
        <v>415</v>
      </c>
      <c r="AX10" s="7" t="s">
        <v>415</v>
      </c>
      <c r="AZ10" s="78" t="s">
        <v>4</v>
      </c>
      <c r="BA10" s="51"/>
      <c r="BB10" s="7" t="s">
        <v>8</v>
      </c>
      <c r="BD10" s="7" t="s">
        <v>9</v>
      </c>
      <c r="BF10" s="78" t="s">
        <v>362</v>
      </c>
      <c r="BH10" s="78" t="s">
        <v>362</v>
      </c>
      <c r="BJ10" s="78" t="s">
        <v>363</v>
      </c>
      <c r="BL10" s="78" t="s">
        <v>364</v>
      </c>
      <c r="BN10" s="7" t="s">
        <v>364</v>
      </c>
      <c r="BO10" s="54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</row>
    <row r="11" spans="1:229" s="8" customFormat="1" ht="12.75" customHeight="1">
      <c r="BA11" s="51"/>
      <c r="BO11" s="54"/>
      <c r="BS11" s="55"/>
      <c r="BT11" s="55"/>
      <c r="BU11" s="84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</row>
    <row r="12" spans="1:229" s="64" customFormat="1" ht="12.75" customHeight="1">
      <c r="A12" s="35" t="s">
        <v>12</v>
      </c>
      <c r="B12" s="51"/>
      <c r="C12" s="35" t="s">
        <v>13</v>
      </c>
      <c r="D12" s="44"/>
      <c r="E12" s="79">
        <f t="shared" ref="E12:E79" si="0">I12-G12</f>
        <v>14359557</v>
      </c>
      <c r="F12" s="79"/>
      <c r="G12" s="79">
        <v>147232492</v>
      </c>
      <c r="H12" s="79"/>
      <c r="I12" s="79">
        <v>161592049</v>
      </c>
      <c r="J12" s="79"/>
      <c r="K12" s="79">
        <f t="shared" ref="K12:K79" si="1">O12-M12</f>
        <v>13326318</v>
      </c>
      <c r="L12" s="79"/>
      <c r="M12" s="79">
        <v>53453877</v>
      </c>
      <c r="N12" s="79"/>
      <c r="O12" s="79">
        <v>66780195</v>
      </c>
      <c r="P12" s="79"/>
      <c r="Q12" s="79">
        <v>88540310</v>
      </c>
      <c r="R12" s="79"/>
      <c r="S12" s="79">
        <v>7740108</v>
      </c>
      <c r="T12" s="79"/>
      <c r="U12" s="79">
        <v>-1468564</v>
      </c>
      <c r="V12" s="79"/>
      <c r="W12" s="79">
        <f t="shared" ref="W12:W79" si="2">SUM(Q12:U12)</f>
        <v>94811854</v>
      </c>
      <c r="Z12" s="35" t="s">
        <v>12</v>
      </c>
      <c r="AA12" s="53"/>
      <c r="AB12" s="35" t="s">
        <v>13</v>
      </c>
      <c r="AC12" s="51"/>
      <c r="AD12" s="79">
        <v>33652313</v>
      </c>
      <c r="AE12" s="79"/>
      <c r="AF12" s="79">
        <f>27428284-4942125</f>
        <v>22486159</v>
      </c>
      <c r="AG12" s="79"/>
      <c r="AH12" s="79">
        <v>4942125</v>
      </c>
      <c r="AI12" s="79"/>
      <c r="AJ12" s="94">
        <f t="shared" ref="AJ12:AJ35" si="3">+AD12-AF12-AH12</f>
        <v>6224029</v>
      </c>
      <c r="AK12" s="94"/>
      <c r="AL12" s="94">
        <v>-2451317</v>
      </c>
      <c r="AM12" s="94"/>
      <c r="AN12" s="79">
        <v>0</v>
      </c>
      <c r="AO12" s="79"/>
      <c r="AP12" s="79">
        <v>0</v>
      </c>
      <c r="AQ12" s="79"/>
      <c r="AR12" s="79">
        <v>1132647</v>
      </c>
      <c r="AS12" s="79"/>
      <c r="AT12" s="94">
        <f t="shared" ref="AT12:AT55" si="4">+AJ12+AL12+AN12-AP12+AR12</f>
        <v>4905359</v>
      </c>
      <c r="AU12" s="94"/>
      <c r="AV12" s="79">
        <v>0</v>
      </c>
      <c r="AW12" s="79"/>
      <c r="AX12" s="79">
        <v>0</v>
      </c>
      <c r="AY12" s="79"/>
      <c r="AZ12" s="79">
        <f t="shared" ref="AZ12:AZ55" si="5">E12-K12</f>
        <v>1033239</v>
      </c>
      <c r="BA12" s="66"/>
      <c r="BB12" s="35" t="s">
        <v>12</v>
      </c>
      <c r="BC12" s="35"/>
      <c r="BD12" s="35" t="s">
        <v>13</v>
      </c>
      <c r="BE12" s="53"/>
      <c r="BF12" s="79">
        <v>0</v>
      </c>
      <c r="BG12" s="79"/>
      <c r="BH12" s="79">
        <v>0</v>
      </c>
      <c r="BI12" s="79"/>
      <c r="BJ12" s="79">
        <v>0</v>
      </c>
      <c r="BK12" s="79"/>
      <c r="BL12" s="79">
        <v>2675458</v>
      </c>
      <c r="BM12" s="79"/>
      <c r="BN12" s="79">
        <f t="shared" ref="BN12:BN79" si="6">SUM(BF12:BL12)</f>
        <v>2675458</v>
      </c>
      <c r="BO12" s="91"/>
      <c r="BS12" s="90"/>
      <c r="BT12" s="90"/>
      <c r="BU12" s="95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</row>
    <row r="13" spans="1:229" s="35" customFormat="1" ht="12.75" customHeight="1">
      <c r="A13" s="35" t="s">
        <v>14</v>
      </c>
      <c r="B13" s="65"/>
      <c r="C13" s="35" t="s">
        <v>15</v>
      </c>
      <c r="D13" s="44"/>
      <c r="E13" s="53">
        <f t="shared" si="0"/>
        <v>19307716</v>
      </c>
      <c r="F13" s="53"/>
      <c r="G13" s="53">
        <v>1363352</v>
      </c>
      <c r="H13" s="53"/>
      <c r="I13" s="53">
        <v>20671068</v>
      </c>
      <c r="J13" s="53"/>
      <c r="K13" s="53">
        <f t="shared" si="1"/>
        <v>1343828</v>
      </c>
      <c r="L13" s="53"/>
      <c r="M13" s="53">
        <v>12292004</v>
      </c>
      <c r="N13" s="53"/>
      <c r="O13" s="53">
        <v>13635832</v>
      </c>
      <c r="P13" s="53"/>
      <c r="Q13" s="53">
        <v>1024600</v>
      </c>
      <c r="R13" s="53"/>
      <c r="S13" s="53">
        <f>869875+493477</f>
        <v>1363352</v>
      </c>
      <c r="T13" s="53"/>
      <c r="U13" s="53">
        <v>4647284</v>
      </c>
      <c r="V13" s="53"/>
      <c r="W13" s="53">
        <f t="shared" si="2"/>
        <v>7035236</v>
      </c>
      <c r="X13" s="65"/>
      <c r="Y13" s="65"/>
      <c r="Z13" s="35" t="s">
        <v>14</v>
      </c>
      <c r="AA13" s="53"/>
      <c r="AB13" s="35" t="s">
        <v>15</v>
      </c>
      <c r="AC13" s="65"/>
      <c r="AD13" s="53">
        <v>4343787</v>
      </c>
      <c r="AE13" s="53"/>
      <c r="AF13" s="53">
        <f>3624502-563734</f>
        <v>3060768</v>
      </c>
      <c r="AG13" s="53"/>
      <c r="AH13" s="53">
        <v>563734</v>
      </c>
      <c r="AI13" s="53"/>
      <c r="AJ13" s="45">
        <f t="shared" si="3"/>
        <v>719285</v>
      </c>
      <c r="AK13" s="45"/>
      <c r="AL13" s="53">
        <v>-26789</v>
      </c>
      <c r="AM13" s="45"/>
      <c r="AN13" s="53">
        <v>0</v>
      </c>
      <c r="AO13" s="53"/>
      <c r="AP13" s="53">
        <v>0</v>
      </c>
      <c r="AQ13" s="53"/>
      <c r="AR13" s="53">
        <v>0</v>
      </c>
      <c r="AS13" s="53"/>
      <c r="AT13" s="45">
        <f t="shared" si="4"/>
        <v>692496</v>
      </c>
      <c r="AU13" s="45"/>
      <c r="AV13" s="53">
        <v>0</v>
      </c>
      <c r="AW13" s="53"/>
      <c r="AX13" s="53">
        <v>0</v>
      </c>
      <c r="AY13" s="53"/>
      <c r="AZ13" s="53">
        <f t="shared" si="5"/>
        <v>17963888</v>
      </c>
      <c r="BA13" s="65"/>
      <c r="BB13" s="35" t="s">
        <v>14</v>
      </c>
      <c r="BD13" s="35" t="s">
        <v>15</v>
      </c>
      <c r="BE13" s="53"/>
      <c r="BF13" s="53">
        <v>0</v>
      </c>
      <c r="BG13" s="53"/>
      <c r="BH13" s="53">
        <v>0</v>
      </c>
      <c r="BI13" s="53"/>
      <c r="BJ13" s="53">
        <v>0</v>
      </c>
      <c r="BK13" s="53"/>
      <c r="BL13" s="53">
        <v>0</v>
      </c>
      <c r="BM13" s="53"/>
      <c r="BN13" s="53">
        <f t="shared" si="6"/>
        <v>0</v>
      </c>
      <c r="BO13" s="54"/>
      <c r="BS13" s="55"/>
      <c r="BT13" s="55"/>
      <c r="BU13" s="84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</row>
    <row r="14" spans="1:229" s="35" customFormat="1" ht="12.75" customHeight="1">
      <c r="A14" s="35" t="s">
        <v>16</v>
      </c>
      <c r="B14" s="51"/>
      <c r="C14" s="35" t="s">
        <v>17</v>
      </c>
      <c r="D14" s="44"/>
      <c r="E14" s="53">
        <v>1564677</v>
      </c>
      <c r="F14" s="53"/>
      <c r="G14" s="53">
        <v>4447304</v>
      </c>
      <c r="H14" s="53"/>
      <c r="I14" s="53">
        <v>6011981</v>
      </c>
      <c r="J14" s="53"/>
      <c r="K14" s="53">
        <v>351414</v>
      </c>
      <c r="L14" s="53"/>
      <c r="M14" s="53">
        <v>1352453</v>
      </c>
      <c r="N14" s="53"/>
      <c r="O14" s="53">
        <v>1703867</v>
      </c>
      <c r="P14" s="53"/>
      <c r="Q14" s="53">
        <v>2953916</v>
      </c>
      <c r="R14" s="53"/>
      <c r="S14" s="53">
        <v>0</v>
      </c>
      <c r="T14" s="53"/>
      <c r="U14" s="53">
        <v>1354198</v>
      </c>
      <c r="V14" s="53"/>
      <c r="W14" s="53">
        <f t="shared" si="2"/>
        <v>4308114</v>
      </c>
      <c r="X14" s="51"/>
      <c r="Y14" s="51"/>
      <c r="Z14" s="35" t="s">
        <v>16</v>
      </c>
      <c r="AA14" s="53"/>
      <c r="AB14" s="35" t="s">
        <v>17</v>
      </c>
      <c r="AC14" s="51"/>
      <c r="AD14" s="53">
        <v>0</v>
      </c>
      <c r="AE14" s="53"/>
      <c r="AF14" s="53">
        <v>0</v>
      </c>
      <c r="AG14" s="53"/>
      <c r="AH14" s="53">
        <v>0</v>
      </c>
      <c r="AI14" s="53"/>
      <c r="AJ14" s="45">
        <f t="shared" si="3"/>
        <v>0</v>
      </c>
      <c r="AK14" s="45"/>
      <c r="AL14" s="53">
        <v>0</v>
      </c>
      <c r="AM14" s="45"/>
      <c r="AN14" s="53">
        <v>0</v>
      </c>
      <c r="AO14" s="53"/>
      <c r="AP14" s="53">
        <v>0</v>
      </c>
      <c r="AQ14" s="53"/>
      <c r="AR14" s="53">
        <v>0</v>
      </c>
      <c r="AS14" s="53"/>
      <c r="AT14" s="45">
        <f t="shared" si="4"/>
        <v>0</v>
      </c>
      <c r="AU14" s="45"/>
      <c r="AV14" s="53">
        <v>0</v>
      </c>
      <c r="AW14" s="53"/>
      <c r="AX14" s="53">
        <v>0</v>
      </c>
      <c r="AY14" s="53"/>
      <c r="AZ14" s="53">
        <f t="shared" si="5"/>
        <v>1213263</v>
      </c>
      <c r="BA14" s="51"/>
      <c r="BB14" s="35" t="s">
        <v>16</v>
      </c>
      <c r="BD14" s="35" t="s">
        <v>17</v>
      </c>
      <c r="BE14" s="53"/>
      <c r="BF14" s="53">
        <f>710000+720000</f>
        <v>1430000</v>
      </c>
      <c r="BG14" s="53"/>
      <c r="BH14" s="53">
        <v>0</v>
      </c>
      <c r="BI14" s="53"/>
      <c r="BJ14" s="53">
        <v>0</v>
      </c>
      <c r="BK14" s="53"/>
      <c r="BL14" s="53">
        <v>0</v>
      </c>
      <c r="BM14" s="53"/>
      <c r="BN14" s="53">
        <f t="shared" si="6"/>
        <v>1430000</v>
      </c>
      <c r="BO14" s="54"/>
      <c r="BS14" s="55"/>
      <c r="BT14" s="55"/>
      <c r="BU14" s="84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</row>
    <row r="15" spans="1:229" s="35" customFormat="1" ht="12.75" customHeight="1">
      <c r="A15" s="35" t="s">
        <v>18</v>
      </c>
      <c r="B15" s="51"/>
      <c r="C15" s="35" t="s">
        <v>18</v>
      </c>
      <c r="D15" s="44"/>
      <c r="E15" s="53">
        <f t="shared" si="0"/>
        <v>4181088</v>
      </c>
      <c r="F15" s="53"/>
      <c r="G15" s="53">
        <v>14270176</v>
      </c>
      <c r="H15" s="53"/>
      <c r="I15" s="53">
        <v>18451264</v>
      </c>
      <c r="J15" s="53"/>
      <c r="K15" s="53">
        <f t="shared" si="1"/>
        <v>2646819</v>
      </c>
      <c r="L15" s="53"/>
      <c r="M15" s="53">
        <v>5105044</v>
      </c>
      <c r="N15" s="53"/>
      <c r="O15" s="53">
        <v>7751863</v>
      </c>
      <c r="P15" s="53"/>
      <c r="Q15" s="53">
        <v>6750820</v>
      </c>
      <c r="R15" s="53"/>
      <c r="S15" s="53">
        <v>0</v>
      </c>
      <c r="T15" s="53"/>
      <c r="U15" s="53">
        <v>3948581</v>
      </c>
      <c r="V15" s="53"/>
      <c r="W15" s="53">
        <f t="shared" si="2"/>
        <v>10699401</v>
      </c>
      <c r="X15" s="51"/>
      <c r="Y15" s="51"/>
      <c r="Z15" s="35" t="s">
        <v>18</v>
      </c>
      <c r="AA15" s="53"/>
      <c r="AB15" s="35" t="s">
        <v>18</v>
      </c>
      <c r="AC15" s="51"/>
      <c r="AD15" s="53">
        <v>0</v>
      </c>
      <c r="AE15" s="53"/>
      <c r="AF15" s="53">
        <v>0</v>
      </c>
      <c r="AG15" s="53"/>
      <c r="AH15" s="53">
        <v>0</v>
      </c>
      <c r="AI15" s="53"/>
      <c r="AJ15" s="45">
        <f t="shared" si="3"/>
        <v>0</v>
      </c>
      <c r="AK15" s="45"/>
      <c r="AL15" s="53">
        <v>0</v>
      </c>
      <c r="AM15" s="45"/>
      <c r="AN15" s="53">
        <v>0</v>
      </c>
      <c r="AO15" s="53"/>
      <c r="AP15" s="53">
        <v>0</v>
      </c>
      <c r="AQ15" s="53"/>
      <c r="AR15" s="53">
        <v>0</v>
      </c>
      <c r="AS15" s="53"/>
      <c r="AT15" s="45">
        <f t="shared" si="4"/>
        <v>0</v>
      </c>
      <c r="AU15" s="45"/>
      <c r="AV15" s="53">
        <v>0</v>
      </c>
      <c r="AW15" s="53"/>
      <c r="AX15" s="53">
        <v>0</v>
      </c>
      <c r="AY15" s="53"/>
      <c r="AZ15" s="53">
        <f t="shared" si="5"/>
        <v>1534269</v>
      </c>
      <c r="BA15" s="51"/>
      <c r="BB15" s="35" t="s">
        <v>18</v>
      </c>
      <c r="BD15" s="35" t="s">
        <v>18</v>
      </c>
      <c r="BE15" s="53"/>
      <c r="BF15" s="53">
        <v>0</v>
      </c>
      <c r="BG15" s="53"/>
      <c r="BH15" s="53">
        <v>0</v>
      </c>
      <c r="BI15" s="53"/>
      <c r="BJ15" s="53">
        <v>0</v>
      </c>
      <c r="BK15" s="53"/>
      <c r="BL15" s="53">
        <v>0</v>
      </c>
      <c r="BM15" s="53"/>
      <c r="BN15" s="53">
        <f t="shared" si="6"/>
        <v>0</v>
      </c>
      <c r="BO15" s="54"/>
      <c r="BS15" s="55"/>
      <c r="BT15" s="55"/>
      <c r="BU15" s="84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</row>
    <row r="16" spans="1:229" s="126" customFormat="1" ht="12.75" hidden="1" customHeight="1">
      <c r="A16" s="126" t="s">
        <v>19</v>
      </c>
      <c r="B16" s="124"/>
      <c r="C16" s="126" t="s">
        <v>19</v>
      </c>
      <c r="D16" s="121"/>
      <c r="E16" s="140">
        <f t="shared" si="0"/>
        <v>0</v>
      </c>
      <c r="F16" s="140"/>
      <c r="G16" s="140"/>
      <c r="H16" s="140"/>
      <c r="I16" s="140"/>
      <c r="J16" s="140"/>
      <c r="K16" s="140">
        <f t="shared" si="1"/>
        <v>0</v>
      </c>
      <c r="L16" s="140"/>
      <c r="M16" s="140"/>
      <c r="N16" s="140"/>
      <c r="O16" s="140"/>
      <c r="P16" s="140"/>
      <c r="Q16" s="140"/>
      <c r="R16" s="140"/>
      <c r="S16" s="140">
        <v>0</v>
      </c>
      <c r="T16" s="140"/>
      <c r="U16" s="140"/>
      <c r="V16" s="140"/>
      <c r="W16" s="140">
        <f t="shared" si="2"/>
        <v>0</v>
      </c>
      <c r="X16" s="124"/>
      <c r="Y16" s="124"/>
      <c r="Z16" s="126" t="s">
        <v>19</v>
      </c>
      <c r="AA16" s="140"/>
      <c r="AB16" s="126" t="s">
        <v>19</v>
      </c>
      <c r="AC16" s="124"/>
      <c r="AD16" s="140"/>
      <c r="AE16" s="140"/>
      <c r="AF16" s="140"/>
      <c r="AG16" s="140"/>
      <c r="AH16" s="140"/>
      <c r="AI16" s="140"/>
      <c r="AJ16" s="127">
        <f t="shared" si="3"/>
        <v>0</v>
      </c>
      <c r="AK16" s="127"/>
      <c r="AL16" s="140"/>
      <c r="AM16" s="127"/>
      <c r="AN16" s="140"/>
      <c r="AO16" s="140"/>
      <c r="AP16" s="140"/>
      <c r="AQ16" s="140"/>
      <c r="AR16" s="140"/>
      <c r="AS16" s="140"/>
      <c r="AT16" s="127">
        <f t="shared" si="4"/>
        <v>0</v>
      </c>
      <c r="AU16" s="127"/>
      <c r="AV16" s="140">
        <v>0</v>
      </c>
      <c r="AW16" s="140"/>
      <c r="AX16" s="140">
        <v>0</v>
      </c>
      <c r="AY16" s="140"/>
      <c r="AZ16" s="140">
        <f t="shared" si="5"/>
        <v>0</v>
      </c>
      <c r="BA16" s="124"/>
      <c r="BB16" s="126" t="s">
        <v>19</v>
      </c>
      <c r="BD16" s="126" t="s">
        <v>19</v>
      </c>
      <c r="BE16" s="140"/>
      <c r="BF16" s="140"/>
      <c r="BG16" s="140"/>
      <c r="BH16" s="140"/>
      <c r="BI16" s="140"/>
      <c r="BJ16" s="140"/>
      <c r="BK16" s="140"/>
      <c r="BL16" s="140"/>
      <c r="BM16" s="140"/>
      <c r="BN16" s="140">
        <f t="shared" si="6"/>
        <v>0</v>
      </c>
      <c r="BO16" s="142"/>
      <c r="BS16" s="143"/>
      <c r="BT16" s="143"/>
      <c r="BU16" s="144"/>
      <c r="BV16" s="143"/>
      <c r="BW16" s="143"/>
      <c r="BX16" s="143"/>
      <c r="BY16" s="143"/>
      <c r="BZ16" s="143"/>
      <c r="CA16" s="143"/>
      <c r="CB16" s="143"/>
      <c r="CC16" s="143"/>
      <c r="CD16" s="143"/>
      <c r="CE16" s="143"/>
      <c r="CF16" s="143"/>
      <c r="CG16" s="143"/>
      <c r="CH16" s="143"/>
      <c r="CI16" s="143"/>
      <c r="CJ16" s="143"/>
      <c r="CK16" s="143"/>
      <c r="CL16" s="143"/>
      <c r="CM16" s="143"/>
      <c r="CN16" s="143"/>
      <c r="CO16" s="143"/>
      <c r="CP16" s="143"/>
      <c r="CQ16" s="143"/>
    </row>
    <row r="17" spans="1:95" s="35" customFormat="1" ht="12.75" customHeight="1">
      <c r="A17" s="35" t="s">
        <v>20</v>
      </c>
      <c r="B17" s="51"/>
      <c r="C17" s="35" t="s">
        <v>20</v>
      </c>
      <c r="D17" s="44"/>
      <c r="E17" s="53">
        <v>803714</v>
      </c>
      <c r="F17" s="53"/>
      <c r="G17" s="53">
        <f>85807+6339890</f>
        <v>6425697</v>
      </c>
      <c r="H17" s="53"/>
      <c r="I17" s="53">
        <v>7774147</v>
      </c>
      <c r="J17" s="53"/>
      <c r="K17" s="53">
        <f t="shared" si="1"/>
        <v>730635</v>
      </c>
      <c r="L17" s="53"/>
      <c r="M17" s="53">
        <v>46275</v>
      </c>
      <c r="N17" s="53"/>
      <c r="O17" s="53">
        <v>776910</v>
      </c>
      <c r="P17" s="53"/>
      <c r="Q17" s="53">
        <v>5950697</v>
      </c>
      <c r="R17" s="53"/>
      <c r="S17" s="53">
        <v>0</v>
      </c>
      <c r="T17" s="53"/>
      <c r="U17" s="53">
        <v>1046540</v>
      </c>
      <c r="V17" s="53"/>
      <c r="W17" s="53">
        <f t="shared" si="2"/>
        <v>6997237</v>
      </c>
      <c r="Z17" s="35" t="s">
        <v>20</v>
      </c>
      <c r="AA17" s="53"/>
      <c r="AB17" s="35" t="s">
        <v>20</v>
      </c>
      <c r="AC17" s="51"/>
      <c r="AD17" s="53">
        <v>3179573</v>
      </c>
      <c r="AE17" s="53"/>
      <c r="AF17" s="53">
        <f>3030645-317035</f>
        <v>2713610</v>
      </c>
      <c r="AG17" s="53"/>
      <c r="AH17" s="53">
        <v>317035</v>
      </c>
      <c r="AI17" s="53"/>
      <c r="AJ17" s="45">
        <f t="shared" si="3"/>
        <v>148928</v>
      </c>
      <c r="AK17" s="45"/>
      <c r="AL17" s="53">
        <v>-4403</v>
      </c>
      <c r="AM17" s="45"/>
      <c r="AN17" s="53">
        <v>57204</v>
      </c>
      <c r="AO17" s="53"/>
      <c r="AP17" s="53">
        <v>5000</v>
      </c>
      <c r="AQ17" s="53"/>
      <c r="AR17" s="53">
        <v>10364</v>
      </c>
      <c r="AS17" s="53"/>
      <c r="AT17" s="45">
        <f t="shared" si="4"/>
        <v>207093</v>
      </c>
      <c r="AU17" s="45"/>
      <c r="AV17" s="53">
        <v>0</v>
      </c>
      <c r="AW17" s="53"/>
      <c r="AX17" s="53">
        <v>0</v>
      </c>
      <c r="AY17" s="53"/>
      <c r="AZ17" s="53">
        <f t="shared" si="5"/>
        <v>73079</v>
      </c>
      <c r="BA17" s="51"/>
      <c r="BB17" s="35" t="s">
        <v>20</v>
      </c>
      <c r="BD17" s="35" t="s">
        <v>20</v>
      </c>
      <c r="BE17" s="53"/>
      <c r="BF17" s="53">
        <v>0</v>
      </c>
      <c r="BG17" s="53"/>
      <c r="BH17" s="53">
        <v>0</v>
      </c>
      <c r="BI17" s="53"/>
      <c r="BJ17" s="53">
        <f>865429+452237+453365+2135925</f>
        <v>3906956</v>
      </c>
      <c r="BK17" s="53"/>
      <c r="BL17" s="53">
        <v>263621</v>
      </c>
      <c r="BM17" s="53"/>
      <c r="BN17" s="53">
        <f t="shared" si="6"/>
        <v>4170577</v>
      </c>
      <c r="BO17" s="54"/>
      <c r="BS17" s="55"/>
      <c r="BT17" s="55"/>
      <c r="BU17" s="84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</row>
    <row r="18" spans="1:95" s="35" customFormat="1" ht="12.75" customHeight="1">
      <c r="A18" s="35" t="s">
        <v>21</v>
      </c>
      <c r="B18" s="51"/>
      <c r="C18" s="35" t="s">
        <v>22</v>
      </c>
      <c r="D18" s="44"/>
      <c r="E18" s="53">
        <f t="shared" si="0"/>
        <v>3068640</v>
      </c>
      <c r="F18" s="53"/>
      <c r="G18" s="53">
        <v>9250761</v>
      </c>
      <c r="H18" s="53"/>
      <c r="I18" s="53">
        <v>12319401</v>
      </c>
      <c r="J18" s="53"/>
      <c r="K18" s="53">
        <f t="shared" si="1"/>
        <v>392623</v>
      </c>
      <c r="L18" s="53"/>
      <c r="M18" s="53">
        <v>157723</v>
      </c>
      <c r="N18" s="53"/>
      <c r="O18" s="53">
        <v>550346</v>
      </c>
      <c r="P18" s="53"/>
      <c r="Q18" s="53">
        <v>9100761</v>
      </c>
      <c r="R18" s="53"/>
      <c r="S18" s="53">
        <v>0</v>
      </c>
      <c r="T18" s="53"/>
      <c r="U18" s="53">
        <v>2668294</v>
      </c>
      <c r="V18" s="53"/>
      <c r="W18" s="53">
        <f t="shared" si="2"/>
        <v>11769055</v>
      </c>
      <c r="X18" s="51"/>
      <c r="Y18" s="51"/>
      <c r="Z18" s="35" t="s">
        <v>21</v>
      </c>
      <c r="AA18" s="53"/>
      <c r="AB18" s="35" t="s">
        <v>22</v>
      </c>
      <c r="AC18" s="51"/>
      <c r="AD18" s="53">
        <v>2514284</v>
      </c>
      <c r="AE18" s="53"/>
      <c r="AF18" s="53">
        <f>2702628-247783</f>
        <v>2454845</v>
      </c>
      <c r="AG18" s="53"/>
      <c r="AH18" s="53">
        <v>247783</v>
      </c>
      <c r="AI18" s="53"/>
      <c r="AJ18" s="45">
        <f t="shared" si="3"/>
        <v>-188344</v>
      </c>
      <c r="AK18" s="45"/>
      <c r="AL18" s="53">
        <v>100836</v>
      </c>
      <c r="AM18" s="45"/>
      <c r="AN18" s="53">
        <v>0</v>
      </c>
      <c r="AO18" s="53"/>
      <c r="AP18" s="53">
        <v>0</v>
      </c>
      <c r="AQ18" s="53"/>
      <c r="AR18" s="53">
        <v>395570</v>
      </c>
      <c r="AS18" s="53"/>
      <c r="AT18" s="45">
        <f t="shared" si="4"/>
        <v>308062</v>
      </c>
      <c r="AU18" s="45"/>
      <c r="AV18" s="53">
        <v>0</v>
      </c>
      <c r="AW18" s="53"/>
      <c r="AX18" s="53">
        <v>0</v>
      </c>
      <c r="AY18" s="53"/>
      <c r="AZ18" s="53">
        <f t="shared" si="5"/>
        <v>2676017</v>
      </c>
      <c r="BA18" s="51"/>
      <c r="BB18" s="35" t="s">
        <v>21</v>
      </c>
      <c r="BD18" s="35" t="s">
        <v>22</v>
      </c>
      <c r="BE18" s="53"/>
      <c r="BF18" s="53">
        <v>770727</v>
      </c>
      <c r="BG18" s="53"/>
      <c r="BH18" s="53">
        <v>0</v>
      </c>
      <c r="BI18" s="53"/>
      <c r="BJ18" s="53">
        <f>6343602+447500</f>
        <v>6791102</v>
      </c>
      <c r="BK18" s="53"/>
      <c r="BL18" s="53">
        <f>29813+109312</f>
        <v>139125</v>
      </c>
      <c r="BM18" s="53"/>
      <c r="BN18" s="53">
        <f t="shared" si="6"/>
        <v>7700954</v>
      </c>
      <c r="BO18" s="54"/>
      <c r="BS18" s="55"/>
      <c r="BT18" s="55"/>
      <c r="BU18" s="84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</row>
    <row r="19" spans="1:95" s="35" customFormat="1" ht="12.75" customHeight="1">
      <c r="A19" s="35" t="s">
        <v>23</v>
      </c>
      <c r="B19" s="51"/>
      <c r="C19" s="35" t="s">
        <v>17</v>
      </c>
      <c r="D19" s="44"/>
      <c r="E19" s="53">
        <v>2554489</v>
      </c>
      <c r="F19" s="53"/>
      <c r="G19" s="53">
        <v>12697432</v>
      </c>
      <c r="H19" s="53"/>
      <c r="I19" s="53">
        <v>16034587</v>
      </c>
      <c r="J19" s="53"/>
      <c r="K19" s="53">
        <f t="shared" si="1"/>
        <v>499852</v>
      </c>
      <c r="L19" s="53"/>
      <c r="M19" s="53">
        <v>728677</v>
      </c>
      <c r="N19" s="53"/>
      <c r="O19" s="53">
        <v>1228529</v>
      </c>
      <c r="P19" s="53"/>
      <c r="Q19" s="53">
        <v>11211242</v>
      </c>
      <c r="R19" s="53"/>
      <c r="S19" s="53">
        <v>0</v>
      </c>
      <c r="T19" s="53"/>
      <c r="U19" s="53">
        <v>3594816</v>
      </c>
      <c r="V19" s="53"/>
      <c r="W19" s="53">
        <f t="shared" si="2"/>
        <v>14806058</v>
      </c>
      <c r="X19" s="51"/>
      <c r="Y19" s="51"/>
      <c r="Z19" s="35" t="s">
        <v>23</v>
      </c>
      <c r="AA19" s="53"/>
      <c r="AB19" s="35" t="s">
        <v>17</v>
      </c>
      <c r="AC19" s="51"/>
      <c r="AD19" s="53">
        <v>2178196</v>
      </c>
      <c r="AE19" s="53"/>
      <c r="AF19" s="53">
        <f>2507024-431300</f>
        <v>2075724</v>
      </c>
      <c r="AG19" s="53"/>
      <c r="AH19" s="53">
        <v>431300</v>
      </c>
      <c r="AI19" s="53"/>
      <c r="AJ19" s="45">
        <f t="shared" si="3"/>
        <v>-328828</v>
      </c>
      <c r="AK19" s="45"/>
      <c r="AL19" s="53">
        <v>-49371</v>
      </c>
      <c r="AM19" s="45"/>
      <c r="AN19" s="53">
        <v>0</v>
      </c>
      <c r="AO19" s="53"/>
      <c r="AP19" s="53">
        <v>112500</v>
      </c>
      <c r="AQ19" s="53"/>
      <c r="AR19" s="53">
        <v>507811</v>
      </c>
      <c r="AS19" s="53"/>
      <c r="AT19" s="45">
        <f t="shared" si="4"/>
        <v>17112</v>
      </c>
      <c r="AU19" s="45"/>
      <c r="AV19" s="53">
        <v>0</v>
      </c>
      <c r="AW19" s="53"/>
      <c r="AX19" s="53">
        <v>0</v>
      </c>
      <c r="AY19" s="53"/>
      <c r="AZ19" s="53">
        <f t="shared" si="5"/>
        <v>2054637</v>
      </c>
      <c r="BA19" s="51"/>
      <c r="BB19" s="35" t="s">
        <v>23</v>
      </c>
      <c r="BD19" s="35" t="s">
        <v>17</v>
      </c>
      <c r="BE19" s="53"/>
      <c r="BF19" s="53">
        <v>557576</v>
      </c>
      <c r="BG19" s="53"/>
      <c r="BH19" s="53">
        <v>0</v>
      </c>
      <c r="BI19" s="53"/>
      <c r="BJ19" s="53">
        <v>544006</v>
      </c>
      <c r="BK19" s="53"/>
      <c r="BL19" s="53">
        <f>683979+118712</f>
        <v>802691</v>
      </c>
      <c r="BM19" s="53"/>
      <c r="BN19" s="53">
        <f t="shared" si="6"/>
        <v>1904273</v>
      </c>
      <c r="BO19" s="54"/>
      <c r="BS19" s="55"/>
      <c r="BT19" s="55"/>
      <c r="BU19" s="84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</row>
    <row r="20" spans="1:95" s="35" customFormat="1" ht="12.75" customHeight="1">
      <c r="A20" s="35" t="s">
        <v>24</v>
      </c>
      <c r="B20" s="51"/>
      <c r="C20" s="35" t="s">
        <v>17</v>
      </c>
      <c r="D20" s="44"/>
      <c r="E20" s="53">
        <f t="shared" si="0"/>
        <v>50108343</v>
      </c>
      <c r="F20" s="53"/>
      <c r="G20" s="53">
        <v>0</v>
      </c>
      <c r="H20" s="53"/>
      <c r="I20" s="53">
        <v>50108343</v>
      </c>
      <c r="J20" s="53"/>
      <c r="K20" s="53">
        <f t="shared" si="1"/>
        <v>2448737</v>
      </c>
      <c r="L20" s="53"/>
      <c r="M20" s="53">
        <v>21588445</v>
      </c>
      <c r="N20" s="53"/>
      <c r="O20" s="53">
        <v>24037182</v>
      </c>
      <c r="P20" s="53"/>
      <c r="Q20" s="53">
        <v>12382000</v>
      </c>
      <c r="R20" s="53"/>
      <c r="S20" s="53">
        <v>1316165</v>
      </c>
      <c r="T20" s="53"/>
      <c r="U20" s="53">
        <v>12372996</v>
      </c>
      <c r="V20" s="53"/>
      <c r="W20" s="53">
        <f t="shared" si="2"/>
        <v>26071161</v>
      </c>
      <c r="X20" s="51"/>
      <c r="Y20" s="51"/>
      <c r="Z20" s="35" t="s">
        <v>24</v>
      </c>
      <c r="AA20" s="53"/>
      <c r="AB20" s="35" t="s">
        <v>17</v>
      </c>
      <c r="AC20" s="51"/>
      <c r="AD20" s="53">
        <v>9131923</v>
      </c>
      <c r="AE20" s="53"/>
      <c r="AF20" s="53">
        <f>6353257-1082470</f>
        <v>5270787</v>
      </c>
      <c r="AG20" s="53"/>
      <c r="AH20" s="53">
        <v>1082470</v>
      </c>
      <c r="AI20" s="53"/>
      <c r="AJ20" s="45">
        <f t="shared" si="3"/>
        <v>2778666</v>
      </c>
      <c r="AK20" s="45"/>
      <c r="AL20" s="53">
        <v>-297291</v>
      </c>
      <c r="AM20" s="45"/>
      <c r="AN20" s="53">
        <v>99649</v>
      </c>
      <c r="AO20" s="53"/>
      <c r="AP20" s="53">
        <v>669821</v>
      </c>
      <c r="AQ20" s="53"/>
      <c r="AR20" s="53">
        <v>186339</v>
      </c>
      <c r="AS20" s="53"/>
      <c r="AT20" s="45">
        <f t="shared" si="4"/>
        <v>2097542</v>
      </c>
      <c r="AU20" s="45"/>
      <c r="AV20" s="53">
        <v>0</v>
      </c>
      <c r="AW20" s="53"/>
      <c r="AX20" s="53">
        <v>0</v>
      </c>
      <c r="AY20" s="53"/>
      <c r="AZ20" s="53">
        <f t="shared" si="5"/>
        <v>47659606</v>
      </c>
      <c r="BA20" s="51"/>
      <c r="BB20" s="35" t="s">
        <v>24</v>
      </c>
      <c r="BD20" s="35" t="s">
        <v>17</v>
      </c>
      <c r="BE20" s="53"/>
      <c r="BF20" s="53">
        <v>8025710</v>
      </c>
      <c r="BG20" s="53"/>
      <c r="BH20" s="53">
        <v>11020000</v>
      </c>
      <c r="BI20" s="53"/>
      <c r="BJ20" s="53">
        <v>12335034</v>
      </c>
      <c r="BK20" s="53"/>
      <c r="BL20" s="53">
        <f>150389+480532</f>
        <v>630921</v>
      </c>
      <c r="BM20" s="53"/>
      <c r="BN20" s="53">
        <f t="shared" si="6"/>
        <v>32011665</v>
      </c>
      <c r="BO20" s="54"/>
      <c r="BS20" s="55"/>
      <c r="BT20" s="55"/>
      <c r="BU20" s="84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</row>
    <row r="21" spans="1:95" s="35" customFormat="1" ht="12.75" customHeight="1">
      <c r="A21" s="35" t="s">
        <v>25</v>
      </c>
      <c r="C21" s="35" t="s">
        <v>13</v>
      </c>
      <c r="D21" s="44"/>
      <c r="E21" s="53">
        <f t="shared" si="0"/>
        <v>6546869</v>
      </c>
      <c r="F21" s="53"/>
      <c r="G21" s="53">
        <v>17322092</v>
      </c>
      <c r="H21" s="53"/>
      <c r="I21" s="53">
        <v>23868961</v>
      </c>
      <c r="J21" s="53"/>
      <c r="K21" s="53">
        <f t="shared" si="1"/>
        <v>-31214868</v>
      </c>
      <c r="L21" s="53"/>
      <c r="M21" s="53">
        <v>43663274</v>
      </c>
      <c r="N21" s="53"/>
      <c r="O21" s="53">
        <v>12448406</v>
      </c>
      <c r="P21" s="53"/>
      <c r="Q21" s="53">
        <v>32033068</v>
      </c>
      <c r="R21" s="53"/>
      <c r="S21" s="53">
        <v>1039101</v>
      </c>
      <c r="T21" s="53"/>
      <c r="U21" s="53">
        <v>6981181</v>
      </c>
      <c r="V21" s="53"/>
      <c r="W21" s="53">
        <f t="shared" si="2"/>
        <v>40053350</v>
      </c>
      <c r="X21" s="51"/>
      <c r="Y21" s="51"/>
      <c r="Z21" s="35" t="s">
        <v>25</v>
      </c>
      <c r="AA21" s="53"/>
      <c r="AB21" s="35" t="s">
        <v>13</v>
      </c>
      <c r="AD21" s="53">
        <v>4582696</v>
      </c>
      <c r="AE21" s="53"/>
      <c r="AF21" s="53">
        <f>3168493-536780</f>
        <v>2631713</v>
      </c>
      <c r="AG21" s="53"/>
      <c r="AH21" s="53">
        <v>536780</v>
      </c>
      <c r="AI21" s="53"/>
      <c r="AJ21" s="45">
        <f t="shared" si="3"/>
        <v>1414203</v>
      </c>
      <c r="AK21" s="45"/>
      <c r="AL21" s="53">
        <v>-339748</v>
      </c>
      <c r="AM21" s="45"/>
      <c r="AN21" s="53">
        <v>0</v>
      </c>
      <c r="AO21" s="53"/>
      <c r="AP21" s="53">
        <v>0</v>
      </c>
      <c r="AQ21" s="53"/>
      <c r="AR21" s="53">
        <v>0</v>
      </c>
      <c r="AS21" s="53"/>
      <c r="AT21" s="45">
        <f t="shared" si="4"/>
        <v>1074455</v>
      </c>
      <c r="AU21" s="45"/>
      <c r="AV21" s="53">
        <v>0</v>
      </c>
      <c r="AW21" s="53"/>
      <c r="AX21" s="53">
        <v>0</v>
      </c>
      <c r="AY21" s="53"/>
      <c r="AZ21" s="53">
        <f t="shared" si="5"/>
        <v>37761737</v>
      </c>
      <c r="BA21" s="51"/>
      <c r="BB21" s="35" t="s">
        <v>25</v>
      </c>
      <c r="BD21" s="35" t="s">
        <v>13</v>
      </c>
      <c r="BE21" s="53"/>
      <c r="BF21" s="53">
        <v>3002954</v>
      </c>
      <c r="BG21" s="53"/>
      <c r="BH21" s="53">
        <v>8661998</v>
      </c>
      <c r="BI21" s="53"/>
      <c r="BJ21" s="53">
        <v>0</v>
      </c>
      <c r="BK21" s="53"/>
      <c r="BL21" s="53">
        <f>1204000+185617+638330</f>
        <v>2027947</v>
      </c>
      <c r="BM21" s="53"/>
      <c r="BN21" s="53">
        <f>SUM(BF21:BL21)</f>
        <v>13692899</v>
      </c>
      <c r="BO21" s="54"/>
      <c r="BS21" s="55"/>
      <c r="BT21" s="55"/>
      <c r="BU21" s="84"/>
      <c r="BV21" s="55"/>
      <c r="BW21" s="55"/>
      <c r="BX21" s="55"/>
      <c r="BY21" s="55"/>
      <c r="BZ21" s="55"/>
      <c r="CA21" s="55"/>
      <c r="CB21" s="55"/>
      <c r="CC21" s="55"/>
      <c r="CD21" s="55"/>
      <c r="CE21" s="55"/>
      <c r="CF21" s="55"/>
      <c r="CG21" s="55"/>
      <c r="CH21" s="55"/>
      <c r="CI21" s="55"/>
      <c r="CJ21" s="55"/>
      <c r="CK21" s="55"/>
      <c r="CL21" s="55"/>
      <c r="CM21" s="55"/>
      <c r="CN21" s="55"/>
      <c r="CO21" s="55"/>
      <c r="CP21" s="55"/>
      <c r="CQ21" s="55"/>
    </row>
    <row r="22" spans="1:95" s="126" customFormat="1" ht="12.75" hidden="1" customHeight="1">
      <c r="A22" s="126" t="s">
        <v>26</v>
      </c>
      <c r="B22" s="124"/>
      <c r="C22" s="126" t="s">
        <v>27</v>
      </c>
      <c r="D22" s="121"/>
      <c r="E22" s="140">
        <f t="shared" si="0"/>
        <v>0</v>
      </c>
      <c r="F22" s="140"/>
      <c r="G22" s="140"/>
      <c r="H22" s="140"/>
      <c r="I22" s="140"/>
      <c r="J22" s="140"/>
      <c r="K22" s="140">
        <f t="shared" si="1"/>
        <v>0</v>
      </c>
      <c r="L22" s="140"/>
      <c r="M22" s="140"/>
      <c r="N22" s="140"/>
      <c r="O22" s="140"/>
      <c r="P22" s="140"/>
      <c r="Q22" s="140"/>
      <c r="R22" s="140"/>
      <c r="S22" s="140">
        <v>0</v>
      </c>
      <c r="T22" s="140"/>
      <c r="U22" s="140"/>
      <c r="V22" s="140"/>
      <c r="W22" s="140">
        <f t="shared" si="2"/>
        <v>0</v>
      </c>
      <c r="X22" s="124"/>
      <c r="Y22" s="124"/>
      <c r="Z22" s="126" t="s">
        <v>26</v>
      </c>
      <c r="AA22" s="140"/>
      <c r="AB22" s="126" t="s">
        <v>27</v>
      </c>
      <c r="AC22" s="124"/>
      <c r="AD22" s="140"/>
      <c r="AE22" s="140"/>
      <c r="AF22" s="140"/>
      <c r="AG22" s="140"/>
      <c r="AH22" s="140"/>
      <c r="AI22" s="140"/>
      <c r="AJ22" s="127">
        <f t="shared" si="3"/>
        <v>0</v>
      </c>
      <c r="AK22" s="127"/>
      <c r="AL22" s="140"/>
      <c r="AM22" s="127"/>
      <c r="AN22" s="140"/>
      <c r="AO22" s="140"/>
      <c r="AP22" s="140"/>
      <c r="AQ22" s="140"/>
      <c r="AR22" s="140"/>
      <c r="AS22" s="140"/>
      <c r="AT22" s="127">
        <f t="shared" si="4"/>
        <v>0</v>
      </c>
      <c r="AU22" s="127"/>
      <c r="AV22" s="140">
        <v>0</v>
      </c>
      <c r="AW22" s="140"/>
      <c r="AX22" s="140">
        <v>0</v>
      </c>
      <c r="AY22" s="140"/>
      <c r="AZ22" s="140">
        <f t="shared" si="5"/>
        <v>0</v>
      </c>
      <c r="BA22" s="124"/>
      <c r="BB22" s="126" t="s">
        <v>26</v>
      </c>
      <c r="BD22" s="126" t="s">
        <v>27</v>
      </c>
      <c r="BE22" s="140"/>
      <c r="BF22" s="140"/>
      <c r="BG22" s="140"/>
      <c r="BH22" s="140"/>
      <c r="BI22" s="140"/>
      <c r="BJ22" s="140"/>
      <c r="BK22" s="140"/>
      <c r="BL22" s="140"/>
      <c r="BM22" s="140"/>
      <c r="BN22" s="140">
        <f t="shared" si="6"/>
        <v>0</v>
      </c>
      <c r="BO22" s="142"/>
      <c r="BS22" s="143"/>
      <c r="BT22" s="143"/>
      <c r="BU22" s="144"/>
      <c r="BV22" s="143"/>
      <c r="BW22" s="143"/>
      <c r="BX22" s="143"/>
      <c r="BY22" s="143"/>
      <c r="BZ22" s="143"/>
      <c r="CA22" s="143"/>
      <c r="CB22" s="143"/>
      <c r="CC22" s="143"/>
      <c r="CD22" s="143"/>
      <c r="CE22" s="143"/>
      <c r="CF22" s="143"/>
      <c r="CG22" s="143"/>
      <c r="CH22" s="143"/>
      <c r="CI22" s="143"/>
      <c r="CJ22" s="143"/>
      <c r="CK22" s="143"/>
      <c r="CL22" s="143"/>
      <c r="CM22" s="143"/>
      <c r="CN22" s="143"/>
      <c r="CO22" s="143"/>
      <c r="CP22" s="143"/>
      <c r="CQ22" s="143"/>
    </row>
    <row r="23" spans="1:95" s="126" customFormat="1" ht="12.75" hidden="1" customHeight="1">
      <c r="A23" s="126" t="s">
        <v>28</v>
      </c>
      <c r="B23" s="124"/>
      <c r="C23" s="126" t="s">
        <v>27</v>
      </c>
      <c r="D23" s="121"/>
      <c r="E23" s="140">
        <f t="shared" si="0"/>
        <v>0</v>
      </c>
      <c r="F23" s="140"/>
      <c r="G23" s="140"/>
      <c r="H23" s="140"/>
      <c r="I23" s="140"/>
      <c r="J23" s="140"/>
      <c r="K23" s="140">
        <f t="shared" si="1"/>
        <v>0</v>
      </c>
      <c r="L23" s="140"/>
      <c r="M23" s="140"/>
      <c r="N23" s="140"/>
      <c r="O23" s="140"/>
      <c r="P23" s="140"/>
      <c r="Q23" s="140"/>
      <c r="R23" s="140"/>
      <c r="S23" s="140">
        <v>0</v>
      </c>
      <c r="T23" s="140"/>
      <c r="U23" s="140"/>
      <c r="V23" s="140"/>
      <c r="W23" s="140">
        <f t="shared" si="2"/>
        <v>0</v>
      </c>
      <c r="X23" s="124"/>
      <c r="Y23" s="124"/>
      <c r="Z23" s="126" t="s">
        <v>28</v>
      </c>
      <c r="AA23" s="140"/>
      <c r="AB23" s="126" t="s">
        <v>27</v>
      </c>
      <c r="AC23" s="124"/>
      <c r="AD23" s="140"/>
      <c r="AE23" s="140"/>
      <c r="AF23" s="140"/>
      <c r="AG23" s="140"/>
      <c r="AH23" s="140"/>
      <c r="AI23" s="140"/>
      <c r="AJ23" s="127">
        <f t="shared" si="3"/>
        <v>0</v>
      </c>
      <c r="AK23" s="127"/>
      <c r="AL23" s="140"/>
      <c r="AM23" s="127"/>
      <c r="AN23" s="140"/>
      <c r="AO23" s="140"/>
      <c r="AP23" s="140"/>
      <c r="AQ23" s="140"/>
      <c r="AR23" s="140"/>
      <c r="AS23" s="140"/>
      <c r="AT23" s="127">
        <f t="shared" si="4"/>
        <v>0</v>
      </c>
      <c r="AU23" s="127"/>
      <c r="AV23" s="140">
        <v>0</v>
      </c>
      <c r="AW23" s="140"/>
      <c r="AX23" s="140">
        <v>0</v>
      </c>
      <c r="AY23" s="140"/>
      <c r="AZ23" s="140">
        <f t="shared" si="5"/>
        <v>0</v>
      </c>
      <c r="BA23" s="124"/>
      <c r="BB23" s="126" t="s">
        <v>28</v>
      </c>
      <c r="BD23" s="126" t="s">
        <v>27</v>
      </c>
      <c r="BE23" s="140"/>
      <c r="BF23" s="140"/>
      <c r="BG23" s="140"/>
      <c r="BH23" s="140"/>
      <c r="BI23" s="140"/>
      <c r="BJ23" s="140"/>
      <c r="BK23" s="140"/>
      <c r="BL23" s="140"/>
      <c r="BM23" s="140"/>
      <c r="BN23" s="140">
        <f t="shared" si="6"/>
        <v>0</v>
      </c>
      <c r="BO23" s="142"/>
      <c r="BS23" s="143"/>
      <c r="BT23" s="143"/>
      <c r="BU23" s="144"/>
      <c r="BV23" s="143"/>
      <c r="BW23" s="143"/>
      <c r="BX23" s="14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</row>
    <row r="24" spans="1:95" s="126" customFormat="1" ht="12.75" hidden="1" customHeight="1">
      <c r="A24" s="126" t="s">
        <v>29</v>
      </c>
      <c r="B24" s="124"/>
      <c r="C24" s="126" t="s">
        <v>30</v>
      </c>
      <c r="D24" s="121"/>
      <c r="E24" s="140">
        <f t="shared" si="0"/>
        <v>0</v>
      </c>
      <c r="F24" s="140"/>
      <c r="G24" s="140"/>
      <c r="H24" s="140"/>
      <c r="I24" s="140"/>
      <c r="J24" s="140"/>
      <c r="K24" s="140">
        <f t="shared" si="1"/>
        <v>0</v>
      </c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>
        <f t="shared" si="2"/>
        <v>0</v>
      </c>
      <c r="X24" s="124"/>
      <c r="Y24" s="124"/>
      <c r="Z24" s="126" t="s">
        <v>29</v>
      </c>
      <c r="AA24" s="140"/>
      <c r="AB24" s="126" t="s">
        <v>30</v>
      </c>
      <c r="AC24" s="124"/>
      <c r="AD24" s="140"/>
      <c r="AE24" s="140"/>
      <c r="AF24" s="140"/>
      <c r="AG24" s="140"/>
      <c r="AH24" s="140"/>
      <c r="AI24" s="140"/>
      <c r="AJ24" s="127">
        <f t="shared" si="3"/>
        <v>0</v>
      </c>
      <c r="AK24" s="127"/>
      <c r="AL24" s="140"/>
      <c r="AM24" s="127"/>
      <c r="AN24" s="140"/>
      <c r="AO24" s="140"/>
      <c r="AP24" s="140"/>
      <c r="AQ24" s="140"/>
      <c r="AR24" s="140"/>
      <c r="AS24" s="140"/>
      <c r="AT24" s="127">
        <f t="shared" si="4"/>
        <v>0</v>
      </c>
      <c r="AU24" s="127"/>
      <c r="AV24" s="140">
        <v>0</v>
      </c>
      <c r="AW24" s="140"/>
      <c r="AX24" s="140">
        <v>0</v>
      </c>
      <c r="AY24" s="140"/>
      <c r="AZ24" s="140">
        <f t="shared" si="5"/>
        <v>0</v>
      </c>
      <c r="BA24" s="124"/>
      <c r="BB24" s="126" t="s">
        <v>29</v>
      </c>
      <c r="BD24" s="126" t="s">
        <v>30</v>
      </c>
      <c r="BE24" s="140"/>
      <c r="BF24" s="140"/>
      <c r="BG24" s="140"/>
      <c r="BH24" s="140"/>
      <c r="BI24" s="140"/>
      <c r="BJ24" s="140"/>
      <c r="BK24" s="140"/>
      <c r="BL24" s="140"/>
      <c r="BM24" s="140"/>
      <c r="BN24" s="140">
        <f t="shared" si="6"/>
        <v>0</v>
      </c>
      <c r="BO24" s="142"/>
      <c r="BS24" s="143"/>
      <c r="BT24" s="143"/>
      <c r="BU24" s="144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</row>
    <row r="25" spans="1:95" s="35" customFormat="1" ht="12.75" hidden="1" customHeight="1">
      <c r="A25" s="35" t="s">
        <v>31</v>
      </c>
      <c r="B25" s="51"/>
      <c r="C25" s="35" t="s">
        <v>27</v>
      </c>
      <c r="D25" s="44"/>
      <c r="E25" s="53">
        <f t="shared" si="0"/>
        <v>0</v>
      </c>
      <c r="F25" s="53"/>
      <c r="G25" s="53"/>
      <c r="H25" s="53"/>
      <c r="I25" s="53"/>
      <c r="J25" s="53"/>
      <c r="K25" s="53">
        <f t="shared" si="1"/>
        <v>0</v>
      </c>
      <c r="L25" s="53"/>
      <c r="M25" s="53"/>
      <c r="N25" s="53"/>
      <c r="O25" s="53"/>
      <c r="P25" s="53"/>
      <c r="Q25" s="53"/>
      <c r="R25" s="53"/>
      <c r="S25" s="53">
        <v>0</v>
      </c>
      <c r="T25" s="53"/>
      <c r="U25" s="53"/>
      <c r="V25" s="53"/>
      <c r="W25" s="53">
        <f t="shared" si="2"/>
        <v>0</v>
      </c>
      <c r="Z25" s="35" t="s">
        <v>31</v>
      </c>
      <c r="AA25" s="53"/>
      <c r="AB25" s="35" t="s">
        <v>27</v>
      </c>
      <c r="AC25" s="51"/>
      <c r="AD25" s="53"/>
      <c r="AE25" s="53"/>
      <c r="AF25" s="53"/>
      <c r="AG25" s="53"/>
      <c r="AH25" s="53"/>
      <c r="AI25" s="53"/>
      <c r="AJ25" s="45">
        <f t="shared" si="3"/>
        <v>0</v>
      </c>
      <c r="AK25" s="45"/>
      <c r="AL25" s="53"/>
      <c r="AM25" s="45"/>
      <c r="AN25" s="53"/>
      <c r="AO25" s="53"/>
      <c r="AP25" s="53"/>
      <c r="AQ25" s="53"/>
      <c r="AR25" s="53"/>
      <c r="AS25" s="53"/>
      <c r="AT25" s="45">
        <f t="shared" si="4"/>
        <v>0</v>
      </c>
      <c r="AU25" s="45"/>
      <c r="AV25" s="53">
        <v>0</v>
      </c>
      <c r="AW25" s="53"/>
      <c r="AX25" s="53">
        <v>0</v>
      </c>
      <c r="AY25" s="53"/>
      <c r="AZ25" s="53">
        <f t="shared" si="5"/>
        <v>0</v>
      </c>
      <c r="BA25" s="51"/>
      <c r="BB25" s="35" t="s">
        <v>31</v>
      </c>
      <c r="BD25" s="35" t="s">
        <v>27</v>
      </c>
      <c r="BE25" s="53"/>
      <c r="BF25" s="53"/>
      <c r="BG25" s="53"/>
      <c r="BH25" s="53"/>
      <c r="BI25" s="53"/>
      <c r="BJ25" s="53"/>
      <c r="BK25" s="53"/>
      <c r="BL25" s="53"/>
      <c r="BM25" s="53"/>
      <c r="BN25" s="53">
        <f t="shared" si="6"/>
        <v>0</v>
      </c>
      <c r="BO25" s="54"/>
      <c r="BS25" s="55"/>
      <c r="BT25" s="55"/>
      <c r="BU25" s="84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</row>
    <row r="26" spans="1:95" s="126" customFormat="1" ht="12.75" hidden="1" customHeight="1">
      <c r="A26" s="126" t="s">
        <v>32</v>
      </c>
      <c r="B26" s="124"/>
      <c r="C26" s="126" t="s">
        <v>27</v>
      </c>
      <c r="D26" s="121"/>
      <c r="E26" s="140">
        <f t="shared" si="0"/>
        <v>0</v>
      </c>
      <c r="F26" s="140"/>
      <c r="G26" s="140"/>
      <c r="H26" s="140"/>
      <c r="I26" s="140"/>
      <c r="J26" s="140"/>
      <c r="K26" s="140">
        <f t="shared" si="1"/>
        <v>0</v>
      </c>
      <c r="L26" s="140"/>
      <c r="M26" s="140"/>
      <c r="N26" s="140"/>
      <c r="O26" s="140"/>
      <c r="P26" s="140"/>
      <c r="Q26" s="140"/>
      <c r="R26" s="140"/>
      <c r="S26" s="140">
        <v>0</v>
      </c>
      <c r="T26" s="140"/>
      <c r="U26" s="140"/>
      <c r="V26" s="140"/>
      <c r="W26" s="140">
        <f t="shared" si="2"/>
        <v>0</v>
      </c>
      <c r="X26" s="124"/>
      <c r="Y26" s="124"/>
      <c r="Z26" s="126" t="s">
        <v>32</v>
      </c>
      <c r="AA26" s="140"/>
      <c r="AB26" s="126" t="s">
        <v>27</v>
      </c>
      <c r="AC26" s="124"/>
      <c r="AD26" s="140"/>
      <c r="AE26" s="140"/>
      <c r="AF26" s="140"/>
      <c r="AG26" s="140"/>
      <c r="AH26" s="140"/>
      <c r="AI26" s="140"/>
      <c r="AJ26" s="127">
        <f t="shared" si="3"/>
        <v>0</v>
      </c>
      <c r="AK26" s="127"/>
      <c r="AL26" s="140"/>
      <c r="AM26" s="127"/>
      <c r="AN26" s="140"/>
      <c r="AO26" s="140"/>
      <c r="AP26" s="140"/>
      <c r="AQ26" s="140"/>
      <c r="AR26" s="140"/>
      <c r="AS26" s="140"/>
      <c r="AT26" s="127">
        <f t="shared" si="4"/>
        <v>0</v>
      </c>
      <c r="AU26" s="127"/>
      <c r="AV26" s="140">
        <v>0</v>
      </c>
      <c r="AW26" s="140"/>
      <c r="AX26" s="140">
        <v>0</v>
      </c>
      <c r="AY26" s="140"/>
      <c r="AZ26" s="140">
        <f t="shared" si="5"/>
        <v>0</v>
      </c>
      <c r="BA26" s="124"/>
      <c r="BB26" s="126" t="s">
        <v>32</v>
      </c>
      <c r="BD26" s="126" t="s">
        <v>27</v>
      </c>
      <c r="BE26" s="140"/>
      <c r="BF26" s="140"/>
      <c r="BG26" s="140"/>
      <c r="BH26" s="140"/>
      <c r="BI26" s="140"/>
      <c r="BJ26" s="140"/>
      <c r="BK26" s="140"/>
      <c r="BL26" s="140"/>
      <c r="BM26" s="140"/>
      <c r="BN26" s="140">
        <f t="shared" si="6"/>
        <v>0</v>
      </c>
      <c r="BO26" s="142"/>
      <c r="BS26" s="143"/>
      <c r="BT26" s="143"/>
      <c r="BU26" s="144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</row>
    <row r="27" spans="1:95" s="35" customFormat="1" ht="12.75" customHeight="1">
      <c r="A27" s="35" t="s">
        <v>34</v>
      </c>
      <c r="B27" s="51"/>
      <c r="C27" s="35" t="s">
        <v>30</v>
      </c>
      <c r="D27" s="44"/>
      <c r="E27" s="53">
        <f>I27-G27</f>
        <v>1484401</v>
      </c>
      <c r="F27" s="53"/>
      <c r="G27" s="53">
        <v>10892750</v>
      </c>
      <c r="H27" s="53"/>
      <c r="I27" s="53">
        <v>12377151</v>
      </c>
      <c r="J27" s="53"/>
      <c r="K27" s="53">
        <f t="shared" si="1"/>
        <v>178530</v>
      </c>
      <c r="L27" s="53"/>
      <c r="M27" s="53">
        <v>989125</v>
      </c>
      <c r="N27" s="53"/>
      <c r="O27" s="53">
        <v>1167655</v>
      </c>
      <c r="P27" s="53"/>
      <c r="Q27" s="53">
        <v>9855250</v>
      </c>
      <c r="R27" s="53"/>
      <c r="S27" s="53">
        <v>0</v>
      </c>
      <c r="T27" s="53"/>
      <c r="U27" s="53">
        <v>1354246</v>
      </c>
      <c r="V27" s="53"/>
      <c r="W27" s="53">
        <f t="shared" ref="W27:W55" si="7">SUM(Q27:U27)</f>
        <v>11209496</v>
      </c>
      <c r="X27" s="51"/>
      <c r="Y27" s="51"/>
      <c r="Z27" s="35" t="s">
        <v>34</v>
      </c>
      <c r="AA27" s="53"/>
      <c r="AB27" s="35" t="s">
        <v>30</v>
      </c>
      <c r="AD27" s="53">
        <v>1561584</v>
      </c>
      <c r="AE27" s="53"/>
      <c r="AF27" s="53">
        <f>1385924-257345</f>
        <v>1128579</v>
      </c>
      <c r="AG27" s="53"/>
      <c r="AH27" s="53">
        <v>257345</v>
      </c>
      <c r="AI27" s="53"/>
      <c r="AJ27" s="45">
        <f t="shared" si="3"/>
        <v>175660</v>
      </c>
      <c r="AK27" s="45"/>
      <c r="AL27" s="53">
        <v>393763</v>
      </c>
      <c r="AM27" s="45"/>
      <c r="AN27" s="53">
        <v>0</v>
      </c>
      <c r="AO27" s="53"/>
      <c r="AP27" s="53">
        <v>0</v>
      </c>
      <c r="AQ27" s="53"/>
      <c r="AR27" s="53">
        <v>63440</v>
      </c>
      <c r="AS27" s="53"/>
      <c r="AT27" s="45">
        <f t="shared" si="4"/>
        <v>632863</v>
      </c>
      <c r="AU27" s="45"/>
      <c r="AV27" s="53">
        <v>0</v>
      </c>
      <c r="AW27" s="53"/>
      <c r="AX27" s="53">
        <v>0</v>
      </c>
      <c r="AY27" s="53"/>
      <c r="AZ27" s="53">
        <f t="shared" si="5"/>
        <v>1305871</v>
      </c>
      <c r="BA27" s="51"/>
      <c r="BB27" s="35" t="s">
        <v>34</v>
      </c>
      <c r="BD27" s="35" t="s">
        <v>30</v>
      </c>
      <c r="BE27" s="53"/>
      <c r="BF27" s="53">
        <v>0</v>
      </c>
      <c r="BG27" s="53"/>
      <c r="BH27" s="53">
        <v>0</v>
      </c>
      <c r="BI27" s="53"/>
      <c r="BJ27" s="53">
        <v>0</v>
      </c>
      <c r="BK27" s="53"/>
      <c r="BL27" s="53">
        <v>0</v>
      </c>
      <c r="BM27" s="53"/>
      <c r="BN27" s="53">
        <f t="shared" si="6"/>
        <v>0</v>
      </c>
      <c r="BO27" s="54"/>
      <c r="BS27" s="55"/>
      <c r="BT27" s="55"/>
      <c r="BU27" s="84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</row>
    <row r="28" spans="1:95" s="35" customFormat="1" ht="12.75" customHeight="1">
      <c r="A28" s="35" t="s">
        <v>35</v>
      </c>
      <c r="B28" s="51"/>
      <c r="C28" s="35" t="s">
        <v>36</v>
      </c>
      <c r="D28" s="44"/>
      <c r="E28" s="53">
        <f>I28-G28</f>
        <v>1210113</v>
      </c>
      <c r="F28" s="53"/>
      <c r="G28" s="53">
        <f>8740862+729677</f>
        <v>9470539</v>
      </c>
      <c r="H28" s="53"/>
      <c r="I28" s="53">
        <v>10680652</v>
      </c>
      <c r="J28" s="53"/>
      <c r="K28" s="53">
        <f t="shared" si="1"/>
        <v>378067</v>
      </c>
      <c r="L28" s="53"/>
      <c r="M28" s="53">
        <f>11037+1395000+28636</f>
        <v>1434673</v>
      </c>
      <c r="N28" s="53"/>
      <c r="O28" s="53">
        <v>1812740</v>
      </c>
      <c r="P28" s="53"/>
      <c r="Q28" s="53">
        <v>7868790</v>
      </c>
      <c r="R28" s="53"/>
      <c r="S28" s="53">
        <v>303316</v>
      </c>
      <c r="T28" s="53"/>
      <c r="U28" s="53">
        <v>695806</v>
      </c>
      <c r="V28" s="53"/>
      <c r="W28" s="53">
        <f t="shared" si="7"/>
        <v>8867912</v>
      </c>
      <c r="X28" s="51"/>
      <c r="Y28" s="51"/>
      <c r="Z28" s="35" t="s">
        <v>35</v>
      </c>
      <c r="AA28" s="53"/>
      <c r="AB28" s="35" t="s">
        <v>36</v>
      </c>
      <c r="AC28" s="51"/>
      <c r="AD28" s="53">
        <v>1754957</v>
      </c>
      <c r="AE28" s="53"/>
      <c r="AF28" s="53">
        <f>1675569-254256</f>
        <v>1421313</v>
      </c>
      <c r="AG28" s="53"/>
      <c r="AH28" s="53">
        <v>254256</v>
      </c>
      <c r="AI28" s="53"/>
      <c r="AJ28" s="45">
        <f t="shared" si="3"/>
        <v>79388</v>
      </c>
      <c r="AK28" s="45"/>
      <c r="AL28" s="53">
        <v>-81956</v>
      </c>
      <c r="AM28" s="45"/>
      <c r="AN28" s="53">
        <v>0</v>
      </c>
      <c r="AO28" s="53"/>
      <c r="AP28" s="53">
        <v>0</v>
      </c>
      <c r="AQ28" s="53"/>
      <c r="AR28" s="53">
        <v>0</v>
      </c>
      <c r="AS28" s="53"/>
      <c r="AT28" s="45">
        <f t="shared" si="4"/>
        <v>-2568</v>
      </c>
      <c r="AU28" s="45"/>
      <c r="AV28" s="53">
        <v>0</v>
      </c>
      <c r="AW28" s="53"/>
      <c r="AX28" s="53">
        <v>0</v>
      </c>
      <c r="AY28" s="53"/>
      <c r="AZ28" s="53">
        <f t="shared" si="5"/>
        <v>832046</v>
      </c>
      <c r="BA28" s="51"/>
      <c r="BB28" s="35" t="s">
        <v>35</v>
      </c>
      <c r="BD28" s="35" t="s">
        <v>36</v>
      </c>
      <c r="BE28" s="53"/>
      <c r="BF28" s="53">
        <f>675000+1665000+60000+11749+163800</f>
        <v>2575549</v>
      </c>
      <c r="BG28" s="53"/>
      <c r="BH28" s="53">
        <v>0</v>
      </c>
      <c r="BI28" s="53"/>
      <c r="BJ28" s="53">
        <v>0</v>
      </c>
      <c r="BK28" s="53"/>
      <c r="BL28" s="53">
        <f>230663/2</f>
        <v>115331.5</v>
      </c>
      <c r="BM28" s="53"/>
      <c r="BN28" s="53">
        <f t="shared" si="6"/>
        <v>2690880.5</v>
      </c>
      <c r="BO28" s="54"/>
      <c r="BS28" s="55"/>
      <c r="BT28" s="55"/>
      <c r="BU28" s="84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</row>
    <row r="29" spans="1:95" s="35" customFormat="1" ht="12.75" customHeight="1">
      <c r="A29" s="35" t="s">
        <v>37</v>
      </c>
      <c r="B29" s="51"/>
      <c r="C29" s="35" t="s">
        <v>38</v>
      </c>
      <c r="D29" s="44"/>
      <c r="E29" s="53">
        <f>I29-G29</f>
        <v>1239207</v>
      </c>
      <c r="F29" s="53"/>
      <c r="G29" s="53">
        <f>3474890+9512775</f>
        <v>12987665</v>
      </c>
      <c r="H29" s="53"/>
      <c r="I29" s="53">
        <v>14226872</v>
      </c>
      <c r="J29" s="53"/>
      <c r="K29" s="53">
        <f t="shared" si="1"/>
        <v>239423</v>
      </c>
      <c r="L29" s="53"/>
      <c r="M29" s="53">
        <v>88864</v>
      </c>
      <c r="N29" s="53"/>
      <c r="O29" s="53">
        <v>328287</v>
      </c>
      <c r="P29" s="53"/>
      <c r="Q29" s="53">
        <v>12987665</v>
      </c>
      <c r="R29" s="53"/>
      <c r="S29" s="53">
        <v>0</v>
      </c>
      <c r="T29" s="53"/>
      <c r="U29" s="53">
        <v>910920</v>
      </c>
      <c r="V29" s="53"/>
      <c r="W29" s="53">
        <f t="shared" si="7"/>
        <v>13898585</v>
      </c>
      <c r="X29" s="51"/>
      <c r="Y29" s="51"/>
      <c r="Z29" s="35" t="s">
        <v>37</v>
      </c>
      <c r="AA29" s="53"/>
      <c r="AB29" s="35" t="s">
        <v>38</v>
      </c>
      <c r="AC29" s="51"/>
      <c r="AD29" s="53">
        <f>2275665+7290</f>
        <v>2282955</v>
      </c>
      <c r="AE29" s="53"/>
      <c r="AF29" s="53">
        <f>2110916-361091</f>
        <v>1749825</v>
      </c>
      <c r="AG29" s="53"/>
      <c r="AH29" s="53">
        <v>361091</v>
      </c>
      <c r="AI29" s="53"/>
      <c r="AJ29" s="45">
        <f t="shared" si="3"/>
        <v>172039</v>
      </c>
      <c r="AK29" s="45"/>
      <c r="AL29" s="53">
        <v>38851</v>
      </c>
      <c r="AM29" s="45"/>
      <c r="AN29" s="53">
        <v>0</v>
      </c>
      <c r="AO29" s="53"/>
      <c r="AP29" s="53">
        <v>0</v>
      </c>
      <c r="AQ29" s="53"/>
      <c r="AR29" s="53">
        <v>0</v>
      </c>
      <c r="AS29" s="53"/>
      <c r="AT29" s="45">
        <f t="shared" si="4"/>
        <v>210890</v>
      </c>
      <c r="AU29" s="45"/>
      <c r="AV29" s="53">
        <v>0</v>
      </c>
      <c r="AW29" s="53"/>
      <c r="AX29" s="53">
        <v>0</v>
      </c>
      <c r="AY29" s="53"/>
      <c r="AZ29" s="53">
        <f t="shared" si="5"/>
        <v>999784</v>
      </c>
      <c r="BA29" s="51"/>
      <c r="BB29" s="35" t="s">
        <v>37</v>
      </c>
      <c r="BD29" s="35" t="s">
        <v>38</v>
      </c>
      <c r="BE29" s="53"/>
      <c r="BF29" s="53">
        <v>0</v>
      </c>
      <c r="BG29" s="53"/>
      <c r="BH29" s="53">
        <v>0</v>
      </c>
      <c r="BI29" s="53"/>
      <c r="BJ29" s="53">
        <f>1583917+7163720</f>
        <v>8747637</v>
      </c>
      <c r="BK29" s="53"/>
      <c r="BL29" s="53">
        <v>207783</v>
      </c>
      <c r="BM29" s="53"/>
      <c r="BN29" s="53">
        <f t="shared" si="6"/>
        <v>8955420</v>
      </c>
      <c r="BO29" s="54"/>
      <c r="BS29" s="55"/>
      <c r="BT29" s="55"/>
      <c r="BU29" s="84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</row>
    <row r="30" spans="1:95" s="35" customFormat="1" ht="12.75" customHeight="1">
      <c r="A30" s="35" t="s">
        <v>39</v>
      </c>
      <c r="B30" s="51"/>
      <c r="C30" s="35" t="s">
        <v>40</v>
      </c>
      <c r="D30" s="44"/>
      <c r="E30" s="53">
        <f>I30-G30</f>
        <v>366154</v>
      </c>
      <c r="F30" s="53"/>
      <c r="G30" s="53">
        <v>6857926</v>
      </c>
      <c r="H30" s="53"/>
      <c r="I30" s="53">
        <v>7224080</v>
      </c>
      <c r="J30" s="53"/>
      <c r="K30" s="53">
        <f t="shared" si="1"/>
        <v>350388</v>
      </c>
      <c r="L30" s="53"/>
      <c r="M30" s="53">
        <v>3223369</v>
      </c>
      <c r="N30" s="53"/>
      <c r="O30" s="53">
        <v>3573757</v>
      </c>
      <c r="P30" s="53"/>
      <c r="Q30" s="53">
        <v>3480732</v>
      </c>
      <c r="R30" s="53"/>
      <c r="S30" s="53">
        <v>0</v>
      </c>
      <c r="T30" s="53"/>
      <c r="U30" s="53">
        <v>169591</v>
      </c>
      <c r="V30" s="53"/>
      <c r="W30" s="53">
        <f t="shared" si="7"/>
        <v>3650323</v>
      </c>
      <c r="X30" s="51"/>
      <c r="Y30" s="51"/>
      <c r="Z30" s="35" t="s">
        <v>39</v>
      </c>
      <c r="AA30" s="53"/>
      <c r="AB30" s="35" t="s">
        <v>40</v>
      </c>
      <c r="AC30" s="51"/>
      <c r="AD30" s="53">
        <v>791602</v>
      </c>
      <c r="AE30" s="53"/>
      <c r="AF30" s="53">
        <f>650970-139845</f>
        <v>511125</v>
      </c>
      <c r="AG30" s="53"/>
      <c r="AH30" s="53">
        <v>139845</v>
      </c>
      <c r="AI30" s="53"/>
      <c r="AJ30" s="45">
        <f t="shared" si="3"/>
        <v>140632</v>
      </c>
      <c r="AK30" s="45"/>
      <c r="AL30" s="53">
        <v>-143363</v>
      </c>
      <c r="AM30" s="45"/>
      <c r="AN30" s="53">
        <v>0</v>
      </c>
      <c r="AO30" s="53"/>
      <c r="AP30" s="53">
        <v>0</v>
      </c>
      <c r="AQ30" s="53"/>
      <c r="AR30" s="53">
        <v>14950</v>
      </c>
      <c r="AS30" s="53"/>
      <c r="AT30" s="45">
        <f t="shared" si="4"/>
        <v>12219</v>
      </c>
      <c r="AU30" s="45"/>
      <c r="AV30" s="53">
        <v>0</v>
      </c>
      <c r="AW30" s="53"/>
      <c r="AX30" s="53">
        <v>0</v>
      </c>
      <c r="AY30" s="53"/>
      <c r="AZ30" s="53">
        <f t="shared" si="5"/>
        <v>15766</v>
      </c>
      <c r="BA30" s="51"/>
      <c r="BB30" s="35" t="s">
        <v>39</v>
      </c>
      <c r="BD30" s="35" t="s">
        <v>40</v>
      </c>
      <c r="BE30" s="53"/>
      <c r="BF30" s="53">
        <v>0</v>
      </c>
      <c r="BG30" s="53"/>
      <c r="BH30" s="53">
        <v>0</v>
      </c>
      <c r="BI30" s="53"/>
      <c r="BJ30" s="53">
        <v>671177</v>
      </c>
      <c r="BK30" s="53"/>
      <c r="BL30" s="53">
        <f>6463382+13382</f>
        <v>6476764</v>
      </c>
      <c r="BM30" s="53"/>
      <c r="BN30" s="53">
        <f t="shared" si="6"/>
        <v>7147941</v>
      </c>
      <c r="BO30" s="54"/>
      <c r="BS30" s="55"/>
      <c r="BT30" s="55"/>
      <c r="BU30" s="84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</row>
    <row r="31" spans="1:95" s="35" customFormat="1" ht="12.75" customHeight="1">
      <c r="A31" s="35" t="s">
        <v>41</v>
      </c>
      <c r="B31" s="51"/>
      <c r="C31" s="35" t="s">
        <v>27</v>
      </c>
      <c r="D31" s="44"/>
      <c r="E31" s="53">
        <v>546611</v>
      </c>
      <c r="F31" s="53"/>
      <c r="G31" s="53">
        <v>19666148</v>
      </c>
      <c r="H31" s="53"/>
      <c r="I31" s="53">
        <v>22205861</v>
      </c>
      <c r="J31" s="53"/>
      <c r="K31" s="53">
        <f t="shared" si="1"/>
        <v>1218255</v>
      </c>
      <c r="L31" s="53"/>
      <c r="M31" s="53">
        <v>5557456</v>
      </c>
      <c r="N31" s="53"/>
      <c r="O31" s="53">
        <v>6775711</v>
      </c>
      <c r="P31" s="53"/>
      <c r="Q31" s="53">
        <v>13815104</v>
      </c>
      <c r="R31" s="53"/>
      <c r="S31" s="53">
        <v>0</v>
      </c>
      <c r="T31" s="53"/>
      <c r="U31" s="53">
        <v>1615046</v>
      </c>
      <c r="V31" s="53"/>
      <c r="W31" s="53">
        <f t="shared" si="7"/>
        <v>15430150</v>
      </c>
      <c r="X31" s="51"/>
      <c r="Y31" s="51"/>
      <c r="Z31" s="35" t="s">
        <v>41</v>
      </c>
      <c r="AA31" s="53"/>
      <c r="AB31" s="35" t="s">
        <v>27</v>
      </c>
      <c r="AC31" s="51"/>
      <c r="AD31" s="53">
        <v>2657840</v>
      </c>
      <c r="AE31" s="53"/>
      <c r="AF31" s="53">
        <f>3431552-606259</f>
        <v>2825293</v>
      </c>
      <c r="AG31" s="53"/>
      <c r="AH31" s="53">
        <v>606259</v>
      </c>
      <c r="AI31" s="53"/>
      <c r="AJ31" s="45">
        <f t="shared" si="3"/>
        <v>-773712</v>
      </c>
      <c r="AK31" s="45"/>
      <c r="AL31" s="53">
        <v>623956</v>
      </c>
      <c r="AM31" s="45"/>
      <c r="AN31" s="53">
        <v>0</v>
      </c>
      <c r="AO31" s="53"/>
      <c r="AP31" s="53">
        <v>0</v>
      </c>
      <c r="AQ31" s="53"/>
      <c r="AR31" s="53">
        <v>809111</v>
      </c>
      <c r="AS31" s="53"/>
      <c r="AT31" s="45">
        <f t="shared" si="4"/>
        <v>659355</v>
      </c>
      <c r="AU31" s="45"/>
      <c r="AV31" s="53">
        <v>0</v>
      </c>
      <c r="AW31" s="53"/>
      <c r="AX31" s="53">
        <v>0</v>
      </c>
      <c r="AY31" s="53"/>
      <c r="AZ31" s="53">
        <f t="shared" si="5"/>
        <v>-671644</v>
      </c>
      <c r="BA31" s="51"/>
      <c r="BB31" s="35" t="s">
        <v>41</v>
      </c>
      <c r="BD31" s="35" t="s">
        <v>27</v>
      </c>
      <c r="BE31" s="53"/>
      <c r="BF31" s="53">
        <v>0</v>
      </c>
      <c r="BG31" s="53"/>
      <c r="BH31" s="53">
        <v>0</v>
      </c>
      <c r="BI31" s="53"/>
      <c r="BJ31" s="53">
        <f>22123+39791+710951+164974+31066+19485+70414+16900</f>
        <v>1075704</v>
      </c>
      <c r="BK31" s="53"/>
      <c r="BL31" s="53">
        <f>89217+22514+75474+1624</f>
        <v>188829</v>
      </c>
      <c r="BM31" s="53"/>
      <c r="BN31" s="53">
        <f t="shared" si="6"/>
        <v>1264533</v>
      </c>
      <c r="BO31" s="54"/>
      <c r="BS31" s="55"/>
      <c r="BT31" s="55"/>
      <c r="BU31" s="84"/>
      <c r="BV31" s="55"/>
      <c r="BW31" s="55"/>
      <c r="BX31" s="55"/>
      <c r="BY31" s="55"/>
      <c r="BZ31" s="55"/>
      <c r="CA31" s="55"/>
      <c r="CB31" s="55"/>
      <c r="CC31" s="55"/>
      <c r="CD31" s="55"/>
      <c r="CE31" s="55"/>
      <c r="CF31" s="55"/>
      <c r="CG31" s="55"/>
      <c r="CH31" s="55"/>
      <c r="CI31" s="55"/>
      <c r="CJ31" s="55"/>
      <c r="CK31" s="55"/>
      <c r="CL31" s="55"/>
      <c r="CM31" s="55"/>
      <c r="CN31" s="55"/>
      <c r="CO31" s="55"/>
      <c r="CP31" s="55"/>
      <c r="CQ31" s="55"/>
    </row>
    <row r="32" spans="1:95" s="35" customFormat="1" ht="12.75" customHeight="1">
      <c r="A32" s="35" t="s">
        <v>42</v>
      </c>
      <c r="B32" s="51"/>
      <c r="C32" s="35" t="s">
        <v>43</v>
      </c>
      <c r="D32" s="44"/>
      <c r="E32" s="53">
        <f t="shared" ref="E32:E55" si="8">I32-G32</f>
        <v>1170446</v>
      </c>
      <c r="F32" s="53"/>
      <c r="G32" s="53">
        <f>6850+2253746</f>
        <v>2260596</v>
      </c>
      <c r="H32" s="53"/>
      <c r="I32" s="53">
        <v>3431042</v>
      </c>
      <c r="J32" s="53"/>
      <c r="K32" s="53">
        <f t="shared" si="1"/>
        <v>-1771365</v>
      </c>
      <c r="L32" s="53"/>
      <c r="M32" s="53">
        <v>2260596</v>
      </c>
      <c r="N32" s="53"/>
      <c r="O32" s="53">
        <v>489231</v>
      </c>
      <c r="P32" s="53"/>
      <c r="Q32" s="53">
        <v>2172696</v>
      </c>
      <c r="R32" s="53"/>
      <c r="S32" s="53">
        <v>0</v>
      </c>
      <c r="T32" s="53"/>
      <c r="U32" s="53">
        <v>55551</v>
      </c>
      <c r="V32" s="53"/>
      <c r="W32" s="53">
        <f t="shared" si="7"/>
        <v>2228247</v>
      </c>
      <c r="X32" s="51"/>
      <c r="Y32" s="51"/>
      <c r="Z32" s="35" t="s">
        <v>42</v>
      </c>
      <c r="AA32" s="53"/>
      <c r="AB32" s="35" t="s">
        <v>43</v>
      </c>
      <c r="AC32" s="51"/>
      <c r="AD32" s="53">
        <v>1960595</v>
      </c>
      <c r="AE32" s="53"/>
      <c r="AF32" s="53">
        <f>1455974-82848</f>
        <v>1373126</v>
      </c>
      <c r="AG32" s="53"/>
      <c r="AH32" s="53">
        <v>82848</v>
      </c>
      <c r="AI32" s="53"/>
      <c r="AJ32" s="45">
        <f t="shared" si="3"/>
        <v>504621</v>
      </c>
      <c r="AK32" s="45"/>
      <c r="AL32" s="53">
        <v>-35622</v>
      </c>
      <c r="AM32" s="45"/>
      <c r="AN32" s="53">
        <v>0</v>
      </c>
      <c r="AO32" s="53"/>
      <c r="AP32" s="53">
        <v>0</v>
      </c>
      <c r="AQ32" s="53"/>
      <c r="AR32" s="53">
        <v>0</v>
      </c>
      <c r="AS32" s="53"/>
      <c r="AT32" s="45">
        <f t="shared" si="4"/>
        <v>468999</v>
      </c>
      <c r="AU32" s="45"/>
      <c r="AV32" s="53">
        <v>0</v>
      </c>
      <c r="AW32" s="53"/>
      <c r="AX32" s="53">
        <v>0</v>
      </c>
      <c r="AY32" s="53"/>
      <c r="AZ32" s="53">
        <f t="shared" si="5"/>
        <v>2941811</v>
      </c>
      <c r="BA32" s="51"/>
      <c r="BB32" s="35" t="s">
        <v>42</v>
      </c>
      <c r="BD32" s="35" t="s">
        <v>43</v>
      </c>
      <c r="BE32" s="53"/>
      <c r="BF32" s="53">
        <f>660000+966900</f>
        <v>1626900</v>
      </c>
      <c r="BG32" s="53"/>
      <c r="BH32" s="53">
        <v>0</v>
      </c>
      <c r="BI32" s="53"/>
      <c r="BJ32" s="53">
        <v>403325</v>
      </c>
      <c r="BK32" s="53"/>
      <c r="BL32" s="53">
        <v>32110</v>
      </c>
      <c r="BM32" s="53"/>
      <c r="BN32" s="53">
        <f t="shared" si="6"/>
        <v>2062335</v>
      </c>
      <c r="BO32" s="54"/>
      <c r="BS32" s="55"/>
      <c r="BT32" s="55"/>
      <c r="BU32" s="84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</row>
    <row r="33" spans="1:95" s="126" customFormat="1" ht="12.75" hidden="1" customHeight="1">
      <c r="A33" s="126" t="s">
        <v>44</v>
      </c>
      <c r="B33" s="124"/>
      <c r="C33" s="126" t="s">
        <v>45</v>
      </c>
      <c r="D33" s="121"/>
      <c r="E33" s="140">
        <f t="shared" si="8"/>
        <v>0</v>
      </c>
      <c r="F33" s="140"/>
      <c r="G33" s="140"/>
      <c r="H33" s="140"/>
      <c r="I33" s="140"/>
      <c r="J33" s="140"/>
      <c r="K33" s="140">
        <f t="shared" si="1"/>
        <v>0</v>
      </c>
      <c r="L33" s="140"/>
      <c r="M33" s="140"/>
      <c r="N33" s="140"/>
      <c r="O33" s="140"/>
      <c r="P33" s="140"/>
      <c r="Q33" s="140"/>
      <c r="R33" s="140"/>
      <c r="S33" s="140">
        <v>0</v>
      </c>
      <c r="T33" s="140"/>
      <c r="U33" s="140"/>
      <c r="V33" s="140"/>
      <c r="W33" s="140">
        <f t="shared" si="7"/>
        <v>0</v>
      </c>
      <c r="X33" s="124"/>
      <c r="Y33" s="124"/>
      <c r="Z33" s="126" t="s">
        <v>44</v>
      </c>
      <c r="AA33" s="140"/>
      <c r="AB33" s="126" t="s">
        <v>45</v>
      </c>
      <c r="AC33" s="124"/>
      <c r="AD33" s="140"/>
      <c r="AE33" s="140"/>
      <c r="AF33" s="140"/>
      <c r="AG33" s="140"/>
      <c r="AH33" s="140"/>
      <c r="AI33" s="140"/>
      <c r="AJ33" s="127">
        <f t="shared" si="3"/>
        <v>0</v>
      </c>
      <c r="AK33" s="127"/>
      <c r="AL33" s="140"/>
      <c r="AM33" s="127"/>
      <c r="AN33" s="140"/>
      <c r="AO33" s="140"/>
      <c r="AP33" s="140"/>
      <c r="AQ33" s="140"/>
      <c r="AR33" s="140"/>
      <c r="AS33" s="140"/>
      <c r="AT33" s="127">
        <f t="shared" si="4"/>
        <v>0</v>
      </c>
      <c r="AU33" s="127"/>
      <c r="AV33" s="140">
        <v>0</v>
      </c>
      <c r="AW33" s="140"/>
      <c r="AX33" s="140">
        <v>0</v>
      </c>
      <c r="AY33" s="140"/>
      <c r="AZ33" s="140">
        <f t="shared" si="5"/>
        <v>0</v>
      </c>
      <c r="BA33" s="124"/>
      <c r="BB33" s="126" t="s">
        <v>44</v>
      </c>
      <c r="BD33" s="126" t="s">
        <v>45</v>
      </c>
      <c r="BE33" s="140"/>
      <c r="BF33" s="140"/>
      <c r="BG33" s="140"/>
      <c r="BH33" s="140"/>
      <c r="BI33" s="140"/>
      <c r="BJ33" s="140"/>
      <c r="BK33" s="140"/>
      <c r="BL33" s="140"/>
      <c r="BM33" s="140"/>
      <c r="BN33" s="140">
        <f t="shared" si="6"/>
        <v>0</v>
      </c>
      <c r="BO33" s="142"/>
      <c r="BS33" s="143"/>
      <c r="BT33" s="143"/>
      <c r="BU33" s="144"/>
      <c r="BV33" s="143"/>
      <c r="BW33" s="143"/>
      <c r="BX33" s="143"/>
      <c r="BY33" s="143"/>
      <c r="BZ33" s="143"/>
      <c r="CA33" s="143"/>
      <c r="CB33" s="143"/>
      <c r="CC33" s="143"/>
      <c r="CD33" s="143"/>
      <c r="CE33" s="143"/>
      <c r="CF33" s="143"/>
      <c r="CG33" s="143"/>
      <c r="CH33" s="143"/>
      <c r="CI33" s="143"/>
      <c r="CJ33" s="143"/>
      <c r="CK33" s="143"/>
      <c r="CL33" s="143"/>
      <c r="CM33" s="143"/>
      <c r="CN33" s="143"/>
      <c r="CO33" s="143"/>
      <c r="CP33" s="143"/>
      <c r="CQ33" s="143"/>
    </row>
    <row r="34" spans="1:95" s="35" customFormat="1" ht="12.75" hidden="1" customHeight="1">
      <c r="A34" s="35" t="s">
        <v>46</v>
      </c>
      <c r="B34" s="51"/>
      <c r="C34" s="35" t="s">
        <v>47</v>
      </c>
      <c r="D34" s="44"/>
      <c r="E34" s="53">
        <f t="shared" si="8"/>
        <v>0</v>
      </c>
      <c r="F34" s="53"/>
      <c r="G34" s="53"/>
      <c r="H34" s="53"/>
      <c r="I34" s="53"/>
      <c r="J34" s="53"/>
      <c r="K34" s="53">
        <f t="shared" si="1"/>
        <v>0</v>
      </c>
      <c r="L34" s="53"/>
      <c r="M34" s="53"/>
      <c r="N34" s="53"/>
      <c r="O34" s="53"/>
      <c r="P34" s="53"/>
      <c r="Q34" s="53"/>
      <c r="R34" s="53"/>
      <c r="S34" s="53">
        <v>0</v>
      </c>
      <c r="T34" s="53"/>
      <c r="U34" s="53"/>
      <c r="V34" s="53"/>
      <c r="W34" s="53">
        <f t="shared" si="7"/>
        <v>0</v>
      </c>
      <c r="X34" s="51"/>
      <c r="Y34" s="51"/>
      <c r="Z34" s="35" t="s">
        <v>46</v>
      </c>
      <c r="AA34" s="53"/>
      <c r="AB34" s="35" t="s">
        <v>47</v>
      </c>
      <c r="AC34" s="51"/>
      <c r="AD34" s="53"/>
      <c r="AE34" s="53"/>
      <c r="AF34" s="53"/>
      <c r="AG34" s="53"/>
      <c r="AH34" s="53"/>
      <c r="AI34" s="53"/>
      <c r="AJ34" s="45">
        <f t="shared" si="3"/>
        <v>0</v>
      </c>
      <c r="AK34" s="45"/>
      <c r="AL34" s="53"/>
      <c r="AM34" s="45"/>
      <c r="AN34" s="53"/>
      <c r="AO34" s="53"/>
      <c r="AP34" s="53"/>
      <c r="AQ34" s="53"/>
      <c r="AR34" s="53"/>
      <c r="AS34" s="53"/>
      <c r="AT34" s="45">
        <f t="shared" si="4"/>
        <v>0</v>
      </c>
      <c r="AU34" s="45"/>
      <c r="AV34" s="53">
        <v>0</v>
      </c>
      <c r="AW34" s="53"/>
      <c r="AX34" s="53">
        <v>0</v>
      </c>
      <c r="AY34" s="53"/>
      <c r="AZ34" s="53">
        <f t="shared" si="5"/>
        <v>0</v>
      </c>
      <c r="BA34" s="51"/>
      <c r="BB34" s="35" t="s">
        <v>46</v>
      </c>
      <c r="BD34" s="35" t="s">
        <v>47</v>
      </c>
      <c r="BE34" s="53"/>
      <c r="BF34" s="53"/>
      <c r="BG34" s="53"/>
      <c r="BH34" s="53"/>
      <c r="BI34" s="53"/>
      <c r="BJ34" s="53"/>
      <c r="BK34" s="53"/>
      <c r="BL34" s="53"/>
      <c r="BM34" s="53"/>
      <c r="BN34" s="53">
        <f t="shared" si="6"/>
        <v>0</v>
      </c>
      <c r="BO34" s="54"/>
      <c r="BS34" s="55"/>
      <c r="BT34" s="55"/>
      <c r="BU34" s="84"/>
      <c r="BV34" s="55"/>
      <c r="BW34" s="55"/>
      <c r="BX34" s="55"/>
      <c r="BY34" s="55"/>
      <c r="BZ34" s="55"/>
      <c r="CA34" s="55"/>
      <c r="CB34" s="55"/>
      <c r="CC34" s="55"/>
      <c r="CD34" s="55"/>
      <c r="CE34" s="55"/>
      <c r="CF34" s="55"/>
      <c r="CG34" s="55"/>
      <c r="CH34" s="55"/>
      <c r="CI34" s="55"/>
      <c r="CJ34" s="55"/>
      <c r="CK34" s="55"/>
      <c r="CL34" s="55"/>
      <c r="CM34" s="55"/>
      <c r="CN34" s="55"/>
      <c r="CO34" s="55"/>
      <c r="CP34" s="55"/>
      <c r="CQ34" s="55"/>
    </row>
    <row r="35" spans="1:95" s="126" customFormat="1" ht="12.75" hidden="1" customHeight="1">
      <c r="A35" s="126" t="s">
        <v>48</v>
      </c>
      <c r="B35" s="124"/>
      <c r="C35" s="126" t="s">
        <v>27</v>
      </c>
      <c r="D35" s="121"/>
      <c r="E35" s="140">
        <f t="shared" si="8"/>
        <v>0</v>
      </c>
      <c r="F35" s="140"/>
      <c r="G35" s="140"/>
      <c r="H35" s="140"/>
      <c r="I35" s="140"/>
      <c r="J35" s="140"/>
      <c r="K35" s="140">
        <f t="shared" si="1"/>
        <v>0</v>
      </c>
      <c r="L35" s="140"/>
      <c r="M35" s="140"/>
      <c r="N35" s="140"/>
      <c r="O35" s="140"/>
      <c r="P35" s="140"/>
      <c r="Q35" s="140"/>
      <c r="R35" s="140"/>
      <c r="S35" s="140">
        <v>0</v>
      </c>
      <c r="T35" s="140"/>
      <c r="U35" s="140"/>
      <c r="V35" s="140"/>
      <c r="W35" s="140">
        <f t="shared" si="7"/>
        <v>0</v>
      </c>
      <c r="X35" s="124"/>
      <c r="Y35" s="124"/>
      <c r="Z35" s="126" t="s">
        <v>48</v>
      </c>
      <c r="AA35" s="140"/>
      <c r="AB35" s="126" t="s">
        <v>27</v>
      </c>
      <c r="AC35" s="124"/>
      <c r="AD35" s="140"/>
      <c r="AE35" s="140"/>
      <c r="AF35" s="140"/>
      <c r="AG35" s="140"/>
      <c r="AH35" s="140"/>
      <c r="AI35" s="140"/>
      <c r="AJ35" s="127">
        <f t="shared" si="3"/>
        <v>0</v>
      </c>
      <c r="AK35" s="127"/>
      <c r="AL35" s="140"/>
      <c r="AM35" s="127"/>
      <c r="AN35" s="140"/>
      <c r="AO35" s="140"/>
      <c r="AP35" s="140"/>
      <c r="AQ35" s="140"/>
      <c r="AR35" s="140"/>
      <c r="AS35" s="140"/>
      <c r="AT35" s="127">
        <f t="shared" si="4"/>
        <v>0</v>
      </c>
      <c r="AU35" s="127"/>
      <c r="AV35" s="140">
        <v>0</v>
      </c>
      <c r="AW35" s="140"/>
      <c r="AX35" s="140">
        <v>0</v>
      </c>
      <c r="AY35" s="140"/>
      <c r="AZ35" s="140">
        <f t="shared" si="5"/>
        <v>0</v>
      </c>
      <c r="BA35" s="124"/>
      <c r="BB35" s="126" t="s">
        <v>48</v>
      </c>
      <c r="BD35" s="126" t="s">
        <v>27</v>
      </c>
      <c r="BE35" s="140"/>
      <c r="BF35" s="140"/>
      <c r="BG35" s="140"/>
      <c r="BH35" s="140"/>
      <c r="BI35" s="140"/>
      <c r="BJ35" s="140"/>
      <c r="BK35" s="140"/>
      <c r="BL35" s="140"/>
      <c r="BM35" s="140"/>
      <c r="BN35" s="140">
        <f t="shared" si="6"/>
        <v>0</v>
      </c>
      <c r="BO35" s="142"/>
      <c r="BS35" s="143"/>
      <c r="BT35" s="143"/>
      <c r="BU35" s="144"/>
      <c r="BV35" s="143"/>
      <c r="BW35" s="143"/>
      <c r="BX35" s="143"/>
      <c r="BY35" s="143"/>
      <c r="BZ35" s="143"/>
      <c r="CA35" s="143"/>
      <c r="CB35" s="143"/>
      <c r="CC35" s="143"/>
      <c r="CD35" s="143"/>
      <c r="CE35" s="143"/>
      <c r="CF35" s="143"/>
      <c r="CG35" s="143"/>
      <c r="CH35" s="143"/>
      <c r="CI35" s="143"/>
      <c r="CJ35" s="143"/>
      <c r="CK35" s="143"/>
      <c r="CL35" s="143"/>
      <c r="CM35" s="143"/>
      <c r="CN35" s="143"/>
      <c r="CO35" s="143"/>
      <c r="CP35" s="143"/>
      <c r="CQ35" s="143"/>
    </row>
    <row r="36" spans="1:95" s="126" customFormat="1" ht="12.75" hidden="1" customHeight="1">
      <c r="A36" s="126" t="s">
        <v>49</v>
      </c>
      <c r="B36" s="124"/>
      <c r="C36" s="126" t="s">
        <v>27</v>
      </c>
      <c r="D36" s="121"/>
      <c r="E36" s="140">
        <f t="shared" si="8"/>
        <v>0</v>
      </c>
      <c r="F36" s="140"/>
      <c r="G36" s="140"/>
      <c r="H36" s="140"/>
      <c r="I36" s="140"/>
      <c r="J36" s="140"/>
      <c r="K36" s="140">
        <f t="shared" si="1"/>
        <v>0</v>
      </c>
      <c r="L36" s="140"/>
      <c r="M36" s="140"/>
      <c r="N36" s="140"/>
      <c r="O36" s="140"/>
      <c r="P36" s="140"/>
      <c r="Q36" s="140"/>
      <c r="R36" s="140"/>
      <c r="S36" s="140">
        <v>0</v>
      </c>
      <c r="T36" s="140"/>
      <c r="U36" s="140"/>
      <c r="V36" s="140"/>
      <c r="W36" s="140">
        <f t="shared" si="7"/>
        <v>0</v>
      </c>
      <c r="X36" s="124"/>
      <c r="Y36" s="124"/>
      <c r="Z36" s="126" t="s">
        <v>49</v>
      </c>
      <c r="AA36" s="140"/>
      <c r="AB36" s="126" t="s">
        <v>27</v>
      </c>
      <c r="AC36" s="124"/>
      <c r="AD36" s="140"/>
      <c r="AE36" s="140"/>
      <c r="AF36" s="140"/>
      <c r="AG36" s="140"/>
      <c r="AH36" s="140"/>
      <c r="AI36" s="140"/>
      <c r="AJ36" s="127">
        <v>0</v>
      </c>
      <c r="AK36" s="127"/>
      <c r="AL36" s="140"/>
      <c r="AM36" s="127"/>
      <c r="AN36" s="140"/>
      <c r="AO36" s="140"/>
      <c r="AP36" s="140"/>
      <c r="AQ36" s="140"/>
      <c r="AR36" s="140"/>
      <c r="AS36" s="140"/>
      <c r="AT36" s="127">
        <f t="shared" si="4"/>
        <v>0</v>
      </c>
      <c r="AU36" s="127"/>
      <c r="AV36" s="140">
        <v>0</v>
      </c>
      <c r="AW36" s="140"/>
      <c r="AX36" s="140">
        <v>0</v>
      </c>
      <c r="AY36" s="140"/>
      <c r="AZ36" s="140">
        <f t="shared" si="5"/>
        <v>0</v>
      </c>
      <c r="BA36" s="124"/>
      <c r="BB36" s="126" t="s">
        <v>49</v>
      </c>
      <c r="BD36" s="126" t="s">
        <v>27</v>
      </c>
      <c r="BE36" s="140"/>
      <c r="BF36" s="140"/>
      <c r="BG36" s="140"/>
      <c r="BH36" s="140"/>
      <c r="BI36" s="140"/>
      <c r="BJ36" s="140"/>
      <c r="BK36" s="140"/>
      <c r="BL36" s="140"/>
      <c r="BM36" s="140"/>
      <c r="BN36" s="140">
        <f t="shared" si="6"/>
        <v>0</v>
      </c>
      <c r="BO36" s="142"/>
      <c r="BS36" s="143"/>
      <c r="BT36" s="143"/>
      <c r="BU36" s="144"/>
      <c r="BV36" s="143"/>
      <c r="BW36" s="143"/>
      <c r="BX36" s="143"/>
      <c r="BY36" s="143"/>
      <c r="BZ36" s="143"/>
      <c r="CA36" s="143"/>
      <c r="CB36" s="143"/>
      <c r="CC36" s="143"/>
      <c r="CD36" s="143"/>
      <c r="CE36" s="143"/>
      <c r="CF36" s="143"/>
      <c r="CG36" s="143"/>
      <c r="CH36" s="143"/>
      <c r="CI36" s="143"/>
      <c r="CJ36" s="143"/>
      <c r="CK36" s="143"/>
      <c r="CL36" s="143"/>
      <c r="CM36" s="143"/>
      <c r="CN36" s="143"/>
      <c r="CO36" s="143"/>
      <c r="CP36" s="143"/>
      <c r="CQ36" s="143"/>
    </row>
    <row r="37" spans="1:95" s="126" customFormat="1" ht="12.75" hidden="1" customHeight="1">
      <c r="A37" s="126" t="s">
        <v>50</v>
      </c>
      <c r="B37" s="124"/>
      <c r="C37" s="126" t="s">
        <v>27</v>
      </c>
      <c r="D37" s="121"/>
      <c r="E37" s="140">
        <f t="shared" si="8"/>
        <v>0</v>
      </c>
      <c r="F37" s="140"/>
      <c r="G37" s="140"/>
      <c r="H37" s="140"/>
      <c r="I37" s="140"/>
      <c r="J37" s="140"/>
      <c r="K37" s="140">
        <f t="shared" si="1"/>
        <v>0</v>
      </c>
      <c r="L37" s="140"/>
      <c r="M37" s="140"/>
      <c r="N37" s="140"/>
      <c r="O37" s="140"/>
      <c r="P37" s="140"/>
      <c r="Q37" s="140"/>
      <c r="R37" s="140"/>
      <c r="S37" s="140">
        <v>0</v>
      </c>
      <c r="T37" s="140"/>
      <c r="U37" s="140"/>
      <c r="V37" s="140"/>
      <c r="W37" s="140">
        <f t="shared" si="7"/>
        <v>0</v>
      </c>
      <c r="X37" s="124"/>
      <c r="Y37" s="124"/>
      <c r="Z37" s="126" t="s">
        <v>50</v>
      </c>
      <c r="AA37" s="140"/>
      <c r="AB37" s="126" t="s">
        <v>27</v>
      </c>
      <c r="AC37" s="124"/>
      <c r="AD37" s="140"/>
      <c r="AE37" s="140"/>
      <c r="AF37" s="140"/>
      <c r="AG37" s="140"/>
      <c r="AH37" s="140"/>
      <c r="AI37" s="140"/>
      <c r="AJ37" s="127">
        <f t="shared" ref="AJ37:AJ55" si="9">+AD37-AF37-AH37</f>
        <v>0</v>
      </c>
      <c r="AK37" s="127"/>
      <c r="AL37" s="140"/>
      <c r="AM37" s="127"/>
      <c r="AN37" s="140"/>
      <c r="AO37" s="140"/>
      <c r="AP37" s="140"/>
      <c r="AQ37" s="140"/>
      <c r="AR37" s="140"/>
      <c r="AS37" s="140"/>
      <c r="AT37" s="127">
        <f t="shared" si="4"/>
        <v>0</v>
      </c>
      <c r="AU37" s="127"/>
      <c r="AV37" s="140">
        <v>0</v>
      </c>
      <c r="AW37" s="140"/>
      <c r="AX37" s="140">
        <v>0</v>
      </c>
      <c r="AY37" s="140"/>
      <c r="AZ37" s="140">
        <f t="shared" si="5"/>
        <v>0</v>
      </c>
      <c r="BA37" s="124"/>
      <c r="BB37" s="126" t="s">
        <v>50</v>
      </c>
      <c r="BD37" s="126" t="s">
        <v>27</v>
      </c>
      <c r="BE37" s="140"/>
      <c r="BF37" s="140"/>
      <c r="BG37" s="140"/>
      <c r="BH37" s="140"/>
      <c r="BI37" s="140"/>
      <c r="BJ37" s="140"/>
      <c r="BK37" s="140"/>
      <c r="BL37" s="140"/>
      <c r="BM37" s="140"/>
      <c r="BN37" s="140">
        <f t="shared" si="6"/>
        <v>0</v>
      </c>
      <c r="BO37" s="142"/>
      <c r="BS37" s="143"/>
      <c r="BT37" s="143"/>
      <c r="BU37" s="144"/>
      <c r="BV37" s="143"/>
      <c r="BW37" s="143"/>
      <c r="BX37" s="143"/>
      <c r="BY37" s="143"/>
      <c r="BZ37" s="143"/>
      <c r="CA37" s="143"/>
      <c r="CB37" s="143"/>
      <c r="CC37" s="143"/>
      <c r="CD37" s="143"/>
      <c r="CE37" s="143"/>
      <c r="CF37" s="143"/>
      <c r="CG37" s="143"/>
      <c r="CH37" s="143"/>
      <c r="CI37" s="143"/>
      <c r="CJ37" s="143"/>
      <c r="CK37" s="143"/>
      <c r="CL37" s="143"/>
      <c r="CM37" s="143"/>
      <c r="CN37" s="143"/>
      <c r="CO37" s="143"/>
      <c r="CP37" s="143"/>
      <c r="CQ37" s="143"/>
    </row>
    <row r="38" spans="1:95" s="35" customFormat="1" ht="12.75" hidden="1" customHeight="1">
      <c r="A38" s="35" t="s">
        <v>462</v>
      </c>
      <c r="B38" s="51"/>
      <c r="C38" s="35" t="s">
        <v>66</v>
      </c>
      <c r="D38" s="44"/>
      <c r="E38" s="53">
        <f t="shared" si="8"/>
        <v>0</v>
      </c>
      <c r="F38" s="53"/>
      <c r="G38" s="53"/>
      <c r="H38" s="53"/>
      <c r="I38" s="53"/>
      <c r="J38" s="53"/>
      <c r="K38" s="53">
        <f t="shared" si="1"/>
        <v>0</v>
      </c>
      <c r="L38" s="53"/>
      <c r="M38" s="53"/>
      <c r="N38" s="53"/>
      <c r="O38" s="53"/>
      <c r="P38" s="53"/>
      <c r="Q38" s="53"/>
      <c r="R38" s="53"/>
      <c r="S38" s="53">
        <v>0</v>
      </c>
      <c r="T38" s="53"/>
      <c r="U38" s="53"/>
      <c r="V38" s="53"/>
      <c r="W38" s="53">
        <f t="shared" si="7"/>
        <v>0</v>
      </c>
      <c r="X38" s="51"/>
      <c r="Y38" s="51"/>
      <c r="Z38" s="35" t="s">
        <v>462</v>
      </c>
      <c r="AA38" s="53"/>
      <c r="AB38" s="35" t="s">
        <v>66</v>
      </c>
      <c r="AC38" s="51"/>
      <c r="AD38" s="53"/>
      <c r="AE38" s="53"/>
      <c r="AF38" s="53"/>
      <c r="AG38" s="53"/>
      <c r="AH38" s="53"/>
      <c r="AI38" s="53"/>
      <c r="AJ38" s="45">
        <f t="shared" si="9"/>
        <v>0</v>
      </c>
      <c r="AK38" s="45"/>
      <c r="AL38" s="53"/>
      <c r="AM38" s="45"/>
      <c r="AN38" s="53"/>
      <c r="AO38" s="53"/>
      <c r="AP38" s="53"/>
      <c r="AQ38" s="53"/>
      <c r="AR38" s="53"/>
      <c r="AS38" s="53"/>
      <c r="AT38" s="45">
        <f t="shared" si="4"/>
        <v>0</v>
      </c>
      <c r="AU38" s="45"/>
      <c r="AV38" s="53">
        <v>0</v>
      </c>
      <c r="AW38" s="53"/>
      <c r="AX38" s="53">
        <v>0</v>
      </c>
      <c r="AY38" s="53"/>
      <c r="AZ38" s="53">
        <f t="shared" si="5"/>
        <v>0</v>
      </c>
      <c r="BA38" s="51"/>
      <c r="BB38" s="35" t="s">
        <v>462</v>
      </c>
      <c r="BD38" s="35" t="s">
        <v>66</v>
      </c>
      <c r="BE38" s="53"/>
      <c r="BF38" s="53"/>
      <c r="BG38" s="53"/>
      <c r="BH38" s="53"/>
      <c r="BI38" s="53"/>
      <c r="BJ38" s="53"/>
      <c r="BK38" s="53"/>
      <c r="BL38" s="53"/>
      <c r="BM38" s="53"/>
      <c r="BN38" s="53">
        <f t="shared" si="6"/>
        <v>0</v>
      </c>
      <c r="BO38" s="54"/>
      <c r="BP38" s="55"/>
      <c r="BS38" s="55"/>
      <c r="BT38" s="55"/>
      <c r="BU38" s="84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</row>
    <row r="39" spans="1:95" s="126" customFormat="1" ht="12.75" hidden="1" customHeight="1">
      <c r="A39" s="126" t="s">
        <v>462</v>
      </c>
      <c r="B39" s="124"/>
      <c r="C39" s="126" t="s">
        <v>66</v>
      </c>
      <c r="D39" s="121"/>
      <c r="E39" s="140">
        <f t="shared" si="8"/>
        <v>0</v>
      </c>
      <c r="F39" s="140"/>
      <c r="G39" s="140"/>
      <c r="H39" s="140"/>
      <c r="I39" s="140"/>
      <c r="J39" s="140"/>
      <c r="K39" s="140">
        <f t="shared" si="1"/>
        <v>0</v>
      </c>
      <c r="L39" s="140"/>
      <c r="M39" s="140"/>
      <c r="N39" s="140"/>
      <c r="O39" s="140"/>
      <c r="P39" s="140"/>
      <c r="Q39" s="140"/>
      <c r="R39" s="140"/>
      <c r="S39" s="140">
        <v>0</v>
      </c>
      <c r="T39" s="140"/>
      <c r="U39" s="140"/>
      <c r="V39" s="140"/>
      <c r="W39" s="140">
        <f t="shared" si="7"/>
        <v>0</v>
      </c>
      <c r="X39" s="124"/>
      <c r="Y39" s="124"/>
      <c r="Z39" s="126" t="s">
        <v>462</v>
      </c>
      <c r="AA39" s="140"/>
      <c r="AB39" s="126" t="s">
        <v>66</v>
      </c>
      <c r="AC39" s="124"/>
      <c r="AD39" s="140"/>
      <c r="AE39" s="140"/>
      <c r="AF39" s="140"/>
      <c r="AG39" s="140"/>
      <c r="AH39" s="140"/>
      <c r="AI39" s="140"/>
      <c r="AJ39" s="127">
        <f t="shared" si="9"/>
        <v>0</v>
      </c>
      <c r="AK39" s="127"/>
      <c r="AL39" s="140"/>
      <c r="AM39" s="127"/>
      <c r="AN39" s="140"/>
      <c r="AO39" s="140"/>
      <c r="AP39" s="140"/>
      <c r="AQ39" s="140"/>
      <c r="AR39" s="140"/>
      <c r="AS39" s="140"/>
      <c r="AT39" s="127">
        <f t="shared" si="4"/>
        <v>0</v>
      </c>
      <c r="AU39" s="127"/>
      <c r="AV39" s="140">
        <v>0</v>
      </c>
      <c r="AW39" s="140"/>
      <c r="AX39" s="140">
        <v>0</v>
      </c>
      <c r="AY39" s="140"/>
      <c r="AZ39" s="140">
        <f t="shared" si="5"/>
        <v>0</v>
      </c>
      <c r="BA39" s="124"/>
      <c r="BB39" s="126" t="s">
        <v>462</v>
      </c>
      <c r="BD39" s="126" t="s">
        <v>66</v>
      </c>
      <c r="BE39" s="140"/>
      <c r="BF39" s="140"/>
      <c r="BG39" s="140"/>
      <c r="BH39" s="140"/>
      <c r="BI39" s="140"/>
      <c r="BJ39" s="140"/>
      <c r="BK39" s="140"/>
      <c r="BL39" s="140"/>
      <c r="BM39" s="140"/>
      <c r="BN39" s="140">
        <f t="shared" si="6"/>
        <v>0</v>
      </c>
      <c r="BO39" s="142"/>
      <c r="BP39" s="143"/>
      <c r="BS39" s="143"/>
      <c r="BT39" s="143"/>
      <c r="BU39" s="144"/>
      <c r="BV39" s="143"/>
      <c r="BW39" s="143"/>
      <c r="BX39" s="143"/>
      <c r="BY39" s="143"/>
      <c r="BZ39" s="143"/>
      <c r="CA39" s="143"/>
      <c r="CB39" s="143"/>
      <c r="CC39" s="143"/>
      <c r="CD39" s="143"/>
      <c r="CE39" s="143"/>
      <c r="CF39" s="143"/>
      <c r="CG39" s="143"/>
      <c r="CH39" s="143"/>
      <c r="CI39" s="143"/>
      <c r="CJ39" s="143"/>
      <c r="CK39" s="143"/>
      <c r="CL39" s="143"/>
      <c r="CM39" s="143"/>
      <c r="CN39" s="143"/>
      <c r="CO39" s="143"/>
      <c r="CP39" s="143"/>
      <c r="CQ39" s="143"/>
    </row>
    <row r="40" spans="1:95" s="126" customFormat="1" ht="12.75" hidden="1" customHeight="1">
      <c r="A40" s="126" t="s">
        <v>52</v>
      </c>
      <c r="B40" s="124"/>
      <c r="C40" s="126" t="s">
        <v>53</v>
      </c>
      <c r="D40" s="121"/>
      <c r="E40" s="140">
        <f t="shared" si="8"/>
        <v>0</v>
      </c>
      <c r="F40" s="140"/>
      <c r="G40" s="140"/>
      <c r="H40" s="140"/>
      <c r="I40" s="140"/>
      <c r="J40" s="140"/>
      <c r="K40" s="140">
        <f t="shared" si="1"/>
        <v>0</v>
      </c>
      <c r="L40" s="140"/>
      <c r="M40" s="140"/>
      <c r="N40" s="140"/>
      <c r="O40" s="140"/>
      <c r="P40" s="140"/>
      <c r="Q40" s="140"/>
      <c r="R40" s="140"/>
      <c r="S40" s="140">
        <v>0</v>
      </c>
      <c r="T40" s="140"/>
      <c r="U40" s="140"/>
      <c r="V40" s="140"/>
      <c r="W40" s="140">
        <f t="shared" si="7"/>
        <v>0</v>
      </c>
      <c r="X40" s="124"/>
      <c r="Y40" s="124"/>
      <c r="Z40" s="126" t="s">
        <v>52</v>
      </c>
      <c r="AA40" s="140"/>
      <c r="AB40" s="126" t="s">
        <v>53</v>
      </c>
      <c r="AC40" s="124"/>
      <c r="AD40" s="140"/>
      <c r="AE40" s="140"/>
      <c r="AF40" s="140"/>
      <c r="AG40" s="140"/>
      <c r="AH40" s="140"/>
      <c r="AI40" s="140"/>
      <c r="AJ40" s="127">
        <f t="shared" si="9"/>
        <v>0</v>
      </c>
      <c r="AK40" s="127"/>
      <c r="AL40" s="140"/>
      <c r="AM40" s="127"/>
      <c r="AN40" s="140"/>
      <c r="AO40" s="140"/>
      <c r="AP40" s="140"/>
      <c r="AQ40" s="140"/>
      <c r="AR40" s="140"/>
      <c r="AS40" s="140"/>
      <c r="AT40" s="127">
        <f t="shared" si="4"/>
        <v>0</v>
      </c>
      <c r="AU40" s="127"/>
      <c r="AV40" s="140">
        <v>0</v>
      </c>
      <c r="AW40" s="140"/>
      <c r="AX40" s="140">
        <v>0</v>
      </c>
      <c r="AY40" s="140"/>
      <c r="AZ40" s="140">
        <f t="shared" si="5"/>
        <v>0</v>
      </c>
      <c r="BA40" s="124"/>
      <c r="BB40" s="126" t="s">
        <v>52</v>
      </c>
      <c r="BD40" s="126" t="s">
        <v>53</v>
      </c>
      <c r="BE40" s="140"/>
      <c r="BF40" s="140"/>
      <c r="BG40" s="140"/>
      <c r="BH40" s="140"/>
      <c r="BI40" s="140"/>
      <c r="BJ40" s="140"/>
      <c r="BK40" s="140"/>
      <c r="BL40" s="140"/>
      <c r="BM40" s="140"/>
      <c r="BN40" s="140">
        <f t="shared" si="6"/>
        <v>0</v>
      </c>
      <c r="BO40" s="142"/>
      <c r="BS40" s="143"/>
      <c r="BT40" s="143"/>
      <c r="BU40" s="144"/>
      <c r="BV40" s="143"/>
      <c r="BW40" s="143"/>
      <c r="BX40" s="143"/>
      <c r="BY40" s="143"/>
      <c r="BZ40" s="143"/>
      <c r="CA40" s="143"/>
      <c r="CB40" s="143"/>
      <c r="CC40" s="143"/>
      <c r="CD40" s="143"/>
      <c r="CE40" s="143"/>
      <c r="CF40" s="143"/>
      <c r="CG40" s="143"/>
      <c r="CH40" s="143"/>
      <c r="CI40" s="143"/>
      <c r="CJ40" s="143"/>
      <c r="CK40" s="143"/>
      <c r="CL40" s="143"/>
      <c r="CM40" s="143"/>
      <c r="CN40" s="143"/>
      <c r="CO40" s="143"/>
      <c r="CP40" s="143"/>
      <c r="CQ40" s="143"/>
    </row>
    <row r="41" spans="1:95" s="35" customFormat="1" ht="12.75" customHeight="1">
      <c r="A41" s="35" t="s">
        <v>54</v>
      </c>
      <c r="B41" s="51"/>
      <c r="C41" s="35" t="s">
        <v>55</v>
      </c>
      <c r="D41" s="44"/>
      <c r="E41" s="53">
        <f t="shared" si="8"/>
        <v>1196120</v>
      </c>
      <c r="F41" s="53"/>
      <c r="G41" s="53">
        <v>5165673</v>
      </c>
      <c r="H41" s="53"/>
      <c r="I41" s="53">
        <v>6361793</v>
      </c>
      <c r="J41" s="53"/>
      <c r="K41" s="53">
        <f t="shared" si="1"/>
        <v>86966</v>
      </c>
      <c r="L41" s="53"/>
      <c r="M41" s="53">
        <v>607533</v>
      </c>
      <c r="N41" s="53"/>
      <c r="O41" s="53">
        <v>694499</v>
      </c>
      <c r="P41" s="53"/>
      <c r="Q41" s="53">
        <v>5165673</v>
      </c>
      <c r="R41" s="53"/>
      <c r="S41" s="53">
        <v>0</v>
      </c>
      <c r="T41" s="53"/>
      <c r="U41" s="53">
        <v>501621</v>
      </c>
      <c r="V41" s="53"/>
      <c r="W41" s="53">
        <f t="shared" si="7"/>
        <v>5667294</v>
      </c>
      <c r="Z41" s="35" t="s">
        <v>54</v>
      </c>
      <c r="AA41" s="53"/>
      <c r="AB41" s="35" t="s">
        <v>55</v>
      </c>
      <c r="AC41" s="51"/>
      <c r="AD41" s="53">
        <v>1698883</v>
      </c>
      <c r="AE41" s="53"/>
      <c r="AF41" s="53">
        <f>1426571-209538</f>
        <v>1217033</v>
      </c>
      <c r="AG41" s="53"/>
      <c r="AH41" s="53">
        <v>209538</v>
      </c>
      <c r="AI41" s="53"/>
      <c r="AJ41" s="45">
        <f t="shared" si="9"/>
        <v>272312</v>
      </c>
      <c r="AK41" s="45"/>
      <c r="AL41" s="53">
        <v>44388</v>
      </c>
      <c r="AM41" s="45"/>
      <c r="AN41" s="53">
        <v>0</v>
      </c>
      <c r="AO41" s="53"/>
      <c r="AP41" s="53">
        <v>0</v>
      </c>
      <c r="AQ41" s="53"/>
      <c r="AR41" s="53">
        <v>0</v>
      </c>
      <c r="AS41" s="53"/>
      <c r="AT41" s="45">
        <f t="shared" si="4"/>
        <v>316700</v>
      </c>
      <c r="AU41" s="45"/>
      <c r="AV41" s="53">
        <v>0</v>
      </c>
      <c r="AW41" s="53"/>
      <c r="AX41" s="53">
        <v>0</v>
      </c>
      <c r="AY41" s="53"/>
      <c r="AZ41" s="53">
        <f t="shared" si="5"/>
        <v>1109154</v>
      </c>
      <c r="BA41" s="51"/>
      <c r="BB41" s="35" t="s">
        <v>54</v>
      </c>
      <c r="BD41" s="35" t="s">
        <v>55</v>
      </c>
      <c r="BE41" s="53"/>
      <c r="BF41" s="53">
        <v>0</v>
      </c>
      <c r="BG41" s="53"/>
      <c r="BH41" s="53">
        <v>0</v>
      </c>
      <c r="BI41" s="53"/>
      <c r="BJ41" s="53">
        <v>731541</v>
      </c>
      <c r="BK41" s="53"/>
      <c r="BL41" s="53">
        <v>878742</v>
      </c>
      <c r="BM41" s="53"/>
      <c r="BN41" s="53">
        <f t="shared" si="6"/>
        <v>1610283</v>
      </c>
      <c r="BO41" s="54"/>
      <c r="BS41" s="55"/>
      <c r="BT41" s="55"/>
      <c r="BU41" s="84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</row>
    <row r="42" spans="1:95" s="35" customFormat="1" ht="12.75" hidden="1" customHeight="1">
      <c r="A42" s="35" t="s">
        <v>56</v>
      </c>
      <c r="B42" s="51"/>
      <c r="C42" s="35" t="s">
        <v>57</v>
      </c>
      <c r="D42" s="44"/>
      <c r="E42" s="53">
        <f t="shared" si="8"/>
        <v>0</v>
      </c>
      <c r="F42" s="53"/>
      <c r="G42" s="53"/>
      <c r="H42" s="53"/>
      <c r="I42" s="53"/>
      <c r="J42" s="53"/>
      <c r="K42" s="53">
        <f t="shared" si="1"/>
        <v>0</v>
      </c>
      <c r="L42" s="53"/>
      <c r="M42" s="53"/>
      <c r="N42" s="53"/>
      <c r="O42" s="53"/>
      <c r="P42" s="53"/>
      <c r="Q42" s="53"/>
      <c r="R42" s="53"/>
      <c r="S42" s="53">
        <v>0</v>
      </c>
      <c r="T42" s="53"/>
      <c r="U42" s="53"/>
      <c r="V42" s="53"/>
      <c r="W42" s="53">
        <f t="shared" si="7"/>
        <v>0</v>
      </c>
      <c r="X42" s="51"/>
      <c r="Y42" s="51"/>
      <c r="Z42" s="35" t="s">
        <v>56</v>
      </c>
      <c r="AA42" s="53"/>
      <c r="AB42" s="35" t="s">
        <v>57</v>
      </c>
      <c r="AC42" s="51"/>
      <c r="AD42" s="53"/>
      <c r="AE42" s="53"/>
      <c r="AF42" s="53"/>
      <c r="AG42" s="53"/>
      <c r="AH42" s="53"/>
      <c r="AI42" s="53"/>
      <c r="AJ42" s="45">
        <f t="shared" si="9"/>
        <v>0</v>
      </c>
      <c r="AK42" s="45"/>
      <c r="AL42" s="53"/>
      <c r="AM42" s="45"/>
      <c r="AN42" s="53"/>
      <c r="AO42" s="53"/>
      <c r="AP42" s="53"/>
      <c r="AQ42" s="53"/>
      <c r="AR42" s="53"/>
      <c r="AS42" s="53"/>
      <c r="AT42" s="45">
        <f t="shared" si="4"/>
        <v>0</v>
      </c>
      <c r="AU42" s="45"/>
      <c r="AV42" s="53">
        <v>0</v>
      </c>
      <c r="AW42" s="53"/>
      <c r="AX42" s="53">
        <v>0</v>
      </c>
      <c r="AY42" s="53"/>
      <c r="AZ42" s="53">
        <f t="shared" si="5"/>
        <v>0</v>
      </c>
      <c r="BA42" s="51"/>
      <c r="BB42" s="35" t="s">
        <v>56</v>
      </c>
      <c r="BD42" s="35" t="s">
        <v>57</v>
      </c>
      <c r="BE42" s="53"/>
      <c r="BF42" s="53">
        <v>0</v>
      </c>
      <c r="BG42" s="53"/>
      <c r="BH42" s="53">
        <v>0</v>
      </c>
      <c r="BI42" s="53"/>
      <c r="BJ42" s="53">
        <f>683048+327111-6491</f>
        <v>1003668</v>
      </c>
      <c r="BK42" s="53"/>
      <c r="BL42" s="53">
        <v>155964</v>
      </c>
      <c r="BM42" s="53"/>
      <c r="BN42" s="53">
        <f t="shared" si="6"/>
        <v>1159632</v>
      </c>
      <c r="BO42" s="54"/>
      <c r="BP42" s="55"/>
      <c r="BS42" s="55"/>
      <c r="BT42" s="55"/>
      <c r="BU42" s="84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</row>
    <row r="43" spans="1:95" s="35" customFormat="1" ht="12.75" customHeight="1">
      <c r="A43" s="35" t="s">
        <v>58</v>
      </c>
      <c r="B43" s="51"/>
      <c r="C43" s="35" t="s">
        <v>59</v>
      </c>
      <c r="D43" s="44"/>
      <c r="E43" s="53">
        <f t="shared" si="8"/>
        <v>3234498</v>
      </c>
      <c r="F43" s="53"/>
      <c r="G43" s="53">
        <v>7936383</v>
      </c>
      <c r="H43" s="53"/>
      <c r="I43" s="53">
        <v>11170881</v>
      </c>
      <c r="J43" s="53"/>
      <c r="K43" s="53">
        <f t="shared" si="1"/>
        <v>746197</v>
      </c>
      <c r="L43" s="53"/>
      <c r="M43" s="53">
        <v>3622673</v>
      </c>
      <c r="N43" s="53"/>
      <c r="O43" s="53">
        <v>4368870</v>
      </c>
      <c r="P43" s="53"/>
      <c r="Q43" s="53">
        <v>3819427</v>
      </c>
      <c r="R43" s="53"/>
      <c r="S43" s="53">
        <v>0</v>
      </c>
      <c r="T43" s="53"/>
      <c r="U43" s="53">
        <v>2982584</v>
      </c>
      <c r="V43" s="53"/>
      <c r="W43" s="53">
        <f t="shared" si="7"/>
        <v>6802011</v>
      </c>
      <c r="X43" s="51"/>
      <c r="Y43" s="51"/>
      <c r="Z43" s="35" t="s">
        <v>58</v>
      </c>
      <c r="AA43" s="53"/>
      <c r="AB43" s="35" t="s">
        <v>59</v>
      </c>
      <c r="AC43" s="51"/>
      <c r="AD43" s="53">
        <v>2713697</v>
      </c>
      <c r="AE43" s="53"/>
      <c r="AF43" s="53">
        <f>2376311-416114</f>
        <v>1960197</v>
      </c>
      <c r="AG43" s="53"/>
      <c r="AH43" s="53">
        <v>416114</v>
      </c>
      <c r="AI43" s="53"/>
      <c r="AJ43" s="45">
        <f t="shared" si="9"/>
        <v>337386</v>
      </c>
      <c r="AK43" s="45"/>
      <c r="AL43" s="53">
        <v>-158767</v>
      </c>
      <c r="AM43" s="45"/>
      <c r="AN43" s="53">
        <v>0</v>
      </c>
      <c r="AO43" s="53"/>
      <c r="AP43" s="53">
        <v>0</v>
      </c>
      <c r="AQ43" s="53"/>
      <c r="AR43" s="53">
        <v>47700</v>
      </c>
      <c r="AS43" s="53"/>
      <c r="AT43" s="45">
        <f t="shared" si="4"/>
        <v>226319</v>
      </c>
      <c r="AU43" s="45"/>
      <c r="AV43" s="53">
        <v>0</v>
      </c>
      <c r="AW43" s="53"/>
      <c r="AX43" s="53">
        <v>0</v>
      </c>
      <c r="AY43" s="53"/>
      <c r="AZ43" s="53">
        <f t="shared" si="5"/>
        <v>2488301</v>
      </c>
      <c r="BA43" s="51"/>
      <c r="BB43" s="35" t="s">
        <v>58</v>
      </c>
      <c r="BD43" s="35" t="s">
        <v>59</v>
      </c>
      <c r="BE43" s="53"/>
      <c r="BF43" s="53">
        <v>0</v>
      </c>
      <c r="BG43" s="53"/>
      <c r="BH43" s="53">
        <v>1580000</v>
      </c>
      <c r="BI43" s="53"/>
      <c r="BJ43" s="53">
        <f>755740+2223777+446050+119897</f>
        <v>3545464</v>
      </c>
      <c r="BK43" s="53"/>
      <c r="BL43" s="53">
        <f>153432+37159</f>
        <v>190591</v>
      </c>
      <c r="BM43" s="53"/>
      <c r="BN43" s="53">
        <f t="shared" si="6"/>
        <v>5316055</v>
      </c>
      <c r="BO43" s="54"/>
      <c r="BS43" s="55"/>
      <c r="BT43" s="55"/>
      <c r="BU43" s="84"/>
      <c r="BV43" s="55"/>
      <c r="BW43" s="55"/>
      <c r="BX43" s="55"/>
      <c r="BY43" s="55"/>
      <c r="BZ43" s="55"/>
      <c r="CA43" s="55"/>
      <c r="CB43" s="55"/>
      <c r="CC43" s="55"/>
      <c r="CD43" s="55"/>
      <c r="CE43" s="55"/>
      <c r="CF43" s="55"/>
      <c r="CG43" s="55"/>
      <c r="CH43" s="55"/>
      <c r="CI43" s="55"/>
      <c r="CJ43" s="55"/>
      <c r="CK43" s="55"/>
      <c r="CL43" s="55"/>
      <c r="CM43" s="55"/>
      <c r="CN43" s="55"/>
      <c r="CO43" s="55"/>
      <c r="CP43" s="55"/>
      <c r="CQ43" s="55"/>
    </row>
    <row r="44" spans="1:95" s="35" customFormat="1" ht="12.75" customHeight="1">
      <c r="A44" s="44" t="s">
        <v>476</v>
      </c>
      <c r="B44" s="51"/>
      <c r="C44" s="35" t="s">
        <v>15</v>
      </c>
      <c r="D44" s="44"/>
      <c r="E44" s="53">
        <f t="shared" si="8"/>
        <v>263056</v>
      </c>
      <c r="F44" s="53"/>
      <c r="G44" s="53">
        <v>4445869</v>
      </c>
      <c r="H44" s="53"/>
      <c r="I44" s="53">
        <v>4708925</v>
      </c>
      <c r="J44" s="53"/>
      <c r="K44" s="53">
        <f t="shared" si="1"/>
        <v>297394</v>
      </c>
      <c r="L44" s="53"/>
      <c r="M44" s="53">
        <v>1768162</v>
      </c>
      <c r="N44" s="53"/>
      <c r="O44" s="53">
        <v>2065556</v>
      </c>
      <c r="P44" s="53"/>
      <c r="Q44" s="53">
        <v>2478433</v>
      </c>
      <c r="R44" s="53"/>
      <c r="S44" s="53">
        <v>0</v>
      </c>
      <c r="T44" s="53"/>
      <c r="U44" s="53">
        <v>164936</v>
      </c>
      <c r="V44" s="53"/>
      <c r="W44" s="53">
        <f t="shared" si="7"/>
        <v>2643369</v>
      </c>
      <c r="X44" s="51"/>
      <c r="Y44" s="51"/>
      <c r="Z44" s="44" t="s">
        <v>476</v>
      </c>
      <c r="AA44" s="53"/>
      <c r="AB44" s="35" t="s">
        <v>15</v>
      </c>
      <c r="AC44" s="51"/>
      <c r="AD44" s="53">
        <v>649104</v>
      </c>
      <c r="AE44" s="53"/>
      <c r="AF44" s="53">
        <f>728717-130770</f>
        <v>597947</v>
      </c>
      <c r="AG44" s="53"/>
      <c r="AH44" s="53">
        <v>130770</v>
      </c>
      <c r="AI44" s="53"/>
      <c r="AJ44" s="45">
        <f t="shared" si="9"/>
        <v>-79613</v>
      </c>
      <c r="AK44" s="45"/>
      <c r="AL44" s="53">
        <v>-69360</v>
      </c>
      <c r="AM44" s="45"/>
      <c r="AN44" s="53">
        <v>107699</v>
      </c>
      <c r="AO44" s="53"/>
      <c r="AP44" s="53">
        <v>0</v>
      </c>
      <c r="AQ44" s="53"/>
      <c r="AR44" s="53">
        <v>0</v>
      </c>
      <c r="AS44" s="53"/>
      <c r="AT44" s="45">
        <f t="shared" si="4"/>
        <v>-41274</v>
      </c>
      <c r="AU44" s="45"/>
      <c r="AV44" s="53">
        <v>0</v>
      </c>
      <c r="AW44" s="53"/>
      <c r="AX44" s="53">
        <v>0</v>
      </c>
      <c r="AY44" s="53"/>
      <c r="AZ44" s="53">
        <f t="shared" si="5"/>
        <v>-34338</v>
      </c>
      <c r="BA44" s="51"/>
      <c r="BB44" s="44" t="s">
        <v>476</v>
      </c>
      <c r="BD44" s="35" t="s">
        <v>15</v>
      </c>
      <c r="BE44" s="53"/>
      <c r="BF44" s="53">
        <v>1079337</v>
      </c>
      <c r="BG44" s="53"/>
      <c r="BH44" s="53">
        <v>0</v>
      </c>
      <c r="BI44" s="53"/>
      <c r="BJ44" s="53">
        <v>1437060</v>
      </c>
      <c r="BK44" s="53"/>
      <c r="BL44" s="53">
        <v>57731</v>
      </c>
      <c r="BM44" s="53"/>
      <c r="BN44" s="53">
        <f t="shared" si="6"/>
        <v>2574128</v>
      </c>
      <c r="BO44" s="54"/>
      <c r="BS44" s="55"/>
      <c r="BT44" s="55"/>
      <c r="BU44" s="84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</row>
    <row r="45" spans="1:95" s="35" customFormat="1" ht="12.75" customHeight="1">
      <c r="A45" s="35" t="s">
        <v>60</v>
      </c>
      <c r="C45" s="35" t="s">
        <v>61</v>
      </c>
      <c r="D45" s="44"/>
      <c r="E45" s="53">
        <f t="shared" si="8"/>
        <v>2146201</v>
      </c>
      <c r="F45" s="53"/>
      <c r="G45" s="53">
        <v>5288956</v>
      </c>
      <c r="H45" s="53"/>
      <c r="I45" s="53">
        <v>7435157</v>
      </c>
      <c r="J45" s="53"/>
      <c r="K45" s="53">
        <f t="shared" si="1"/>
        <v>130188</v>
      </c>
      <c r="L45" s="53"/>
      <c r="M45" s="53">
        <v>176500</v>
      </c>
      <c r="N45" s="53"/>
      <c r="O45" s="53">
        <v>306688</v>
      </c>
      <c r="P45" s="53"/>
      <c r="Q45" s="53">
        <v>5061956</v>
      </c>
      <c r="R45" s="53"/>
      <c r="S45" s="53">
        <v>0</v>
      </c>
      <c r="T45" s="53"/>
      <c r="U45" s="53">
        <v>2066513</v>
      </c>
      <c r="V45" s="53"/>
      <c r="W45" s="53">
        <f t="shared" si="7"/>
        <v>7128469</v>
      </c>
      <c r="X45" s="51"/>
      <c r="Y45" s="51"/>
      <c r="Z45" s="35" t="s">
        <v>60</v>
      </c>
      <c r="AA45" s="53"/>
      <c r="AB45" s="35" t="s">
        <v>61</v>
      </c>
      <c r="AD45" s="53">
        <v>1074527</v>
      </c>
      <c r="AE45" s="53"/>
      <c r="AF45" s="53">
        <f>1150729-195934</f>
        <v>954795</v>
      </c>
      <c r="AG45" s="53"/>
      <c r="AH45" s="53">
        <v>195934</v>
      </c>
      <c r="AI45" s="53"/>
      <c r="AJ45" s="45">
        <f t="shared" si="9"/>
        <v>-76202</v>
      </c>
      <c r="AK45" s="45"/>
      <c r="AL45" s="53">
        <v>-12984</v>
      </c>
      <c r="AM45" s="45"/>
      <c r="AN45" s="53">
        <v>63681</v>
      </c>
      <c r="AO45" s="53"/>
      <c r="AP45" s="53">
        <v>63681</v>
      </c>
      <c r="AQ45" s="53"/>
      <c r="AR45" s="53">
        <v>0</v>
      </c>
      <c r="AS45" s="53"/>
      <c r="AT45" s="45">
        <f t="shared" si="4"/>
        <v>-89186</v>
      </c>
      <c r="AU45" s="45"/>
      <c r="AV45" s="53">
        <v>0</v>
      </c>
      <c r="AW45" s="53"/>
      <c r="AX45" s="53">
        <v>0</v>
      </c>
      <c r="AY45" s="53"/>
      <c r="AZ45" s="53">
        <f t="shared" si="5"/>
        <v>2016013</v>
      </c>
      <c r="BA45" s="51"/>
      <c r="BB45" s="35" t="s">
        <v>60</v>
      </c>
      <c r="BD45" s="35" t="s">
        <v>61</v>
      </c>
      <c r="BE45" s="53"/>
      <c r="BF45" s="53">
        <v>463000</v>
      </c>
      <c r="BG45" s="53"/>
      <c r="BH45" s="53">
        <v>0</v>
      </c>
      <c r="BI45" s="53"/>
      <c r="BJ45" s="53">
        <v>572461</v>
      </c>
      <c r="BK45" s="53"/>
      <c r="BL45" s="53">
        <v>9264</v>
      </c>
      <c r="BM45" s="53"/>
      <c r="BN45" s="53">
        <f t="shared" si="6"/>
        <v>1044725</v>
      </c>
      <c r="BO45" s="54"/>
      <c r="BS45" s="55"/>
      <c r="BT45" s="55"/>
      <c r="BU45" s="84"/>
      <c r="BV45" s="55"/>
      <c r="BW45" s="55"/>
      <c r="BX45" s="55"/>
      <c r="BY45" s="55"/>
      <c r="BZ45" s="55"/>
      <c r="CA45" s="55"/>
      <c r="CB45" s="55"/>
      <c r="CC45" s="55"/>
      <c r="CD45" s="55"/>
      <c r="CE45" s="55"/>
      <c r="CF45" s="55"/>
      <c r="CG45" s="55"/>
      <c r="CH45" s="55"/>
      <c r="CI45" s="55"/>
      <c r="CJ45" s="55"/>
      <c r="CK45" s="55"/>
      <c r="CL45" s="55"/>
      <c r="CM45" s="55"/>
      <c r="CN45" s="55"/>
      <c r="CO45" s="55"/>
      <c r="CP45" s="55"/>
      <c r="CQ45" s="55"/>
    </row>
    <row r="46" spans="1:95" s="35" customFormat="1" ht="12.75" customHeight="1">
      <c r="A46" s="44" t="s">
        <v>62</v>
      </c>
      <c r="B46" s="51"/>
      <c r="C46" s="35" t="s">
        <v>15</v>
      </c>
      <c r="D46" s="44"/>
      <c r="E46" s="53">
        <f t="shared" si="8"/>
        <v>12650815</v>
      </c>
      <c r="F46" s="53"/>
      <c r="G46" s="53">
        <v>41514501</v>
      </c>
      <c r="H46" s="53"/>
      <c r="I46" s="53">
        <v>54165316</v>
      </c>
      <c r="J46" s="53"/>
      <c r="K46" s="53">
        <f t="shared" si="1"/>
        <v>1880295</v>
      </c>
      <c r="L46" s="53"/>
      <c r="M46" s="53">
        <v>13091070</v>
      </c>
      <c r="N46" s="53"/>
      <c r="O46" s="53">
        <v>14971365</v>
      </c>
      <c r="P46" s="53"/>
      <c r="Q46" s="53">
        <v>27264174</v>
      </c>
      <c r="R46" s="53"/>
      <c r="S46" s="53">
        <v>0</v>
      </c>
      <c r="T46" s="53"/>
      <c r="U46" s="53">
        <v>11929777</v>
      </c>
      <c r="V46" s="53"/>
      <c r="W46" s="53">
        <f t="shared" si="7"/>
        <v>39193951</v>
      </c>
      <c r="X46" s="51"/>
      <c r="Y46" s="51"/>
      <c r="Z46" s="44" t="s">
        <v>62</v>
      </c>
      <c r="AA46" s="53"/>
      <c r="AB46" s="35" t="s">
        <v>15</v>
      </c>
      <c r="AC46" s="51"/>
      <c r="AD46" s="53">
        <v>12803465</v>
      </c>
      <c r="AE46" s="53"/>
      <c r="AF46" s="53">
        <f>10040064-1321271</f>
        <v>8718793</v>
      </c>
      <c r="AG46" s="53"/>
      <c r="AH46" s="53">
        <v>1321271</v>
      </c>
      <c r="AI46" s="53"/>
      <c r="AJ46" s="45">
        <f t="shared" si="9"/>
        <v>2763401</v>
      </c>
      <c r="AK46" s="45"/>
      <c r="AL46" s="53">
        <v>-596325</v>
      </c>
      <c r="AM46" s="45"/>
      <c r="AN46" s="53"/>
      <c r="AO46" s="53"/>
      <c r="AP46" s="53"/>
      <c r="AQ46" s="53"/>
      <c r="AR46" s="53">
        <v>220000</v>
      </c>
      <c r="AS46" s="53"/>
      <c r="AT46" s="45">
        <f t="shared" si="4"/>
        <v>2387076</v>
      </c>
      <c r="AU46" s="45"/>
      <c r="AV46" s="53">
        <v>0</v>
      </c>
      <c r="AW46" s="53"/>
      <c r="AX46" s="53">
        <v>0</v>
      </c>
      <c r="AY46" s="53"/>
      <c r="AZ46" s="53">
        <f t="shared" si="5"/>
        <v>10770520</v>
      </c>
      <c r="BA46" s="51"/>
      <c r="BB46" s="44" t="s">
        <v>62</v>
      </c>
      <c r="BD46" s="35" t="s">
        <v>15</v>
      </c>
      <c r="BE46" s="53"/>
      <c r="BF46" s="53">
        <v>6051208</v>
      </c>
      <c r="BG46" s="53"/>
      <c r="BH46" s="53">
        <v>0</v>
      </c>
      <c r="BI46" s="53"/>
      <c r="BJ46" s="53">
        <f>183724+114100+1274273+665311+1563826+152977+2794657+1333345+102110</f>
        <v>8184323</v>
      </c>
      <c r="BK46" s="53"/>
      <c r="BL46" s="53">
        <f>1336885+36339</f>
        <v>1373224</v>
      </c>
      <c r="BM46" s="53"/>
      <c r="BN46" s="53">
        <f t="shared" si="6"/>
        <v>15608755</v>
      </c>
      <c r="BO46" s="54"/>
      <c r="BS46" s="55"/>
      <c r="BT46" s="55"/>
      <c r="BU46" s="84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</row>
    <row r="47" spans="1:95" s="35" customFormat="1" ht="12.75" customHeight="1">
      <c r="A47" s="35" t="s">
        <v>485</v>
      </c>
      <c r="B47" s="51"/>
      <c r="C47" s="35" t="s">
        <v>111</v>
      </c>
      <c r="D47" s="44"/>
      <c r="E47" s="53">
        <f t="shared" si="8"/>
        <v>93785</v>
      </c>
      <c r="F47" s="53"/>
      <c r="G47" s="53">
        <v>1220570</v>
      </c>
      <c r="H47" s="53"/>
      <c r="I47" s="53">
        <v>1314355</v>
      </c>
      <c r="J47" s="53"/>
      <c r="K47" s="53">
        <f t="shared" si="1"/>
        <v>807</v>
      </c>
      <c r="L47" s="53"/>
      <c r="M47" s="53">
        <v>0</v>
      </c>
      <c r="N47" s="53"/>
      <c r="O47" s="53">
        <v>807</v>
      </c>
      <c r="P47" s="53"/>
      <c r="Q47" s="53">
        <v>1220570</v>
      </c>
      <c r="R47" s="53"/>
      <c r="S47" s="53">
        <v>0</v>
      </c>
      <c r="T47" s="53"/>
      <c r="U47" s="53">
        <v>92978</v>
      </c>
      <c r="V47" s="53"/>
      <c r="W47" s="53">
        <f t="shared" si="7"/>
        <v>1313548</v>
      </c>
      <c r="X47" s="51"/>
      <c r="Y47" s="51"/>
      <c r="Z47" s="35" t="s">
        <v>485</v>
      </c>
      <c r="AA47" s="51"/>
      <c r="AB47" s="35" t="s">
        <v>111</v>
      </c>
      <c r="AC47" s="51"/>
      <c r="AD47" s="53">
        <v>103424</v>
      </c>
      <c r="AE47" s="53"/>
      <c r="AF47" s="53">
        <f>155899-53372</f>
        <v>102527</v>
      </c>
      <c r="AG47" s="53"/>
      <c r="AH47" s="53">
        <v>53372</v>
      </c>
      <c r="AI47" s="53"/>
      <c r="AJ47" s="45">
        <f>+AD47-AF47-AH47</f>
        <v>-52475</v>
      </c>
      <c r="AK47" s="45"/>
      <c r="AL47" s="53">
        <v>0</v>
      </c>
      <c r="AM47" s="45"/>
      <c r="AN47" s="53">
        <v>0</v>
      </c>
      <c r="AO47" s="53"/>
      <c r="AP47" s="53">
        <v>0</v>
      </c>
      <c r="AQ47" s="53"/>
      <c r="AR47" s="53">
        <v>0</v>
      </c>
      <c r="AS47" s="53"/>
      <c r="AT47" s="45">
        <f>+AJ47+AL47+AN47-AP47+AR47</f>
        <v>-52475</v>
      </c>
      <c r="AU47" s="45"/>
      <c r="AV47" s="53">
        <v>0</v>
      </c>
      <c r="AW47" s="53"/>
      <c r="AX47" s="53">
        <v>0</v>
      </c>
      <c r="AY47" s="53"/>
      <c r="AZ47" s="53">
        <f>E47-K47</f>
        <v>92978</v>
      </c>
      <c r="BA47" s="51"/>
      <c r="BB47" s="35" t="s">
        <v>63</v>
      </c>
      <c r="BD47" s="35" t="s">
        <v>64</v>
      </c>
      <c r="BE47" s="53"/>
      <c r="BF47" s="53">
        <v>0</v>
      </c>
      <c r="BG47" s="53"/>
      <c r="BH47" s="53">
        <v>0</v>
      </c>
      <c r="BI47" s="53"/>
      <c r="BJ47" s="53">
        <v>0</v>
      </c>
      <c r="BK47" s="53"/>
      <c r="BL47" s="53">
        <v>0</v>
      </c>
      <c r="BM47" s="53"/>
      <c r="BN47" s="53">
        <f t="shared" si="6"/>
        <v>0</v>
      </c>
      <c r="BO47" s="54"/>
      <c r="BS47" s="55"/>
      <c r="BT47" s="55"/>
      <c r="BU47" s="84"/>
      <c r="BV47" s="55"/>
      <c r="BW47" s="55"/>
      <c r="BX47" s="55"/>
      <c r="BY47" s="55"/>
      <c r="BZ47" s="55"/>
      <c r="CA47" s="55"/>
      <c r="CB47" s="55"/>
      <c r="CC47" s="55"/>
      <c r="CD47" s="55"/>
      <c r="CE47" s="55"/>
      <c r="CF47" s="55"/>
      <c r="CG47" s="55"/>
      <c r="CH47" s="55"/>
      <c r="CI47" s="55"/>
      <c r="CJ47" s="55"/>
      <c r="CK47" s="55"/>
      <c r="CL47" s="55"/>
      <c r="CM47" s="55"/>
      <c r="CN47" s="55"/>
      <c r="CO47" s="55"/>
      <c r="CP47" s="55"/>
      <c r="CQ47" s="55"/>
    </row>
    <row r="48" spans="1:95" s="35" customFormat="1" ht="12.75" customHeight="1">
      <c r="A48" s="35" t="s">
        <v>63</v>
      </c>
      <c r="B48" s="51"/>
      <c r="C48" s="35" t="s">
        <v>64</v>
      </c>
      <c r="D48" s="44"/>
      <c r="E48" s="53">
        <f t="shared" si="8"/>
        <v>1708766</v>
      </c>
      <c r="F48" s="53"/>
      <c r="G48" s="53">
        <v>12707199</v>
      </c>
      <c r="H48" s="53"/>
      <c r="I48" s="53">
        <v>14415965</v>
      </c>
      <c r="J48" s="53"/>
      <c r="K48" s="53">
        <f t="shared" si="1"/>
        <v>1241428</v>
      </c>
      <c r="L48" s="53"/>
      <c r="M48" s="53">
        <v>7134001</v>
      </c>
      <c r="N48" s="53"/>
      <c r="O48" s="53">
        <v>8375429</v>
      </c>
      <c r="P48" s="53"/>
      <c r="Q48" s="53">
        <v>4648333</v>
      </c>
      <c r="R48" s="53"/>
      <c r="S48" s="53">
        <v>0</v>
      </c>
      <c r="T48" s="53"/>
      <c r="U48" s="53">
        <v>1392203</v>
      </c>
      <c r="V48" s="53"/>
      <c r="W48" s="53">
        <f t="shared" si="7"/>
        <v>6040536</v>
      </c>
      <c r="X48" s="51"/>
      <c r="Y48" s="51"/>
      <c r="Z48" s="35" t="s">
        <v>63</v>
      </c>
      <c r="AA48" s="53"/>
      <c r="AB48" s="35" t="s">
        <v>64</v>
      </c>
      <c r="AC48" s="51"/>
      <c r="AD48" s="53">
        <v>2898401</v>
      </c>
      <c r="AE48" s="53"/>
      <c r="AF48" s="53">
        <f>1607808-289609</f>
        <v>1318199</v>
      </c>
      <c r="AG48" s="53"/>
      <c r="AH48" s="53">
        <v>289609</v>
      </c>
      <c r="AI48" s="53"/>
      <c r="AJ48" s="45">
        <f t="shared" si="9"/>
        <v>1290593</v>
      </c>
      <c r="AK48" s="45"/>
      <c r="AL48" s="53">
        <v>-91043</v>
      </c>
      <c r="AM48" s="45"/>
      <c r="AN48" s="53">
        <v>28587</v>
      </c>
      <c r="AO48" s="53"/>
      <c r="AP48" s="53">
        <v>16254</v>
      </c>
      <c r="AQ48" s="53"/>
      <c r="AR48" s="53">
        <v>721700</v>
      </c>
      <c r="AS48" s="53"/>
      <c r="AT48" s="45">
        <f t="shared" si="4"/>
        <v>1933583</v>
      </c>
      <c r="AU48" s="45"/>
      <c r="AV48" s="53">
        <v>0</v>
      </c>
      <c r="AW48" s="53"/>
      <c r="AX48" s="53">
        <v>0</v>
      </c>
      <c r="AY48" s="53"/>
      <c r="AZ48" s="53">
        <f t="shared" si="5"/>
        <v>467338</v>
      </c>
      <c r="BA48" s="51"/>
      <c r="BB48" s="35" t="s">
        <v>485</v>
      </c>
      <c r="BC48" s="51"/>
      <c r="BD48" s="35" t="s">
        <v>111</v>
      </c>
      <c r="BE48" s="53"/>
      <c r="BF48" s="53">
        <f>715000+19346-66989+1155000+49069-86898</f>
        <v>1784528</v>
      </c>
      <c r="BG48" s="53"/>
      <c r="BH48" s="53">
        <v>2455059</v>
      </c>
      <c r="BI48" s="53"/>
      <c r="BJ48" s="53">
        <f>398676+6412833</f>
        <v>6811509</v>
      </c>
      <c r="BK48" s="53"/>
      <c r="BL48" s="53">
        <v>127526</v>
      </c>
      <c r="BM48" s="53"/>
      <c r="BN48" s="53">
        <f t="shared" si="6"/>
        <v>11178622</v>
      </c>
      <c r="BO48" s="54"/>
      <c r="BS48" s="55"/>
      <c r="BT48" s="55"/>
      <c r="BU48" s="84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</row>
    <row r="49" spans="1:95" s="126" customFormat="1" ht="12.75" hidden="1" customHeight="1">
      <c r="A49" s="126" t="s">
        <v>65</v>
      </c>
      <c r="B49" s="124"/>
      <c r="C49" s="126" t="s">
        <v>66</v>
      </c>
      <c r="D49" s="121"/>
      <c r="E49" s="53">
        <f t="shared" si="8"/>
        <v>0</v>
      </c>
      <c r="F49" s="53"/>
      <c r="G49" s="53"/>
      <c r="H49" s="53"/>
      <c r="I49" s="53"/>
      <c r="J49" s="53"/>
      <c r="K49" s="53">
        <f t="shared" si="1"/>
        <v>0</v>
      </c>
      <c r="L49" s="53"/>
      <c r="M49" s="53"/>
      <c r="N49" s="53"/>
      <c r="O49" s="53"/>
      <c r="P49" s="53"/>
      <c r="Q49" s="53"/>
      <c r="R49" s="53"/>
      <c r="S49" s="53">
        <v>0</v>
      </c>
      <c r="T49" s="53"/>
      <c r="U49" s="53"/>
      <c r="V49" s="53"/>
      <c r="W49" s="53">
        <f t="shared" si="7"/>
        <v>0</v>
      </c>
      <c r="X49" s="51"/>
      <c r="Y49" s="51"/>
      <c r="Z49" s="35" t="s">
        <v>65</v>
      </c>
      <c r="AA49" s="53"/>
      <c r="AB49" s="35" t="s">
        <v>66</v>
      </c>
      <c r="AC49" s="51"/>
      <c r="AD49" s="53"/>
      <c r="AE49" s="53"/>
      <c r="AF49" s="53"/>
      <c r="AG49" s="53"/>
      <c r="AH49" s="53"/>
      <c r="AI49" s="53"/>
      <c r="AJ49" s="45">
        <f t="shared" si="9"/>
        <v>0</v>
      </c>
      <c r="AK49" s="45"/>
      <c r="AL49" s="53"/>
      <c r="AM49" s="45"/>
      <c r="AN49" s="53"/>
      <c r="AO49" s="53"/>
      <c r="AP49" s="53"/>
      <c r="AQ49" s="53"/>
      <c r="AR49" s="53"/>
      <c r="AS49" s="53"/>
      <c r="AT49" s="45">
        <f t="shared" si="4"/>
        <v>0</v>
      </c>
      <c r="AU49" s="45"/>
      <c r="AV49" s="53">
        <v>0</v>
      </c>
      <c r="AW49" s="53"/>
      <c r="AX49" s="53">
        <v>0</v>
      </c>
      <c r="AY49" s="53"/>
      <c r="AZ49" s="53">
        <f t="shared" si="5"/>
        <v>0</v>
      </c>
      <c r="BA49" s="51"/>
      <c r="BB49" s="35" t="s">
        <v>65</v>
      </c>
      <c r="BC49" s="35"/>
      <c r="BD49" s="35" t="s">
        <v>66</v>
      </c>
      <c r="BE49" s="53"/>
      <c r="BF49" s="53"/>
      <c r="BG49" s="53"/>
      <c r="BH49" s="53"/>
      <c r="BI49" s="53"/>
      <c r="BJ49" s="53"/>
      <c r="BK49" s="53"/>
      <c r="BL49" s="53"/>
      <c r="BM49" s="53"/>
      <c r="BN49" s="53">
        <f t="shared" si="6"/>
        <v>0</v>
      </c>
      <c r="BO49" s="142"/>
      <c r="BS49" s="143"/>
      <c r="BT49" s="143"/>
      <c r="BU49" s="144"/>
      <c r="BV49" s="143"/>
      <c r="BW49" s="143"/>
      <c r="BX49" s="143"/>
      <c r="BY49" s="143"/>
      <c r="BZ49" s="143"/>
      <c r="CA49" s="143"/>
      <c r="CB49" s="143"/>
      <c r="CC49" s="143"/>
      <c r="CD49" s="143"/>
      <c r="CE49" s="143"/>
      <c r="CF49" s="143"/>
      <c r="CG49" s="143"/>
      <c r="CH49" s="143"/>
      <c r="CI49" s="143"/>
      <c r="CJ49" s="143"/>
      <c r="CK49" s="143"/>
      <c r="CL49" s="143"/>
      <c r="CM49" s="143"/>
      <c r="CN49" s="143"/>
      <c r="CO49" s="143"/>
      <c r="CP49" s="143"/>
      <c r="CQ49" s="143"/>
    </row>
    <row r="50" spans="1:95" s="35" customFormat="1" ht="12.75" customHeight="1">
      <c r="A50" s="35" t="s">
        <v>67</v>
      </c>
      <c r="B50" s="51"/>
      <c r="C50" s="35" t="s">
        <v>375</v>
      </c>
      <c r="D50" s="44"/>
      <c r="E50" s="53">
        <f t="shared" si="8"/>
        <v>1880001</v>
      </c>
      <c r="F50" s="53"/>
      <c r="G50" s="53">
        <v>12594492</v>
      </c>
      <c r="H50" s="53"/>
      <c r="I50" s="53">
        <v>14474493</v>
      </c>
      <c r="J50" s="53"/>
      <c r="K50" s="53">
        <f t="shared" si="1"/>
        <v>644861</v>
      </c>
      <c r="L50" s="53"/>
      <c r="M50" s="53">
        <v>5483179</v>
      </c>
      <c r="N50" s="53"/>
      <c r="O50" s="53">
        <v>6128040</v>
      </c>
      <c r="P50" s="53"/>
      <c r="Q50" s="53">
        <v>8804869</v>
      </c>
      <c r="R50" s="53"/>
      <c r="S50" s="53">
        <v>0</v>
      </c>
      <c r="T50" s="53"/>
      <c r="U50" s="53">
        <v>-458416</v>
      </c>
      <c r="V50" s="53"/>
      <c r="W50" s="53">
        <f t="shared" si="7"/>
        <v>8346453</v>
      </c>
      <c r="X50" s="51"/>
      <c r="Y50" s="51"/>
      <c r="Z50" s="35" t="s">
        <v>67</v>
      </c>
      <c r="AA50" s="53"/>
      <c r="AB50" s="35" t="s">
        <v>375</v>
      </c>
      <c r="AC50" s="51"/>
      <c r="AD50" s="53">
        <v>831934</v>
      </c>
      <c r="AE50" s="53"/>
      <c r="AF50" s="53">
        <f>744005-83915</f>
        <v>660090</v>
      </c>
      <c r="AG50" s="53"/>
      <c r="AH50" s="53">
        <v>83915</v>
      </c>
      <c r="AI50" s="53"/>
      <c r="AJ50" s="45">
        <f t="shared" si="9"/>
        <v>87929</v>
      </c>
      <c r="AK50" s="45"/>
      <c r="AL50" s="53">
        <v>-64243</v>
      </c>
      <c r="AM50" s="45"/>
      <c r="AN50" s="53">
        <v>200000</v>
      </c>
      <c r="AO50" s="53"/>
      <c r="AP50" s="53">
        <v>0</v>
      </c>
      <c r="AQ50" s="53"/>
      <c r="AR50" s="53">
        <v>0</v>
      </c>
      <c r="AS50" s="53"/>
      <c r="AT50" s="45">
        <f t="shared" si="4"/>
        <v>223686</v>
      </c>
      <c r="AU50" s="45"/>
      <c r="AV50" s="53">
        <v>0</v>
      </c>
      <c r="AW50" s="53"/>
      <c r="AX50" s="53">
        <v>0</v>
      </c>
      <c r="AY50" s="53"/>
      <c r="AZ50" s="53">
        <f t="shared" si="5"/>
        <v>1235140</v>
      </c>
      <c r="BA50" s="51"/>
      <c r="BB50" s="35" t="s">
        <v>67</v>
      </c>
      <c r="BD50" s="35" t="s">
        <v>375</v>
      </c>
      <c r="BE50" s="53"/>
      <c r="BF50" s="53">
        <v>0</v>
      </c>
      <c r="BG50" s="53"/>
      <c r="BH50" s="53"/>
      <c r="BI50" s="53"/>
      <c r="BJ50" s="53">
        <v>17345025</v>
      </c>
      <c r="BK50" s="53"/>
      <c r="BL50" s="53">
        <v>132564</v>
      </c>
      <c r="BM50" s="53"/>
      <c r="BN50" s="53">
        <f t="shared" si="6"/>
        <v>17477589</v>
      </c>
      <c r="BO50" s="54"/>
      <c r="BS50" s="55"/>
      <c r="BT50" s="55"/>
      <c r="BU50" s="84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</row>
    <row r="51" spans="1:95" s="126" customFormat="1" ht="12.75" hidden="1" customHeight="1">
      <c r="A51" s="126" t="s">
        <v>68</v>
      </c>
      <c r="B51" s="124"/>
      <c r="C51" s="126" t="s">
        <v>45</v>
      </c>
      <c r="D51" s="121"/>
      <c r="E51" s="140">
        <f t="shared" si="8"/>
        <v>0</v>
      </c>
      <c r="F51" s="140"/>
      <c r="G51" s="140"/>
      <c r="H51" s="140"/>
      <c r="I51" s="140"/>
      <c r="J51" s="140"/>
      <c r="K51" s="140">
        <f t="shared" si="1"/>
        <v>0</v>
      </c>
      <c r="L51" s="140"/>
      <c r="M51" s="140"/>
      <c r="N51" s="140"/>
      <c r="O51" s="140"/>
      <c r="P51" s="140"/>
      <c r="Q51" s="140"/>
      <c r="R51" s="140"/>
      <c r="S51" s="140">
        <v>0</v>
      </c>
      <c r="T51" s="140"/>
      <c r="U51" s="140"/>
      <c r="V51" s="140"/>
      <c r="W51" s="140">
        <f t="shared" si="7"/>
        <v>0</v>
      </c>
      <c r="X51" s="124"/>
      <c r="Y51" s="124"/>
      <c r="Z51" s="126" t="s">
        <v>68</v>
      </c>
      <c r="AA51" s="140"/>
      <c r="AB51" s="126" t="s">
        <v>45</v>
      </c>
      <c r="AC51" s="124"/>
      <c r="AD51" s="140"/>
      <c r="AE51" s="140"/>
      <c r="AF51" s="140"/>
      <c r="AG51" s="140"/>
      <c r="AH51" s="140"/>
      <c r="AI51" s="140"/>
      <c r="AJ51" s="127">
        <f t="shared" si="9"/>
        <v>0</v>
      </c>
      <c r="AK51" s="127"/>
      <c r="AL51" s="140"/>
      <c r="AM51" s="127"/>
      <c r="AN51" s="140"/>
      <c r="AO51" s="140"/>
      <c r="AP51" s="140"/>
      <c r="AQ51" s="140"/>
      <c r="AR51" s="140"/>
      <c r="AS51" s="140"/>
      <c r="AT51" s="127">
        <f t="shared" si="4"/>
        <v>0</v>
      </c>
      <c r="AU51" s="127"/>
      <c r="AV51" s="140">
        <v>0</v>
      </c>
      <c r="AW51" s="140"/>
      <c r="AX51" s="140">
        <v>0</v>
      </c>
      <c r="AY51" s="140"/>
      <c r="AZ51" s="140">
        <f t="shared" si="5"/>
        <v>0</v>
      </c>
      <c r="BA51" s="124"/>
      <c r="BB51" s="126" t="s">
        <v>68</v>
      </c>
      <c r="BD51" s="126" t="s">
        <v>45</v>
      </c>
      <c r="BE51" s="140"/>
      <c r="BF51" s="140"/>
      <c r="BG51" s="140"/>
      <c r="BH51" s="140"/>
      <c r="BI51" s="140"/>
      <c r="BJ51" s="140"/>
      <c r="BK51" s="140"/>
      <c r="BL51" s="140"/>
      <c r="BM51" s="140"/>
      <c r="BN51" s="140">
        <f t="shared" si="6"/>
        <v>0</v>
      </c>
      <c r="BO51" s="142"/>
      <c r="BP51" s="143"/>
      <c r="BQ51" s="143"/>
      <c r="BS51" s="143"/>
      <c r="BT51" s="143"/>
      <c r="BU51" s="144"/>
      <c r="BV51" s="143"/>
      <c r="BW51" s="143"/>
      <c r="BX51" s="143"/>
      <c r="BY51" s="143"/>
      <c r="BZ51" s="143"/>
      <c r="CA51" s="143"/>
      <c r="CB51" s="143"/>
      <c r="CC51" s="143"/>
      <c r="CD51" s="143"/>
      <c r="CE51" s="143"/>
      <c r="CF51" s="143"/>
      <c r="CG51" s="143"/>
      <c r="CH51" s="143"/>
      <c r="CI51" s="143"/>
      <c r="CJ51" s="143"/>
      <c r="CK51" s="143"/>
      <c r="CL51" s="143"/>
      <c r="CM51" s="143"/>
      <c r="CN51" s="143"/>
      <c r="CO51" s="143"/>
      <c r="CP51" s="143"/>
      <c r="CQ51" s="143"/>
    </row>
    <row r="52" spans="1:95" s="35" customFormat="1" ht="12.75" customHeight="1">
      <c r="A52" s="35" t="s">
        <v>69</v>
      </c>
      <c r="B52" s="51"/>
      <c r="C52" s="35" t="s">
        <v>70</v>
      </c>
      <c r="D52" s="44"/>
      <c r="E52" s="53">
        <f t="shared" si="8"/>
        <v>2929957</v>
      </c>
      <c r="F52" s="53"/>
      <c r="G52" s="53">
        <v>25248512</v>
      </c>
      <c r="H52" s="53"/>
      <c r="I52" s="53">
        <v>28178469</v>
      </c>
      <c r="J52" s="53"/>
      <c r="K52" s="53">
        <f t="shared" si="1"/>
        <v>1295077</v>
      </c>
      <c r="L52" s="53"/>
      <c r="M52" s="53">
        <v>5977359</v>
      </c>
      <c r="N52" s="53"/>
      <c r="O52" s="53">
        <v>7272436</v>
      </c>
      <c r="P52" s="53"/>
      <c r="Q52" s="53">
        <v>15627586</v>
      </c>
      <c r="R52" s="53"/>
      <c r="S52" s="53">
        <f>1652563+1200000</f>
        <v>2852563</v>
      </c>
      <c r="T52" s="53"/>
      <c r="U52" s="53">
        <v>2425884</v>
      </c>
      <c r="V52" s="53"/>
      <c r="W52" s="53">
        <f t="shared" si="7"/>
        <v>20906033</v>
      </c>
      <c r="X52" s="51"/>
      <c r="Y52" s="51"/>
      <c r="Z52" s="35" t="s">
        <v>69</v>
      </c>
      <c r="AA52" s="53"/>
      <c r="AB52" s="35" t="s">
        <v>70</v>
      </c>
      <c r="AC52" s="51"/>
      <c r="AD52" s="53">
        <v>4447067</v>
      </c>
      <c r="AE52" s="53"/>
      <c r="AF52" s="53">
        <f>3588879-695830</f>
        <v>2893049</v>
      </c>
      <c r="AG52" s="53"/>
      <c r="AH52" s="53">
        <v>695830</v>
      </c>
      <c r="AI52" s="53"/>
      <c r="AJ52" s="45">
        <f t="shared" si="9"/>
        <v>858188</v>
      </c>
      <c r="AK52" s="45"/>
      <c r="AL52" s="53">
        <v>-549571</v>
      </c>
      <c r="AM52" s="45"/>
      <c r="AN52" s="53">
        <v>0</v>
      </c>
      <c r="AO52" s="53"/>
      <c r="AP52" s="53">
        <v>5183</v>
      </c>
      <c r="AQ52" s="53"/>
      <c r="AR52" s="53">
        <v>0</v>
      </c>
      <c r="AS52" s="53"/>
      <c r="AT52" s="45">
        <f t="shared" si="4"/>
        <v>303434</v>
      </c>
      <c r="AU52" s="45"/>
      <c r="AV52" s="53">
        <v>0</v>
      </c>
      <c r="AW52" s="53"/>
      <c r="AX52" s="53">
        <v>0</v>
      </c>
      <c r="AY52" s="53"/>
      <c r="AZ52" s="53">
        <f t="shared" si="5"/>
        <v>1634880</v>
      </c>
      <c r="BA52" s="51"/>
      <c r="BB52" s="35" t="s">
        <v>69</v>
      </c>
      <c r="BD52" s="35" t="s">
        <v>70</v>
      </c>
      <c r="BE52" s="53"/>
      <c r="BF52" s="53">
        <v>0</v>
      </c>
      <c r="BG52" s="53"/>
      <c r="BH52" s="53">
        <f>6675000+129404</f>
        <v>6804404</v>
      </c>
      <c r="BI52" s="53"/>
      <c r="BJ52" s="53">
        <v>0</v>
      </c>
      <c r="BK52" s="53"/>
      <c r="BL52" s="53">
        <f>5283+724025</f>
        <v>729308</v>
      </c>
      <c r="BM52" s="53"/>
      <c r="BN52" s="53">
        <f t="shared" si="6"/>
        <v>7533712</v>
      </c>
      <c r="BO52" s="54"/>
      <c r="BS52" s="55"/>
      <c r="BT52" s="55"/>
      <c r="BU52" s="84"/>
      <c r="BV52" s="55"/>
      <c r="BW52" s="55"/>
      <c r="BX52" s="55"/>
      <c r="BY52" s="55"/>
      <c r="BZ52" s="55"/>
      <c r="CA52" s="55"/>
      <c r="CB52" s="55"/>
      <c r="CC52" s="55"/>
      <c r="CD52" s="55"/>
      <c r="CE52" s="55"/>
      <c r="CF52" s="55"/>
      <c r="CG52" s="55"/>
      <c r="CH52" s="55"/>
      <c r="CI52" s="55"/>
      <c r="CJ52" s="55"/>
      <c r="CK52" s="55"/>
      <c r="CL52" s="55"/>
      <c r="CM52" s="55"/>
      <c r="CN52" s="55"/>
      <c r="CO52" s="55"/>
      <c r="CP52" s="55"/>
      <c r="CQ52" s="55"/>
    </row>
    <row r="53" spans="1:95" s="35" customFormat="1" ht="12.75" customHeight="1">
      <c r="A53" s="64" t="s">
        <v>71</v>
      </c>
      <c r="B53" s="64"/>
      <c r="C53" s="64" t="s">
        <v>45</v>
      </c>
      <c r="D53" s="46"/>
      <c r="E53" s="53">
        <f t="shared" si="8"/>
        <v>91632</v>
      </c>
      <c r="F53" s="53"/>
      <c r="G53" s="53">
        <v>887591</v>
      </c>
      <c r="H53" s="53"/>
      <c r="I53" s="53">
        <v>979223</v>
      </c>
      <c r="J53" s="53"/>
      <c r="K53" s="53">
        <f t="shared" si="1"/>
        <v>33829</v>
      </c>
      <c r="L53" s="53"/>
      <c r="M53" s="53">
        <v>368774</v>
      </c>
      <c r="N53" s="53"/>
      <c r="O53" s="53">
        <v>402603</v>
      </c>
      <c r="P53" s="53"/>
      <c r="Q53" s="53">
        <v>491593</v>
      </c>
      <c r="R53" s="53"/>
      <c r="S53" s="53">
        <v>12319</v>
      </c>
      <c r="T53" s="53"/>
      <c r="U53" s="53">
        <v>72708</v>
      </c>
      <c r="V53" s="53"/>
      <c r="W53" s="53">
        <f t="shared" si="7"/>
        <v>576620</v>
      </c>
      <c r="Z53" s="64" t="s">
        <v>71</v>
      </c>
      <c r="AA53" s="79"/>
      <c r="AB53" s="64" t="s">
        <v>45</v>
      </c>
      <c r="AC53" s="66"/>
      <c r="AD53" s="53">
        <v>121302</v>
      </c>
      <c r="AE53" s="53"/>
      <c r="AF53" s="53">
        <f>99837-22781</f>
        <v>77056</v>
      </c>
      <c r="AG53" s="53"/>
      <c r="AH53" s="53">
        <v>22781</v>
      </c>
      <c r="AI53" s="53"/>
      <c r="AJ53" s="45">
        <f t="shared" si="9"/>
        <v>21465</v>
      </c>
      <c r="AK53" s="45"/>
      <c r="AL53" s="53">
        <v>-10063</v>
      </c>
      <c r="AM53" s="45"/>
      <c r="AN53" s="53">
        <v>0</v>
      </c>
      <c r="AO53" s="53"/>
      <c r="AP53" s="53">
        <v>0</v>
      </c>
      <c r="AQ53" s="53"/>
      <c r="AR53" s="53">
        <v>3099</v>
      </c>
      <c r="AS53" s="53"/>
      <c r="AT53" s="45">
        <f t="shared" si="4"/>
        <v>14501</v>
      </c>
      <c r="AU53" s="45"/>
      <c r="AV53" s="53">
        <v>0</v>
      </c>
      <c r="AW53" s="53"/>
      <c r="AX53" s="53">
        <v>0</v>
      </c>
      <c r="AY53" s="53"/>
      <c r="AZ53" s="53">
        <f t="shared" si="5"/>
        <v>57803</v>
      </c>
      <c r="BA53" s="51"/>
      <c r="BB53" s="64" t="s">
        <v>71</v>
      </c>
      <c r="BC53" s="64"/>
      <c r="BD53" s="64" t="s">
        <v>45</v>
      </c>
      <c r="BE53" s="79"/>
      <c r="BF53" s="53">
        <v>15470</v>
      </c>
      <c r="BG53" s="53"/>
      <c r="BH53" s="53"/>
      <c r="BI53" s="53"/>
      <c r="BJ53" s="53">
        <v>12622</v>
      </c>
      <c r="BK53" s="53"/>
      <c r="BL53" s="53">
        <f>332635+7689+186+268+8668+5106</f>
        <v>354552</v>
      </c>
      <c r="BM53" s="53"/>
      <c r="BN53" s="53">
        <f t="shared" si="6"/>
        <v>382644</v>
      </c>
      <c r="BO53" s="54"/>
      <c r="BS53" s="55"/>
      <c r="BT53" s="55"/>
      <c r="BU53" s="84"/>
      <c r="BV53" s="55"/>
      <c r="BW53" s="55"/>
      <c r="BX53" s="55"/>
      <c r="BY53" s="55"/>
      <c r="BZ53" s="55"/>
      <c r="CA53" s="55"/>
      <c r="CB53" s="55"/>
      <c r="CC53" s="55"/>
      <c r="CD53" s="55"/>
      <c r="CE53" s="55"/>
      <c r="CF53" s="55"/>
      <c r="CG53" s="55"/>
      <c r="CH53" s="55"/>
      <c r="CI53" s="55"/>
      <c r="CJ53" s="55"/>
      <c r="CK53" s="55"/>
      <c r="CL53" s="55"/>
      <c r="CM53" s="55"/>
      <c r="CN53" s="55"/>
      <c r="CO53" s="55"/>
      <c r="CP53" s="55"/>
      <c r="CQ53" s="55"/>
    </row>
    <row r="54" spans="1:95" s="35" customFormat="1" ht="12.75" customHeight="1">
      <c r="A54" s="44" t="s">
        <v>463</v>
      </c>
      <c r="B54" s="51"/>
      <c r="C54" s="44" t="s">
        <v>464</v>
      </c>
      <c r="D54" s="44"/>
      <c r="E54" s="53">
        <f t="shared" si="8"/>
        <v>4070750</v>
      </c>
      <c r="F54" s="53"/>
      <c r="G54" s="53">
        <v>7037709</v>
      </c>
      <c r="H54" s="53"/>
      <c r="I54" s="53">
        <v>11108459</v>
      </c>
      <c r="J54" s="53"/>
      <c r="K54" s="53">
        <f t="shared" si="1"/>
        <v>257813</v>
      </c>
      <c r="L54" s="53"/>
      <c r="M54" s="53">
        <v>1255855</v>
      </c>
      <c r="N54" s="53"/>
      <c r="O54" s="53">
        <v>1513668</v>
      </c>
      <c r="P54" s="53"/>
      <c r="Q54" s="53">
        <v>5749551</v>
      </c>
      <c r="R54" s="53"/>
      <c r="S54" s="53">
        <v>0</v>
      </c>
      <c r="T54" s="53"/>
      <c r="U54" s="53">
        <v>3845240</v>
      </c>
      <c r="V54" s="53"/>
      <c r="W54" s="53">
        <f t="shared" si="7"/>
        <v>9594791</v>
      </c>
      <c r="X54" s="51"/>
      <c r="Y54" s="51"/>
      <c r="Z54" s="44" t="s">
        <v>463</v>
      </c>
      <c r="AA54" s="51"/>
      <c r="AB54" s="44" t="s">
        <v>464</v>
      </c>
      <c r="AC54" s="51"/>
      <c r="AD54" s="53">
        <v>1570442</v>
      </c>
      <c r="AE54" s="53"/>
      <c r="AF54" s="53">
        <f>1300503-209065</f>
        <v>1091438</v>
      </c>
      <c r="AG54" s="53"/>
      <c r="AH54" s="53">
        <v>209065</v>
      </c>
      <c r="AI54" s="53"/>
      <c r="AJ54" s="45">
        <f t="shared" si="9"/>
        <v>269939</v>
      </c>
      <c r="AK54" s="45"/>
      <c r="AL54" s="53">
        <v>-104054</v>
      </c>
      <c r="AM54" s="45"/>
      <c r="AN54" s="53">
        <v>0</v>
      </c>
      <c r="AO54" s="53"/>
      <c r="AP54" s="53">
        <v>0</v>
      </c>
      <c r="AQ54" s="53"/>
      <c r="AR54" s="53">
        <v>0</v>
      </c>
      <c r="AS54" s="53"/>
      <c r="AT54" s="45">
        <f t="shared" si="4"/>
        <v>165885</v>
      </c>
      <c r="AU54" s="45"/>
      <c r="AV54" s="53">
        <v>0</v>
      </c>
      <c r="AW54" s="53"/>
      <c r="AX54" s="53">
        <v>0</v>
      </c>
      <c r="AY54" s="53"/>
      <c r="AZ54" s="53">
        <f t="shared" si="5"/>
        <v>3812937</v>
      </c>
      <c r="BA54" s="51"/>
      <c r="BB54" s="44" t="s">
        <v>463</v>
      </c>
      <c r="BC54" s="51"/>
      <c r="BD54" s="44" t="s">
        <v>464</v>
      </c>
      <c r="BE54" s="53"/>
      <c r="BF54" s="53">
        <v>0</v>
      </c>
      <c r="BG54" s="53"/>
      <c r="BH54" s="53">
        <v>0</v>
      </c>
      <c r="BI54" s="53"/>
      <c r="BJ54" s="53">
        <v>0</v>
      </c>
      <c r="BK54" s="53"/>
      <c r="BL54" s="53">
        <v>0</v>
      </c>
      <c r="BM54" s="53"/>
      <c r="BN54" s="53">
        <f t="shared" si="6"/>
        <v>0</v>
      </c>
      <c r="BO54" s="54"/>
      <c r="BS54" s="55"/>
      <c r="BT54" s="55"/>
      <c r="BU54" s="84"/>
      <c r="BV54" s="55"/>
      <c r="BW54" s="55"/>
      <c r="BX54" s="55"/>
      <c r="BY54" s="55"/>
      <c r="BZ54" s="55"/>
      <c r="CA54" s="55"/>
      <c r="CB54" s="55"/>
      <c r="CC54" s="55"/>
      <c r="CD54" s="55"/>
      <c r="CE54" s="55"/>
      <c r="CF54" s="55"/>
      <c r="CG54" s="55"/>
      <c r="CH54" s="55"/>
      <c r="CI54" s="55"/>
      <c r="CJ54" s="55"/>
      <c r="CK54" s="55"/>
      <c r="CL54" s="55"/>
      <c r="CM54" s="55"/>
      <c r="CN54" s="55"/>
      <c r="CO54" s="55"/>
      <c r="CP54" s="55"/>
      <c r="CQ54" s="55"/>
    </row>
    <row r="55" spans="1:95" s="35" customFormat="1" ht="12.75" customHeight="1">
      <c r="A55" s="35" t="s">
        <v>72</v>
      </c>
      <c r="B55" s="51"/>
      <c r="C55" s="35" t="s">
        <v>66</v>
      </c>
      <c r="D55" s="44"/>
      <c r="E55" s="53">
        <f t="shared" si="8"/>
        <v>195393</v>
      </c>
      <c r="F55" s="53"/>
      <c r="G55" s="53">
        <v>3813682</v>
      </c>
      <c r="H55" s="53"/>
      <c r="I55" s="53">
        <v>4009075</v>
      </c>
      <c r="J55" s="53"/>
      <c r="K55" s="53">
        <f t="shared" si="1"/>
        <v>830</v>
      </c>
      <c r="L55" s="53"/>
      <c r="M55" s="53">
        <v>4232359</v>
      </c>
      <c r="N55" s="53"/>
      <c r="O55" s="53">
        <v>4233189</v>
      </c>
      <c r="P55" s="53"/>
      <c r="Q55" s="53">
        <v>-418677</v>
      </c>
      <c r="R55" s="53"/>
      <c r="S55" s="53">
        <v>0</v>
      </c>
      <c r="T55" s="53"/>
      <c r="U55" s="53">
        <v>194563</v>
      </c>
      <c r="V55" s="53"/>
      <c r="W55" s="53">
        <f t="shared" si="7"/>
        <v>-224114</v>
      </c>
      <c r="X55" s="51"/>
      <c r="Y55" s="51"/>
      <c r="Z55" s="35" t="s">
        <v>72</v>
      </c>
      <c r="AA55" s="53"/>
      <c r="AB55" s="35" t="s">
        <v>66</v>
      </c>
      <c r="AC55" s="51"/>
      <c r="AD55" s="53">
        <v>112285</v>
      </c>
      <c r="AE55" s="53"/>
      <c r="AF55" s="53">
        <f>113795-69671</f>
        <v>44124</v>
      </c>
      <c r="AG55" s="53"/>
      <c r="AH55" s="53">
        <v>69671</v>
      </c>
      <c r="AI55" s="53"/>
      <c r="AJ55" s="45">
        <f t="shared" si="9"/>
        <v>-1510</v>
      </c>
      <c r="AK55" s="45"/>
      <c r="AL55" s="53">
        <v>0</v>
      </c>
      <c r="AM55" s="45"/>
      <c r="AN55" s="53">
        <v>0</v>
      </c>
      <c r="AO55" s="53"/>
      <c r="AP55" s="53">
        <v>0</v>
      </c>
      <c r="AQ55" s="53"/>
      <c r="AR55" s="53">
        <v>0</v>
      </c>
      <c r="AS55" s="53"/>
      <c r="AT55" s="45">
        <f t="shared" si="4"/>
        <v>-1510</v>
      </c>
      <c r="AU55" s="45"/>
      <c r="AV55" s="53">
        <v>0</v>
      </c>
      <c r="AW55" s="53"/>
      <c r="AX55" s="53">
        <v>0</v>
      </c>
      <c r="AY55" s="53"/>
      <c r="AZ55" s="53">
        <f t="shared" si="5"/>
        <v>194563</v>
      </c>
      <c r="BA55" s="51"/>
      <c r="BB55" s="35" t="s">
        <v>72</v>
      </c>
      <c r="BD55" s="35" t="s">
        <v>66</v>
      </c>
      <c r="BE55" s="53"/>
      <c r="BF55" s="53">
        <v>0</v>
      </c>
      <c r="BG55" s="53"/>
      <c r="BH55" s="53">
        <v>0</v>
      </c>
      <c r="BI55" s="53"/>
      <c r="BJ55" s="53">
        <v>7519865</v>
      </c>
      <c r="BK55" s="53"/>
      <c r="BL55" s="53">
        <v>0</v>
      </c>
      <c r="BM55" s="53"/>
      <c r="BN55" s="53">
        <f t="shared" si="6"/>
        <v>7519865</v>
      </c>
      <c r="BO55" s="54"/>
      <c r="BS55" s="55"/>
      <c r="BT55" s="55"/>
      <c r="BU55" s="84"/>
      <c r="BV55" s="55"/>
      <c r="BW55" s="55"/>
      <c r="BX55" s="55"/>
      <c r="BY55" s="55"/>
      <c r="BZ55" s="55"/>
      <c r="CA55" s="55"/>
      <c r="CB55" s="55"/>
      <c r="CC55" s="55"/>
      <c r="CD55" s="55"/>
      <c r="CE55" s="55"/>
      <c r="CF55" s="55"/>
      <c r="CG55" s="55"/>
      <c r="CH55" s="55"/>
      <c r="CI55" s="55"/>
      <c r="CJ55" s="55"/>
      <c r="CK55" s="55"/>
      <c r="CL55" s="55"/>
      <c r="CM55" s="55"/>
      <c r="CN55" s="55"/>
      <c r="CO55" s="55"/>
      <c r="CP55" s="55"/>
      <c r="CQ55" s="55"/>
    </row>
    <row r="56" spans="1:95" s="35" customFormat="1" ht="12.75" customHeight="1">
      <c r="A56" s="35" t="s">
        <v>73</v>
      </c>
      <c r="C56" s="35" t="s">
        <v>27</v>
      </c>
      <c r="D56" s="44"/>
      <c r="E56" s="53">
        <f t="shared" si="0"/>
        <v>308050000</v>
      </c>
      <c r="F56" s="53"/>
      <c r="G56" s="53">
        <v>1671500000</v>
      </c>
      <c r="H56" s="53"/>
      <c r="I56" s="53">
        <v>1979550000</v>
      </c>
      <c r="J56" s="53"/>
      <c r="K56" s="53">
        <f t="shared" si="1"/>
        <v>85740000</v>
      </c>
      <c r="L56" s="53"/>
      <c r="M56" s="53">
        <v>897518000</v>
      </c>
      <c r="N56" s="53"/>
      <c r="O56" s="53">
        <v>983258000</v>
      </c>
      <c r="P56" s="53"/>
      <c r="Q56" s="53">
        <v>433326000</v>
      </c>
      <c r="R56" s="53"/>
      <c r="S56" s="53">
        <f>216413000+98793000</f>
        <v>315206000</v>
      </c>
      <c r="T56" s="53"/>
      <c r="U56" s="53">
        <v>247760000</v>
      </c>
      <c r="V56" s="53"/>
      <c r="W56" s="53">
        <f t="shared" si="2"/>
        <v>996292000</v>
      </c>
      <c r="X56" s="51"/>
      <c r="Y56" s="51"/>
      <c r="Z56" s="35" t="s">
        <v>73</v>
      </c>
      <c r="AA56" s="53"/>
      <c r="AB56" s="35" t="s">
        <v>27</v>
      </c>
      <c r="AD56" s="53">
        <v>242181000</v>
      </c>
      <c r="AE56" s="53"/>
      <c r="AF56" s="53">
        <f>186708000-41857000</f>
        <v>144851000</v>
      </c>
      <c r="AG56" s="53"/>
      <c r="AH56" s="53">
        <v>41857000</v>
      </c>
      <c r="AI56" s="53"/>
      <c r="AJ56" s="45">
        <f t="shared" ref="AJ56:AJ81" si="10">+AD56-AF56-AH56</f>
        <v>55473000</v>
      </c>
      <c r="AK56" s="45"/>
      <c r="AL56" s="53">
        <v>40608000</v>
      </c>
      <c r="AM56" s="45"/>
      <c r="AN56" s="53">
        <v>0</v>
      </c>
      <c r="AO56" s="53"/>
      <c r="AP56" s="53">
        <v>0</v>
      </c>
      <c r="AQ56" s="53"/>
      <c r="AR56" s="53">
        <v>82000</v>
      </c>
      <c r="AS56" s="53"/>
      <c r="AT56" s="45">
        <f t="shared" ref="AT56:AT81" si="11">+AJ56+AL56+AN56-AP56+AR56</f>
        <v>96163000</v>
      </c>
      <c r="AU56" s="45"/>
      <c r="AV56" s="53">
        <v>0</v>
      </c>
      <c r="AW56" s="53"/>
      <c r="AX56" s="53">
        <v>0</v>
      </c>
      <c r="AY56" s="53"/>
      <c r="AZ56" s="53">
        <f t="shared" ref="AZ56:AZ81" si="12">E56-K56</f>
        <v>222310000</v>
      </c>
      <c r="BA56" s="51"/>
      <c r="BB56" s="35" t="s">
        <v>73</v>
      </c>
      <c r="BD56" s="35" t="s">
        <v>27</v>
      </c>
      <c r="BE56" s="53"/>
      <c r="BF56" s="53">
        <v>2238337000</v>
      </c>
      <c r="BG56" s="53"/>
      <c r="BH56" s="53">
        <v>0</v>
      </c>
      <c r="BI56" s="53"/>
      <c r="BJ56" s="53">
        <v>0</v>
      </c>
      <c r="BK56" s="53"/>
      <c r="BL56" s="53">
        <v>0</v>
      </c>
      <c r="BM56" s="53"/>
      <c r="BN56" s="53">
        <f t="shared" si="6"/>
        <v>2238337000</v>
      </c>
      <c r="BO56" s="54"/>
      <c r="BS56" s="55"/>
      <c r="BT56" s="55"/>
      <c r="BU56" s="84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</row>
    <row r="57" spans="1:95" s="126" customFormat="1" ht="12.75" hidden="1" customHeight="1">
      <c r="A57" s="126" t="s">
        <v>74</v>
      </c>
      <c r="B57" s="124"/>
      <c r="C57" s="126" t="s">
        <v>27</v>
      </c>
      <c r="D57" s="121"/>
      <c r="E57" s="140">
        <f t="shared" si="0"/>
        <v>0</v>
      </c>
      <c r="F57" s="140"/>
      <c r="G57" s="140"/>
      <c r="H57" s="140"/>
      <c r="I57" s="140"/>
      <c r="J57" s="140"/>
      <c r="K57" s="140">
        <f t="shared" si="1"/>
        <v>0</v>
      </c>
      <c r="L57" s="140"/>
      <c r="M57" s="140"/>
      <c r="N57" s="140"/>
      <c r="O57" s="140"/>
      <c r="P57" s="140"/>
      <c r="Q57" s="140"/>
      <c r="R57" s="140"/>
      <c r="S57" s="140">
        <v>0</v>
      </c>
      <c r="T57" s="140"/>
      <c r="U57" s="140"/>
      <c r="V57" s="140"/>
      <c r="W57" s="140">
        <f t="shared" si="2"/>
        <v>0</v>
      </c>
      <c r="X57" s="124"/>
      <c r="Y57" s="124"/>
      <c r="Z57" s="126" t="s">
        <v>74</v>
      </c>
      <c r="AA57" s="140"/>
      <c r="AB57" s="126" t="s">
        <v>27</v>
      </c>
      <c r="AC57" s="124"/>
      <c r="AD57" s="140"/>
      <c r="AE57" s="140"/>
      <c r="AF57" s="140"/>
      <c r="AG57" s="140"/>
      <c r="AH57" s="140"/>
      <c r="AI57" s="140"/>
      <c r="AJ57" s="127">
        <f t="shared" si="10"/>
        <v>0</v>
      </c>
      <c r="AK57" s="127"/>
      <c r="AL57" s="140"/>
      <c r="AM57" s="127"/>
      <c r="AN57" s="140"/>
      <c r="AO57" s="140"/>
      <c r="AP57" s="140"/>
      <c r="AQ57" s="140"/>
      <c r="AR57" s="140"/>
      <c r="AS57" s="140"/>
      <c r="AT57" s="127">
        <f t="shared" si="11"/>
        <v>0</v>
      </c>
      <c r="AU57" s="127"/>
      <c r="AV57" s="140">
        <v>0</v>
      </c>
      <c r="AW57" s="140"/>
      <c r="AX57" s="140">
        <v>0</v>
      </c>
      <c r="AY57" s="140"/>
      <c r="AZ57" s="140">
        <f t="shared" si="12"/>
        <v>0</v>
      </c>
      <c r="BA57" s="124"/>
      <c r="BB57" s="126" t="s">
        <v>74</v>
      </c>
      <c r="BD57" s="126" t="s">
        <v>27</v>
      </c>
      <c r="BE57" s="140"/>
      <c r="BF57" s="140"/>
      <c r="BG57" s="140"/>
      <c r="BH57" s="140"/>
      <c r="BI57" s="140"/>
      <c r="BJ57" s="140"/>
      <c r="BK57" s="140"/>
      <c r="BL57" s="140"/>
      <c r="BM57" s="140"/>
      <c r="BN57" s="140">
        <f t="shared" si="6"/>
        <v>0</v>
      </c>
      <c r="BO57" s="142"/>
      <c r="BS57" s="143"/>
      <c r="BT57" s="143"/>
      <c r="BU57" s="144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</row>
    <row r="58" spans="1:95" s="35" customFormat="1" ht="12.75" customHeight="1">
      <c r="A58" s="35" t="s">
        <v>75</v>
      </c>
      <c r="B58" s="51"/>
      <c r="C58" s="35" t="s">
        <v>76</v>
      </c>
      <c r="D58" s="44"/>
      <c r="E58" s="53">
        <f t="shared" si="0"/>
        <v>1372033</v>
      </c>
      <c r="F58" s="53"/>
      <c r="G58" s="53">
        <v>14013579</v>
      </c>
      <c r="H58" s="53"/>
      <c r="I58" s="53">
        <v>15385612</v>
      </c>
      <c r="J58" s="53"/>
      <c r="K58" s="53">
        <f t="shared" si="1"/>
        <v>473199</v>
      </c>
      <c r="L58" s="53"/>
      <c r="M58" s="53">
        <v>6415377</v>
      </c>
      <c r="N58" s="53"/>
      <c r="O58" s="53">
        <v>6888576</v>
      </c>
      <c r="P58" s="53"/>
      <c r="Q58" s="53">
        <v>6497686</v>
      </c>
      <c r="R58" s="53"/>
      <c r="S58" s="53">
        <v>893666</v>
      </c>
      <c r="T58" s="53"/>
      <c r="U58" s="53">
        <v>1105684</v>
      </c>
      <c r="V58" s="53"/>
      <c r="W58" s="53">
        <f t="shared" si="2"/>
        <v>8497036</v>
      </c>
      <c r="X58" s="51"/>
      <c r="Y58" s="51"/>
      <c r="Z58" s="35" t="s">
        <v>75</v>
      </c>
      <c r="AA58" s="53"/>
      <c r="AB58" s="35" t="s">
        <v>76</v>
      </c>
      <c r="AC58" s="51"/>
      <c r="AD58" s="53">
        <v>2439903</v>
      </c>
      <c r="AE58" s="53"/>
      <c r="AF58" s="53">
        <f>2392070-590831</f>
        <v>1801239</v>
      </c>
      <c r="AG58" s="53"/>
      <c r="AH58" s="53">
        <v>590831</v>
      </c>
      <c r="AI58" s="53"/>
      <c r="AJ58" s="45">
        <f t="shared" si="10"/>
        <v>47833</v>
      </c>
      <c r="AK58" s="45"/>
      <c r="AL58" s="53">
        <v>-428092</v>
      </c>
      <c r="AM58" s="45"/>
      <c r="AN58" s="53">
        <v>0</v>
      </c>
      <c r="AO58" s="53"/>
      <c r="AP58" s="53">
        <v>56000</v>
      </c>
      <c r="AQ58" s="53"/>
      <c r="AR58" s="53">
        <v>0</v>
      </c>
      <c r="AS58" s="53"/>
      <c r="AT58" s="45">
        <f t="shared" si="11"/>
        <v>-436259</v>
      </c>
      <c r="AU58" s="45"/>
      <c r="AV58" s="53">
        <v>0</v>
      </c>
      <c r="AW58" s="53"/>
      <c r="AX58" s="53">
        <v>0</v>
      </c>
      <c r="AY58" s="53"/>
      <c r="AZ58" s="53">
        <f t="shared" si="12"/>
        <v>898834</v>
      </c>
      <c r="BA58" s="51"/>
      <c r="BB58" s="35" t="s">
        <v>75</v>
      </c>
      <c r="BD58" s="35" t="s">
        <v>76</v>
      </c>
      <c r="BE58" s="53"/>
      <c r="BF58" s="53">
        <v>4975000</v>
      </c>
      <c r="BG58" s="53"/>
      <c r="BH58" s="53">
        <v>645000</v>
      </c>
      <c r="BI58" s="53"/>
      <c r="BJ58" s="53">
        <v>1041377</v>
      </c>
      <c r="BK58" s="53"/>
      <c r="BL58" s="53">
        <v>138466</v>
      </c>
      <c r="BM58" s="53"/>
      <c r="BN58" s="53">
        <f t="shared" si="6"/>
        <v>6799843</v>
      </c>
      <c r="BO58" s="54"/>
      <c r="BS58" s="55"/>
      <c r="BT58" s="55"/>
      <c r="BU58" s="84"/>
      <c r="BV58" s="55"/>
      <c r="BW58" s="55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55"/>
      <c r="CI58" s="55"/>
      <c r="CJ58" s="55"/>
      <c r="CK58" s="55"/>
      <c r="CL58" s="55"/>
      <c r="CM58" s="55"/>
      <c r="CN58" s="55"/>
      <c r="CO58" s="55"/>
      <c r="CP58" s="55"/>
      <c r="CQ58" s="55"/>
    </row>
    <row r="59" spans="1:95" s="35" customFormat="1" ht="12.75" customHeight="1">
      <c r="A59" s="35" t="s">
        <v>77</v>
      </c>
      <c r="B59" s="51"/>
      <c r="C59" s="35" t="s">
        <v>43</v>
      </c>
      <c r="D59" s="44"/>
      <c r="E59" s="53">
        <f t="shared" si="0"/>
        <v>178541000</v>
      </c>
      <c r="F59" s="53"/>
      <c r="G59" s="53">
        <v>424046000</v>
      </c>
      <c r="H59" s="53"/>
      <c r="I59" s="53">
        <v>602587000</v>
      </c>
      <c r="J59" s="53"/>
      <c r="K59" s="53">
        <f t="shared" si="1"/>
        <v>56745000</v>
      </c>
      <c r="L59" s="53"/>
      <c r="M59" s="53">
        <v>305608000</v>
      </c>
      <c r="N59" s="53"/>
      <c r="O59" s="53">
        <v>362353000</v>
      </c>
      <c r="P59" s="53"/>
      <c r="Q59" s="53">
        <v>187252000</v>
      </c>
      <c r="R59" s="53"/>
      <c r="S59" s="53">
        <v>1911000</v>
      </c>
      <c r="T59" s="53"/>
      <c r="U59" s="53">
        <v>51071000</v>
      </c>
      <c r="V59" s="53"/>
      <c r="W59" s="53">
        <f t="shared" si="2"/>
        <v>240234000</v>
      </c>
      <c r="Z59" s="35" t="s">
        <v>77</v>
      </c>
      <c r="AA59" s="53"/>
      <c r="AB59" s="35" t="s">
        <v>43</v>
      </c>
      <c r="AC59" s="51"/>
      <c r="AD59" s="53">
        <v>140927000</v>
      </c>
      <c r="AE59" s="53"/>
      <c r="AF59" s="53">
        <f>110737000-16639000</f>
        <v>94098000</v>
      </c>
      <c r="AG59" s="53"/>
      <c r="AH59" s="53">
        <v>16639000</v>
      </c>
      <c r="AI59" s="53"/>
      <c r="AJ59" s="45">
        <f t="shared" si="10"/>
        <v>30190000</v>
      </c>
      <c r="AK59" s="45"/>
      <c r="AL59" s="53">
        <v>-9614000</v>
      </c>
      <c r="AM59" s="45"/>
      <c r="AN59" s="53">
        <v>744000</v>
      </c>
      <c r="AO59" s="53"/>
      <c r="AP59" s="53">
        <v>473000</v>
      </c>
      <c r="AQ59" s="53"/>
      <c r="AR59" s="53">
        <v>0</v>
      </c>
      <c r="AS59" s="53"/>
      <c r="AT59" s="45">
        <f t="shared" si="11"/>
        <v>20847000</v>
      </c>
      <c r="AU59" s="45"/>
      <c r="AV59" s="53">
        <v>0</v>
      </c>
      <c r="AW59" s="53"/>
      <c r="AX59" s="53">
        <v>0</v>
      </c>
      <c r="AY59" s="53"/>
      <c r="AZ59" s="53">
        <f t="shared" si="12"/>
        <v>121796000</v>
      </c>
      <c r="BA59" s="51"/>
      <c r="BB59" s="35" t="s">
        <v>77</v>
      </c>
      <c r="BD59" s="35" t="s">
        <v>43</v>
      </c>
      <c r="BE59" s="53"/>
      <c r="BF59" s="53">
        <f>278155000+25715000+15075000</f>
        <v>318945000</v>
      </c>
      <c r="BG59" s="53"/>
      <c r="BH59" s="53">
        <v>0</v>
      </c>
      <c r="BI59" s="53"/>
      <c r="BJ59" s="53">
        <v>7731000</v>
      </c>
      <c r="BK59" s="53"/>
      <c r="BL59" s="53">
        <v>0</v>
      </c>
      <c r="BM59" s="53"/>
      <c r="BN59" s="53">
        <f t="shared" si="6"/>
        <v>326676000</v>
      </c>
      <c r="BO59" s="54"/>
      <c r="BS59" s="55"/>
      <c r="BT59" s="55"/>
      <c r="BU59" s="84"/>
      <c r="BV59" s="55"/>
      <c r="BW59" s="55"/>
      <c r="BX59" s="55"/>
      <c r="BY59" s="55"/>
      <c r="BZ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L59" s="55"/>
      <c r="CM59" s="55"/>
      <c r="CN59" s="55"/>
      <c r="CO59" s="55"/>
      <c r="CP59" s="55"/>
      <c r="CQ59" s="55"/>
    </row>
    <row r="60" spans="1:95" s="35" customFormat="1" ht="12.75" customHeight="1">
      <c r="A60" s="35" t="s">
        <v>94</v>
      </c>
      <c r="B60" s="51"/>
      <c r="C60" s="35" t="s">
        <v>94</v>
      </c>
      <c r="D60" s="44"/>
      <c r="E60" s="53">
        <f>I60-G60</f>
        <v>1920674</v>
      </c>
      <c r="F60" s="53"/>
      <c r="G60" s="53">
        <v>2416898</v>
      </c>
      <c r="H60" s="53"/>
      <c r="I60" s="53">
        <v>4337572</v>
      </c>
      <c r="J60" s="53"/>
      <c r="K60" s="53">
        <f>O60-M60</f>
        <v>2326252</v>
      </c>
      <c r="L60" s="53"/>
      <c r="M60" s="53">
        <v>195401</v>
      </c>
      <c r="N60" s="53"/>
      <c r="O60" s="53">
        <v>2521653</v>
      </c>
      <c r="P60" s="53"/>
      <c r="Q60" s="53">
        <v>1126993</v>
      </c>
      <c r="R60" s="53"/>
      <c r="S60" s="53">
        <v>0</v>
      </c>
      <c r="T60" s="53"/>
      <c r="U60" s="53">
        <v>688926</v>
      </c>
      <c r="V60" s="53"/>
      <c r="W60" s="53">
        <f>SUM(Q60:U60)</f>
        <v>1815919</v>
      </c>
      <c r="X60" s="51"/>
      <c r="Y60" s="51"/>
      <c r="Z60" s="35" t="str">
        <f>+A60</f>
        <v>Columbiana</v>
      </c>
      <c r="AA60" s="53"/>
      <c r="AB60" s="35" t="s">
        <v>94</v>
      </c>
      <c r="AC60" s="51"/>
      <c r="AD60" s="53">
        <v>1158092</v>
      </c>
      <c r="AE60" s="53"/>
      <c r="AF60" s="53">
        <f>918418-78259</f>
        <v>840159</v>
      </c>
      <c r="AG60" s="53"/>
      <c r="AH60" s="53">
        <v>78259</v>
      </c>
      <c r="AI60" s="53"/>
      <c r="AJ60" s="45">
        <f t="shared" si="10"/>
        <v>239674</v>
      </c>
      <c r="AK60" s="45"/>
      <c r="AL60" s="53">
        <v>-105205</v>
      </c>
      <c r="AM60" s="45"/>
      <c r="AN60" s="53">
        <v>0</v>
      </c>
      <c r="AO60" s="53"/>
      <c r="AP60" s="53">
        <v>5379</v>
      </c>
      <c r="AQ60" s="53"/>
      <c r="AR60" s="53">
        <v>0</v>
      </c>
      <c r="AS60" s="53"/>
      <c r="AT60" s="45">
        <f t="shared" si="11"/>
        <v>129090</v>
      </c>
      <c r="AU60" s="45"/>
      <c r="AV60" s="53">
        <v>0</v>
      </c>
      <c r="AW60" s="53"/>
      <c r="AX60" s="53">
        <v>0</v>
      </c>
      <c r="AY60" s="53"/>
      <c r="AZ60" s="53">
        <f t="shared" si="12"/>
        <v>-405578</v>
      </c>
      <c r="BA60" s="51"/>
      <c r="BB60" s="35" t="str">
        <f>+Z60</f>
        <v>Columbiana</v>
      </c>
      <c r="BD60" s="35" t="s">
        <v>94</v>
      </c>
      <c r="BE60" s="53"/>
      <c r="BF60" s="53">
        <v>185000</v>
      </c>
      <c r="BG60" s="53"/>
      <c r="BH60" s="53">
        <v>7002200</v>
      </c>
      <c r="BI60" s="53"/>
      <c r="BJ60" s="53">
        <v>0</v>
      </c>
      <c r="BK60" s="53"/>
      <c r="BL60" s="53">
        <v>108397</v>
      </c>
      <c r="BM60" s="53"/>
      <c r="BN60" s="53">
        <f>SUM(BF60:BL60)</f>
        <v>7295597</v>
      </c>
      <c r="BO60" s="54"/>
      <c r="BS60" s="55"/>
      <c r="BT60" s="55"/>
      <c r="BU60" s="84"/>
      <c r="BV60" s="55"/>
      <c r="BW60" s="55"/>
      <c r="BX60" s="55"/>
      <c r="BY60" s="55"/>
      <c r="BZ60" s="55"/>
      <c r="CA60" s="55"/>
      <c r="CB60" s="55"/>
      <c r="CC60" s="55"/>
      <c r="CD60" s="55"/>
      <c r="CE60" s="55"/>
      <c r="CF60" s="55"/>
      <c r="CG60" s="55"/>
      <c r="CH60" s="55"/>
      <c r="CI60" s="55"/>
      <c r="CJ60" s="55"/>
      <c r="CK60" s="55"/>
      <c r="CL60" s="55"/>
      <c r="CM60" s="55"/>
      <c r="CN60" s="55"/>
      <c r="CO60" s="55"/>
      <c r="CP60" s="55"/>
      <c r="CQ60" s="55"/>
    </row>
    <row r="61" spans="1:95" s="35" customFormat="1" ht="12.75" customHeight="1">
      <c r="A61" s="35" t="s">
        <v>78</v>
      </c>
      <c r="B61" s="51"/>
      <c r="C61" s="35" t="s">
        <v>19</v>
      </c>
      <c r="D61" s="44"/>
      <c r="E61" s="53">
        <f t="shared" si="0"/>
        <v>803359</v>
      </c>
      <c r="F61" s="53"/>
      <c r="G61" s="53">
        <v>6627485</v>
      </c>
      <c r="H61" s="53"/>
      <c r="I61" s="53">
        <v>7430844</v>
      </c>
      <c r="J61" s="53"/>
      <c r="K61" s="53">
        <f t="shared" si="1"/>
        <v>296269</v>
      </c>
      <c r="L61" s="53"/>
      <c r="M61" s="53">
        <v>1276341</v>
      </c>
      <c r="N61" s="53"/>
      <c r="O61" s="53">
        <v>1572610</v>
      </c>
      <c r="P61" s="53"/>
      <c r="Q61" s="53">
        <v>5324504</v>
      </c>
      <c r="R61" s="53"/>
      <c r="S61" s="53">
        <v>0</v>
      </c>
      <c r="T61" s="53"/>
      <c r="U61" s="53">
        <v>533730</v>
      </c>
      <c r="V61" s="53"/>
      <c r="W61" s="53">
        <f t="shared" si="2"/>
        <v>5858234</v>
      </c>
      <c r="Z61" s="35" t="s">
        <v>78</v>
      </c>
      <c r="AA61" s="53"/>
      <c r="AB61" s="35" t="s">
        <v>19</v>
      </c>
      <c r="AC61" s="51"/>
      <c r="AD61" s="53">
        <v>1953085</v>
      </c>
      <c r="AE61" s="53"/>
      <c r="AF61" s="53">
        <f>1705791-201194</f>
        <v>1504597</v>
      </c>
      <c r="AG61" s="53"/>
      <c r="AH61" s="53">
        <v>201194</v>
      </c>
      <c r="AI61" s="53"/>
      <c r="AJ61" s="45">
        <f t="shared" si="10"/>
        <v>247294</v>
      </c>
      <c r="AK61" s="45"/>
      <c r="AL61" s="53">
        <v>-49370</v>
      </c>
      <c r="AM61" s="45"/>
      <c r="AN61" s="53">
        <v>0</v>
      </c>
      <c r="AO61" s="53"/>
      <c r="AP61" s="53">
        <v>0</v>
      </c>
      <c r="AQ61" s="53"/>
      <c r="AR61" s="53">
        <v>4040</v>
      </c>
      <c r="AS61" s="53"/>
      <c r="AT61" s="45">
        <f t="shared" si="11"/>
        <v>201964</v>
      </c>
      <c r="AU61" s="45"/>
      <c r="AV61" s="53">
        <v>0</v>
      </c>
      <c r="AW61" s="53"/>
      <c r="AX61" s="53">
        <v>0</v>
      </c>
      <c r="AY61" s="53"/>
      <c r="AZ61" s="53">
        <f t="shared" si="12"/>
        <v>507090</v>
      </c>
      <c r="BA61" s="51"/>
      <c r="BB61" s="35" t="s">
        <v>78</v>
      </c>
      <c r="BD61" s="35" t="s">
        <v>19</v>
      </c>
      <c r="BE61" s="53"/>
      <c r="BF61" s="53">
        <v>0</v>
      </c>
      <c r="BG61" s="53"/>
      <c r="BH61" s="53">
        <v>0</v>
      </c>
      <c r="BI61" s="53"/>
      <c r="BJ61" s="53">
        <f>4432181+384536+670000+1141</f>
        <v>5487858</v>
      </c>
      <c r="BK61" s="53"/>
      <c r="BL61" s="53">
        <v>364554</v>
      </c>
      <c r="BM61" s="53"/>
      <c r="BN61" s="53">
        <f t="shared" si="6"/>
        <v>5852412</v>
      </c>
      <c r="BO61" s="54"/>
      <c r="BS61" s="55"/>
      <c r="BT61" s="55"/>
      <c r="BU61" s="84"/>
      <c r="BV61" s="55"/>
      <c r="BW61" s="55"/>
      <c r="BX61" s="55"/>
      <c r="BY61" s="55"/>
      <c r="BZ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L61" s="55"/>
      <c r="CM61" s="55"/>
      <c r="CN61" s="55"/>
      <c r="CO61" s="55"/>
      <c r="CP61" s="55"/>
      <c r="CQ61" s="55"/>
    </row>
    <row r="62" spans="1:95" s="35" customFormat="1" ht="12.75" customHeight="1">
      <c r="A62" s="35" t="s">
        <v>79</v>
      </c>
      <c r="C62" s="35" t="s">
        <v>80</v>
      </c>
      <c r="D62" s="44"/>
      <c r="E62" s="53">
        <f t="shared" si="0"/>
        <v>251915</v>
      </c>
      <c r="F62" s="53"/>
      <c r="G62" s="53">
        <v>3750849</v>
      </c>
      <c r="H62" s="53"/>
      <c r="I62" s="53">
        <v>4002764</v>
      </c>
      <c r="J62" s="53"/>
      <c r="K62" s="53">
        <f t="shared" si="1"/>
        <v>54080</v>
      </c>
      <c r="L62" s="53"/>
      <c r="M62" s="53">
        <v>457417</v>
      </c>
      <c r="N62" s="53"/>
      <c r="O62" s="53">
        <v>511497</v>
      </c>
      <c r="P62" s="53"/>
      <c r="Q62" s="53">
        <v>3287906</v>
      </c>
      <c r="R62" s="53"/>
      <c r="S62" s="53">
        <v>0</v>
      </c>
      <c r="T62" s="53"/>
      <c r="U62" s="53">
        <v>203361</v>
      </c>
      <c r="V62" s="53"/>
      <c r="W62" s="53">
        <f t="shared" si="2"/>
        <v>3491267</v>
      </c>
      <c r="X62" s="51"/>
      <c r="Y62" s="51"/>
      <c r="Z62" s="35" t="s">
        <v>79</v>
      </c>
      <c r="AA62" s="53"/>
      <c r="AB62" s="35" t="s">
        <v>80</v>
      </c>
      <c r="AD62" s="53">
        <v>571293</v>
      </c>
      <c r="AE62" s="53"/>
      <c r="AF62" s="53">
        <f>604791-121636</f>
        <v>483155</v>
      </c>
      <c r="AG62" s="53"/>
      <c r="AH62" s="53">
        <v>121636</v>
      </c>
      <c r="AI62" s="53"/>
      <c r="AJ62" s="45">
        <f t="shared" si="10"/>
        <v>-33498</v>
      </c>
      <c r="AK62" s="45"/>
      <c r="AL62" s="53">
        <v>-3695</v>
      </c>
      <c r="AM62" s="45"/>
      <c r="AN62" s="53">
        <v>0</v>
      </c>
      <c r="AO62" s="53"/>
      <c r="AP62" s="53">
        <v>0</v>
      </c>
      <c r="AQ62" s="53"/>
      <c r="AR62" s="53">
        <v>0</v>
      </c>
      <c r="AS62" s="53"/>
      <c r="AT62" s="45">
        <f t="shared" si="11"/>
        <v>-37193</v>
      </c>
      <c r="AU62" s="45"/>
      <c r="AV62" s="53">
        <v>0</v>
      </c>
      <c r="AW62" s="53"/>
      <c r="AX62" s="53">
        <v>0</v>
      </c>
      <c r="AY62" s="53"/>
      <c r="AZ62" s="53">
        <f t="shared" si="12"/>
        <v>197835</v>
      </c>
      <c r="BA62" s="51"/>
      <c r="BB62" s="35" t="s">
        <v>79</v>
      </c>
      <c r="BD62" s="35" t="s">
        <v>80</v>
      </c>
      <c r="BE62" s="53"/>
      <c r="BF62" s="53">
        <v>0</v>
      </c>
      <c r="BG62" s="53"/>
      <c r="BH62" s="53">
        <v>0</v>
      </c>
      <c r="BI62" s="53"/>
      <c r="BJ62" s="53">
        <v>670287</v>
      </c>
      <c r="BK62" s="53"/>
      <c r="BL62" s="53">
        <v>53522</v>
      </c>
      <c r="BM62" s="53"/>
      <c r="BN62" s="53">
        <f t="shared" si="6"/>
        <v>723809</v>
      </c>
      <c r="BO62" s="54"/>
      <c r="BS62" s="55"/>
      <c r="BT62" s="55"/>
      <c r="BU62" s="84"/>
      <c r="BV62" s="55"/>
      <c r="BW62" s="55"/>
      <c r="BX62" s="55"/>
      <c r="BY62" s="55"/>
      <c r="BZ62" s="55"/>
      <c r="CA62" s="55"/>
      <c r="CB62" s="55"/>
      <c r="CC62" s="55"/>
      <c r="CD62" s="55"/>
      <c r="CE62" s="55"/>
      <c r="CF62" s="55"/>
      <c r="CG62" s="55"/>
      <c r="CH62" s="55"/>
      <c r="CI62" s="55"/>
      <c r="CJ62" s="55"/>
      <c r="CK62" s="55"/>
      <c r="CL62" s="55"/>
      <c r="CM62" s="55"/>
      <c r="CN62" s="55"/>
      <c r="CO62" s="55"/>
      <c r="CP62" s="55"/>
      <c r="CQ62" s="55"/>
    </row>
    <row r="63" spans="1:95" s="35" customFormat="1" ht="12.75" customHeight="1">
      <c r="A63" s="35" t="s">
        <v>81</v>
      </c>
      <c r="C63" s="35" t="s">
        <v>81</v>
      </c>
      <c r="D63" s="44"/>
      <c r="E63" s="53">
        <f t="shared" si="0"/>
        <v>1468442</v>
      </c>
      <c r="F63" s="53"/>
      <c r="G63" s="53">
        <v>11804318</v>
      </c>
      <c r="H63" s="53"/>
      <c r="I63" s="53">
        <v>13272760</v>
      </c>
      <c r="J63" s="53"/>
      <c r="K63" s="53">
        <f t="shared" si="1"/>
        <v>1114873</v>
      </c>
      <c r="L63" s="53"/>
      <c r="M63" s="53">
        <v>8700785</v>
      </c>
      <c r="N63" s="53"/>
      <c r="O63" s="53">
        <v>9815658</v>
      </c>
      <c r="P63" s="53"/>
      <c r="Q63" s="53">
        <v>3150750</v>
      </c>
      <c r="R63" s="53"/>
      <c r="S63" s="53">
        <v>0</v>
      </c>
      <c r="T63" s="53"/>
      <c r="U63" s="53">
        <v>306352</v>
      </c>
      <c r="V63" s="53"/>
      <c r="W63" s="53">
        <f t="shared" si="2"/>
        <v>3457102</v>
      </c>
      <c r="X63" s="51"/>
      <c r="Y63" s="51"/>
      <c r="Z63" s="35" t="s">
        <v>81</v>
      </c>
      <c r="AA63" s="53"/>
      <c r="AB63" s="35" t="s">
        <v>81</v>
      </c>
      <c r="AD63" s="53">
        <v>3202755</v>
      </c>
      <c r="AE63" s="53"/>
      <c r="AF63" s="53">
        <f>2479434-180393</f>
        <v>2299041</v>
      </c>
      <c r="AG63" s="53"/>
      <c r="AH63" s="53">
        <v>180393</v>
      </c>
      <c r="AI63" s="53"/>
      <c r="AJ63" s="45">
        <f t="shared" si="10"/>
        <v>723321</v>
      </c>
      <c r="AK63" s="45"/>
      <c r="AL63" s="53">
        <v>-324015</v>
      </c>
      <c r="AM63" s="45"/>
      <c r="AN63" s="53">
        <v>0</v>
      </c>
      <c r="AO63" s="53"/>
      <c r="AP63" s="53">
        <v>0</v>
      </c>
      <c r="AQ63" s="53"/>
      <c r="AR63" s="53">
        <v>0</v>
      </c>
      <c r="AS63" s="53"/>
      <c r="AT63" s="45">
        <f t="shared" si="11"/>
        <v>399306</v>
      </c>
      <c r="AU63" s="45"/>
      <c r="AV63" s="53">
        <v>0</v>
      </c>
      <c r="AW63" s="53"/>
      <c r="AX63" s="53">
        <v>0</v>
      </c>
      <c r="AY63" s="53"/>
      <c r="AZ63" s="53">
        <f t="shared" si="12"/>
        <v>353569</v>
      </c>
      <c r="BA63" s="51"/>
      <c r="BB63" s="35" t="s">
        <v>81</v>
      </c>
      <c r="BD63" s="35" t="s">
        <v>81</v>
      </c>
      <c r="BE63" s="53"/>
      <c r="BF63" s="53">
        <v>0</v>
      </c>
      <c r="BG63" s="53"/>
      <c r="BH63" s="53">
        <v>0</v>
      </c>
      <c r="BI63" s="53"/>
      <c r="BJ63" s="53">
        <v>15769281</v>
      </c>
      <c r="BK63" s="53"/>
      <c r="BL63" s="53">
        <v>316562</v>
      </c>
      <c r="BM63" s="53"/>
      <c r="BN63" s="53">
        <f t="shared" si="6"/>
        <v>16085843</v>
      </c>
      <c r="BO63" s="54"/>
      <c r="BS63" s="55"/>
      <c r="BT63" s="55"/>
      <c r="BU63" s="84"/>
      <c r="BV63" s="55"/>
      <c r="BW63" s="55"/>
      <c r="BX63" s="55"/>
      <c r="BY63" s="55"/>
      <c r="BZ63" s="55"/>
      <c r="CA63" s="55"/>
      <c r="CB63" s="55"/>
      <c r="CC63" s="55"/>
      <c r="CD63" s="55"/>
      <c r="CE63" s="55"/>
      <c r="CF63" s="55"/>
      <c r="CG63" s="55"/>
      <c r="CH63" s="55"/>
      <c r="CI63" s="55"/>
      <c r="CJ63" s="55"/>
      <c r="CK63" s="55"/>
      <c r="CL63" s="55"/>
      <c r="CM63" s="55"/>
      <c r="CN63" s="55"/>
      <c r="CO63" s="55"/>
      <c r="CP63" s="55"/>
      <c r="CQ63" s="55"/>
    </row>
    <row r="64" spans="1:95" s="35" customFormat="1" ht="12.75" customHeight="1">
      <c r="A64" s="47" t="s">
        <v>465</v>
      </c>
      <c r="B64" s="47"/>
      <c r="C64" s="47" t="s">
        <v>57</v>
      </c>
      <c r="D64" s="44"/>
      <c r="E64" s="53">
        <f t="shared" si="0"/>
        <v>3099420</v>
      </c>
      <c r="F64" s="53"/>
      <c r="G64" s="53">
        <v>762336</v>
      </c>
      <c r="H64" s="53"/>
      <c r="I64" s="53">
        <v>3861756</v>
      </c>
      <c r="J64" s="53"/>
      <c r="K64" s="53">
        <f t="shared" si="1"/>
        <v>178950</v>
      </c>
      <c r="L64" s="53"/>
      <c r="M64" s="53">
        <v>311525</v>
      </c>
      <c r="N64" s="53"/>
      <c r="O64" s="53">
        <v>490475</v>
      </c>
      <c r="P64" s="53"/>
      <c r="Q64" s="53">
        <v>2429537</v>
      </c>
      <c r="R64" s="53"/>
      <c r="S64" s="53">
        <f>60000+15000+174883</f>
        <v>249883</v>
      </c>
      <c r="T64" s="53"/>
      <c r="U64" s="53">
        <v>691861</v>
      </c>
      <c r="V64" s="53"/>
      <c r="W64" s="53">
        <f t="shared" si="2"/>
        <v>3371281</v>
      </c>
      <c r="X64" s="51"/>
      <c r="Y64" s="51"/>
      <c r="Z64" s="47" t="s">
        <v>465</v>
      </c>
      <c r="AA64" s="47"/>
      <c r="AB64" s="47" t="s">
        <v>57</v>
      </c>
      <c r="AC64" s="51"/>
      <c r="AD64" s="53">
        <v>968218</v>
      </c>
      <c r="AE64" s="53"/>
      <c r="AF64" s="53">
        <f>683947-105010</f>
        <v>578937</v>
      </c>
      <c r="AG64" s="53"/>
      <c r="AH64" s="53">
        <v>105010</v>
      </c>
      <c r="AI64" s="53"/>
      <c r="AJ64" s="45">
        <f t="shared" si="10"/>
        <v>284271</v>
      </c>
      <c r="AK64" s="45"/>
      <c r="AL64" s="53">
        <v>9829</v>
      </c>
      <c r="AM64" s="45"/>
      <c r="AN64" s="53">
        <v>0</v>
      </c>
      <c r="AO64" s="53"/>
      <c r="AP64" s="53">
        <v>0</v>
      </c>
      <c r="AQ64" s="53"/>
      <c r="AR64" s="53">
        <v>92714</v>
      </c>
      <c r="AS64" s="53"/>
      <c r="AT64" s="45">
        <f t="shared" si="11"/>
        <v>386814</v>
      </c>
      <c r="AU64" s="45"/>
      <c r="AV64" s="53">
        <v>0</v>
      </c>
      <c r="AW64" s="53"/>
      <c r="AX64" s="53">
        <v>0</v>
      </c>
      <c r="AY64" s="53"/>
      <c r="AZ64" s="53">
        <f t="shared" si="12"/>
        <v>2920470</v>
      </c>
      <c r="BA64" s="51"/>
      <c r="BB64" s="47" t="s">
        <v>465</v>
      </c>
      <c r="BC64" s="47"/>
      <c r="BD64" s="47" t="s">
        <v>57</v>
      </c>
      <c r="BE64" s="53"/>
      <c r="BF64" s="53">
        <v>0</v>
      </c>
      <c r="BG64" s="53"/>
      <c r="BH64" s="53">
        <v>420000</v>
      </c>
      <c r="BI64" s="53"/>
      <c r="BJ64" s="53">
        <v>0</v>
      </c>
      <c r="BK64" s="53"/>
      <c r="BL64" s="53">
        <f>186832+57606</f>
        <v>244438</v>
      </c>
      <c r="BM64" s="53"/>
      <c r="BN64" s="53">
        <f t="shared" si="6"/>
        <v>664438</v>
      </c>
      <c r="BO64" s="54"/>
      <c r="BS64" s="55"/>
      <c r="BT64" s="55"/>
      <c r="BU64" s="84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</row>
    <row r="65" spans="1:95" s="35" customFormat="1" ht="12.75" customHeight="1">
      <c r="A65" s="35" t="s">
        <v>82</v>
      </c>
      <c r="B65" s="51"/>
      <c r="C65" s="35" t="s">
        <v>13</v>
      </c>
      <c r="D65" s="44"/>
      <c r="E65" s="53">
        <f t="shared" si="0"/>
        <v>4575768</v>
      </c>
      <c r="F65" s="53"/>
      <c r="G65" s="53">
        <v>18593539</v>
      </c>
      <c r="H65" s="53"/>
      <c r="I65" s="53">
        <v>23169307</v>
      </c>
      <c r="J65" s="53"/>
      <c r="K65" s="53">
        <f t="shared" si="1"/>
        <v>1137360</v>
      </c>
      <c r="L65" s="53"/>
      <c r="M65" s="53">
        <v>11077760</v>
      </c>
      <c r="N65" s="53"/>
      <c r="O65" s="53">
        <v>12215120</v>
      </c>
      <c r="P65" s="53"/>
      <c r="Q65" s="53">
        <v>9595599</v>
      </c>
      <c r="R65" s="53"/>
      <c r="S65" s="53">
        <v>0</v>
      </c>
      <c r="T65" s="53"/>
      <c r="U65" s="53">
        <v>1358588</v>
      </c>
      <c r="V65" s="53"/>
      <c r="W65" s="53">
        <f t="shared" si="2"/>
        <v>10954187</v>
      </c>
      <c r="X65" s="51"/>
      <c r="Y65" s="51"/>
      <c r="Z65" s="35" t="s">
        <v>82</v>
      </c>
      <c r="AA65" s="53"/>
      <c r="AB65" s="35" t="s">
        <v>13</v>
      </c>
      <c r="AC65" s="51"/>
      <c r="AD65" s="53">
        <v>5125578</v>
      </c>
      <c r="AE65" s="53"/>
      <c r="AF65" s="53">
        <f>4829768-855479</f>
        <v>3974289</v>
      </c>
      <c r="AG65" s="53"/>
      <c r="AH65" s="53">
        <v>855479</v>
      </c>
      <c r="AI65" s="53"/>
      <c r="AJ65" s="45">
        <f t="shared" si="10"/>
        <v>295810</v>
      </c>
      <c r="AK65" s="45"/>
      <c r="AL65" s="53">
        <v>-381462</v>
      </c>
      <c r="AM65" s="45"/>
      <c r="AN65" s="53">
        <v>0</v>
      </c>
      <c r="AO65" s="53"/>
      <c r="AP65" s="53">
        <v>0</v>
      </c>
      <c r="AQ65" s="53"/>
      <c r="AR65" s="53">
        <v>100768</v>
      </c>
      <c r="AS65" s="53"/>
      <c r="AT65" s="45">
        <f t="shared" si="11"/>
        <v>15116</v>
      </c>
      <c r="AU65" s="45"/>
      <c r="AV65" s="53">
        <v>0</v>
      </c>
      <c r="AW65" s="53"/>
      <c r="AX65" s="53">
        <v>0</v>
      </c>
      <c r="AY65" s="53"/>
      <c r="AZ65" s="53">
        <f t="shared" si="12"/>
        <v>3438408</v>
      </c>
      <c r="BA65" s="51"/>
      <c r="BB65" s="35" t="s">
        <v>82</v>
      </c>
      <c r="BD65" s="35" t="s">
        <v>13</v>
      </c>
      <c r="BE65" s="53"/>
      <c r="BF65" s="53">
        <f>1171887+2949701+3855000+1680323+6785000</f>
        <v>16441911</v>
      </c>
      <c r="BG65" s="53"/>
      <c r="BH65" s="53">
        <v>0</v>
      </c>
      <c r="BI65" s="53"/>
      <c r="BJ65" s="53">
        <v>0</v>
      </c>
      <c r="BK65" s="53"/>
      <c r="BL65" s="53">
        <f>16477596+2284699</f>
        <v>18762295</v>
      </c>
      <c r="BM65" s="53"/>
      <c r="BN65" s="53">
        <f t="shared" si="6"/>
        <v>35204206</v>
      </c>
      <c r="BO65" s="54"/>
      <c r="BS65" s="55"/>
      <c r="BT65" s="55"/>
      <c r="BU65" s="84"/>
      <c r="BV65" s="55"/>
      <c r="BW65" s="55"/>
      <c r="BX65" s="55"/>
      <c r="BY65" s="55"/>
      <c r="BZ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L65" s="55"/>
      <c r="CM65" s="55"/>
      <c r="CN65" s="55"/>
      <c r="CO65" s="55"/>
      <c r="CP65" s="55"/>
      <c r="CQ65" s="55"/>
    </row>
    <row r="66" spans="1:95" s="35" customFormat="1" ht="12.75" customHeight="1">
      <c r="A66" s="35" t="s">
        <v>83</v>
      </c>
      <c r="B66" s="51"/>
      <c r="C66" s="35" t="s">
        <v>66</v>
      </c>
      <c r="D66" s="44"/>
      <c r="E66" s="53">
        <f t="shared" si="0"/>
        <v>52784256</v>
      </c>
      <c r="F66" s="53"/>
      <c r="G66" s="53">
        <v>113510966</v>
      </c>
      <c r="H66" s="53"/>
      <c r="I66" s="53">
        <v>166295222</v>
      </c>
      <c r="J66" s="53"/>
      <c r="K66" s="53">
        <f t="shared" si="1"/>
        <v>4059834</v>
      </c>
      <c r="L66" s="53"/>
      <c r="M66" s="53">
        <v>884601</v>
      </c>
      <c r="N66" s="53"/>
      <c r="O66" s="53">
        <v>4944435</v>
      </c>
      <c r="P66" s="53"/>
      <c r="Q66" s="53">
        <v>113510966</v>
      </c>
      <c r="R66" s="53"/>
      <c r="S66" s="53">
        <v>0</v>
      </c>
      <c r="T66" s="53"/>
      <c r="U66" s="53">
        <v>47839821</v>
      </c>
      <c r="V66" s="53"/>
      <c r="W66" s="53">
        <f t="shared" si="2"/>
        <v>161350787</v>
      </c>
      <c r="Z66" s="35" t="s">
        <v>83</v>
      </c>
      <c r="AA66" s="53"/>
      <c r="AB66" s="35" t="s">
        <v>66</v>
      </c>
      <c r="AC66" s="51"/>
      <c r="AD66" s="53">
        <v>48944620</v>
      </c>
      <c r="AE66" s="53"/>
      <c r="AF66" s="53">
        <f>46632095-2426838</f>
        <v>44205257</v>
      </c>
      <c r="AG66" s="53"/>
      <c r="AH66" s="53">
        <v>2426838</v>
      </c>
      <c r="AI66" s="53"/>
      <c r="AJ66" s="45">
        <f t="shared" si="10"/>
        <v>2312525</v>
      </c>
      <c r="AK66" s="45"/>
      <c r="AL66" s="53">
        <v>734208</v>
      </c>
      <c r="AM66" s="45"/>
      <c r="AN66" s="53">
        <v>0</v>
      </c>
      <c r="AO66" s="53"/>
      <c r="AP66" s="53">
        <v>0</v>
      </c>
      <c r="AQ66" s="53"/>
      <c r="AR66" s="53">
        <v>0</v>
      </c>
      <c r="AS66" s="53"/>
      <c r="AT66" s="45">
        <f t="shared" si="11"/>
        <v>3046733</v>
      </c>
      <c r="AU66" s="45"/>
      <c r="AV66" s="53">
        <v>0</v>
      </c>
      <c r="AW66" s="53"/>
      <c r="AX66" s="53">
        <v>0</v>
      </c>
      <c r="AY66" s="53"/>
      <c r="AZ66" s="53">
        <f t="shared" si="12"/>
        <v>48724422</v>
      </c>
      <c r="BA66" s="51"/>
      <c r="BB66" s="35" t="s">
        <v>83</v>
      </c>
      <c r="BD66" s="35" t="s">
        <v>66</v>
      </c>
      <c r="BE66" s="53"/>
      <c r="BF66" s="53">
        <v>1653666</v>
      </c>
      <c r="BG66" s="53"/>
      <c r="BH66" s="53">
        <v>38095000</v>
      </c>
      <c r="BI66" s="53"/>
      <c r="BJ66" s="53">
        <f>11774364+600000</f>
        <v>12374364</v>
      </c>
      <c r="BK66" s="53"/>
      <c r="BL66" s="53">
        <f>3545600+220245+1885000</f>
        <v>5650845</v>
      </c>
      <c r="BM66" s="53"/>
      <c r="BN66" s="53">
        <f t="shared" si="6"/>
        <v>57773875</v>
      </c>
      <c r="BO66" s="54"/>
      <c r="BS66" s="55"/>
      <c r="BT66" s="55"/>
      <c r="BU66" s="84"/>
      <c r="BV66" s="55"/>
      <c r="BW66" s="55"/>
      <c r="BX66" s="55"/>
      <c r="BY66" s="55"/>
      <c r="BZ66" s="55"/>
      <c r="CA66" s="55"/>
      <c r="CB66" s="55"/>
      <c r="CC66" s="55"/>
      <c r="CD66" s="55"/>
      <c r="CE66" s="55"/>
      <c r="CF66" s="55"/>
      <c r="CG66" s="55"/>
      <c r="CH66" s="55"/>
      <c r="CI66" s="55"/>
      <c r="CJ66" s="55"/>
      <c r="CK66" s="55"/>
      <c r="CL66" s="55"/>
      <c r="CM66" s="55"/>
      <c r="CN66" s="55"/>
      <c r="CO66" s="55"/>
      <c r="CP66" s="55"/>
      <c r="CQ66" s="55"/>
    </row>
    <row r="67" spans="1:95" s="126" customFormat="1" ht="12.75" hidden="1" customHeight="1">
      <c r="A67" s="126" t="s">
        <v>84</v>
      </c>
      <c r="B67" s="124"/>
      <c r="C67" s="126" t="s">
        <v>45</v>
      </c>
      <c r="D67" s="121"/>
      <c r="E67" s="140">
        <f t="shared" si="0"/>
        <v>0</v>
      </c>
      <c r="F67" s="140"/>
      <c r="G67" s="140"/>
      <c r="H67" s="140"/>
      <c r="I67" s="140"/>
      <c r="J67" s="140"/>
      <c r="K67" s="140">
        <f t="shared" si="1"/>
        <v>0</v>
      </c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>
        <f t="shared" si="2"/>
        <v>0</v>
      </c>
      <c r="X67" s="124"/>
      <c r="Y67" s="124"/>
      <c r="Z67" s="126" t="s">
        <v>84</v>
      </c>
      <c r="AA67" s="140"/>
      <c r="AB67" s="126" t="s">
        <v>45</v>
      </c>
      <c r="AC67" s="124"/>
      <c r="AD67" s="140"/>
      <c r="AE67" s="140"/>
      <c r="AF67" s="140"/>
      <c r="AG67" s="140"/>
      <c r="AH67" s="140"/>
      <c r="AI67" s="140"/>
      <c r="AJ67" s="127">
        <f t="shared" si="10"/>
        <v>0</v>
      </c>
      <c r="AK67" s="127"/>
      <c r="AL67" s="140"/>
      <c r="AM67" s="127"/>
      <c r="AN67" s="140"/>
      <c r="AO67" s="140"/>
      <c r="AP67" s="140"/>
      <c r="AQ67" s="140"/>
      <c r="AR67" s="140"/>
      <c r="AS67" s="140"/>
      <c r="AT67" s="127">
        <f t="shared" si="11"/>
        <v>0</v>
      </c>
      <c r="AU67" s="127"/>
      <c r="AV67" s="140">
        <v>0</v>
      </c>
      <c r="AW67" s="140"/>
      <c r="AX67" s="140">
        <v>0</v>
      </c>
      <c r="AY67" s="140"/>
      <c r="AZ67" s="140">
        <f t="shared" si="12"/>
        <v>0</v>
      </c>
      <c r="BA67" s="124"/>
      <c r="BB67" s="126" t="s">
        <v>84</v>
      </c>
      <c r="BD67" s="126" t="s">
        <v>45</v>
      </c>
      <c r="BE67" s="140"/>
      <c r="BF67" s="140"/>
      <c r="BG67" s="140"/>
      <c r="BH67" s="140"/>
      <c r="BI67" s="140"/>
      <c r="BJ67" s="140"/>
      <c r="BK67" s="140"/>
      <c r="BL67" s="140"/>
      <c r="BM67" s="140"/>
      <c r="BN67" s="140">
        <f t="shared" si="6"/>
        <v>0</v>
      </c>
      <c r="BO67" s="142"/>
      <c r="BS67" s="143"/>
      <c r="BT67" s="143"/>
      <c r="BU67" s="144"/>
      <c r="BV67" s="143"/>
      <c r="BW67" s="143"/>
      <c r="BX67" s="143"/>
      <c r="BY67" s="143"/>
      <c r="BZ67" s="143"/>
      <c r="CA67" s="143"/>
      <c r="CB67" s="143"/>
      <c r="CC67" s="143"/>
      <c r="CD67" s="143"/>
      <c r="CE67" s="143"/>
      <c r="CF67" s="143"/>
      <c r="CG67" s="143"/>
      <c r="CH67" s="143"/>
      <c r="CI67" s="143"/>
      <c r="CJ67" s="143"/>
      <c r="CK67" s="143"/>
      <c r="CL67" s="143"/>
      <c r="CM67" s="143"/>
      <c r="CN67" s="143"/>
      <c r="CO67" s="143"/>
      <c r="CP67" s="143"/>
      <c r="CQ67" s="143"/>
    </row>
    <row r="68" spans="1:95" s="35" customFormat="1" ht="12.75" hidden="1" customHeight="1">
      <c r="A68" s="35" t="s">
        <v>85</v>
      </c>
      <c r="B68" s="51"/>
      <c r="C68" s="35" t="s">
        <v>85</v>
      </c>
      <c r="D68" s="44"/>
      <c r="E68" s="53">
        <f t="shared" si="0"/>
        <v>0</v>
      </c>
      <c r="F68" s="53"/>
      <c r="G68" s="53"/>
      <c r="H68" s="53"/>
      <c r="I68" s="53"/>
      <c r="J68" s="53"/>
      <c r="K68" s="53">
        <f t="shared" si="1"/>
        <v>0</v>
      </c>
      <c r="L68" s="53"/>
      <c r="M68" s="53"/>
      <c r="N68" s="53"/>
      <c r="O68" s="53"/>
      <c r="P68" s="53"/>
      <c r="Q68" s="53"/>
      <c r="R68" s="53"/>
      <c r="S68" s="53">
        <v>0</v>
      </c>
      <c r="T68" s="53"/>
      <c r="U68" s="53"/>
      <c r="V68" s="53"/>
      <c r="W68" s="53">
        <f t="shared" si="2"/>
        <v>0</v>
      </c>
      <c r="X68" s="51"/>
      <c r="Y68" s="51"/>
      <c r="Z68" s="35" t="s">
        <v>85</v>
      </c>
      <c r="AA68" s="53"/>
      <c r="AB68" s="35" t="s">
        <v>85</v>
      </c>
      <c r="AC68" s="51"/>
      <c r="AD68" s="53"/>
      <c r="AE68" s="53"/>
      <c r="AF68" s="53"/>
      <c r="AG68" s="53"/>
      <c r="AH68" s="53"/>
      <c r="AI68" s="53"/>
      <c r="AJ68" s="45">
        <f t="shared" si="10"/>
        <v>0</v>
      </c>
      <c r="AK68" s="45"/>
      <c r="AL68" s="53"/>
      <c r="AM68" s="45"/>
      <c r="AN68" s="53"/>
      <c r="AO68" s="53"/>
      <c r="AP68" s="53"/>
      <c r="AQ68" s="53"/>
      <c r="AR68" s="53"/>
      <c r="AS68" s="53"/>
      <c r="AT68" s="45">
        <f t="shared" si="11"/>
        <v>0</v>
      </c>
      <c r="AU68" s="45"/>
      <c r="AV68" s="53">
        <v>0</v>
      </c>
      <c r="AW68" s="53"/>
      <c r="AX68" s="53">
        <v>0</v>
      </c>
      <c r="AY68" s="53"/>
      <c r="AZ68" s="53">
        <f t="shared" si="12"/>
        <v>0</v>
      </c>
      <c r="BA68" s="51"/>
      <c r="BB68" s="35" t="s">
        <v>85</v>
      </c>
      <c r="BD68" s="35" t="s">
        <v>85</v>
      </c>
      <c r="BE68" s="53"/>
      <c r="BF68" s="53"/>
      <c r="BG68" s="53"/>
      <c r="BH68" s="53"/>
      <c r="BI68" s="53"/>
      <c r="BJ68" s="53"/>
      <c r="BK68" s="53"/>
      <c r="BL68" s="53"/>
      <c r="BM68" s="53"/>
      <c r="BN68" s="53">
        <f t="shared" si="6"/>
        <v>0</v>
      </c>
      <c r="BO68" s="54"/>
      <c r="BS68" s="55"/>
      <c r="BT68" s="55"/>
      <c r="BU68" s="84"/>
      <c r="BV68" s="55"/>
      <c r="BW68" s="55"/>
      <c r="BX68" s="55"/>
      <c r="BY68" s="55"/>
      <c r="BZ68" s="55"/>
      <c r="CA68" s="55"/>
      <c r="CB68" s="55"/>
      <c r="CC68" s="55"/>
      <c r="CD68" s="55"/>
      <c r="CE68" s="55"/>
      <c r="CF68" s="55"/>
      <c r="CG68" s="55"/>
      <c r="CH68" s="55"/>
      <c r="CI68" s="55"/>
      <c r="CJ68" s="55"/>
      <c r="CK68" s="55"/>
      <c r="CL68" s="55"/>
      <c r="CM68" s="55"/>
      <c r="CN68" s="55"/>
      <c r="CO68" s="55"/>
      <c r="CP68" s="55"/>
      <c r="CQ68" s="55"/>
    </row>
    <row r="69" spans="1:95" s="35" customFormat="1" ht="12.75" customHeight="1">
      <c r="A69" s="35" t="s">
        <v>86</v>
      </c>
      <c r="B69" s="51"/>
      <c r="C69" s="35" t="s">
        <v>86</v>
      </c>
      <c r="D69" s="44"/>
      <c r="E69" s="53">
        <f t="shared" si="0"/>
        <v>7244657</v>
      </c>
      <c r="F69" s="53"/>
      <c r="G69" s="53">
        <v>27709154</v>
      </c>
      <c r="H69" s="53"/>
      <c r="I69" s="53">
        <v>34953811</v>
      </c>
      <c r="J69" s="53"/>
      <c r="K69" s="53">
        <f t="shared" si="1"/>
        <v>-5019150</v>
      </c>
      <c r="L69" s="53"/>
      <c r="M69" s="53">
        <v>9351308</v>
      </c>
      <c r="N69" s="53"/>
      <c r="O69" s="53">
        <v>4332158</v>
      </c>
      <c r="P69" s="53"/>
      <c r="Q69" s="53">
        <v>24005132</v>
      </c>
      <c r="R69" s="53"/>
      <c r="S69" s="53">
        <v>0</v>
      </c>
      <c r="T69" s="53"/>
      <c r="U69" s="53">
        <v>6616521</v>
      </c>
      <c r="V69" s="53"/>
      <c r="W69" s="53">
        <f t="shared" si="2"/>
        <v>30621653</v>
      </c>
      <c r="X69" s="51"/>
      <c r="Y69" s="51"/>
      <c r="Z69" s="35" t="s">
        <v>86</v>
      </c>
      <c r="AA69" s="53"/>
      <c r="AB69" s="35" t="s">
        <v>86</v>
      </c>
      <c r="AC69" s="51"/>
      <c r="AD69" s="53">
        <v>4814773</v>
      </c>
      <c r="AE69" s="53"/>
      <c r="AF69" s="53">
        <f>4795902-672497</f>
        <v>4123405</v>
      </c>
      <c r="AG69" s="53"/>
      <c r="AH69" s="53">
        <v>672497</v>
      </c>
      <c r="AI69" s="53"/>
      <c r="AJ69" s="45">
        <f t="shared" si="10"/>
        <v>18871</v>
      </c>
      <c r="AK69" s="45"/>
      <c r="AL69" s="53">
        <v>114645</v>
      </c>
      <c r="AM69" s="45"/>
      <c r="AN69" s="53">
        <v>0</v>
      </c>
      <c r="AO69" s="53"/>
      <c r="AP69" s="53">
        <v>0</v>
      </c>
      <c r="AQ69" s="53"/>
      <c r="AR69" s="53">
        <v>921381</v>
      </c>
      <c r="AS69" s="53"/>
      <c r="AT69" s="45">
        <f t="shared" si="11"/>
        <v>1054897</v>
      </c>
      <c r="AU69" s="45"/>
      <c r="AV69" s="53">
        <v>0</v>
      </c>
      <c r="AW69" s="53"/>
      <c r="AX69" s="53">
        <v>0</v>
      </c>
      <c r="AY69" s="53"/>
      <c r="AZ69" s="53">
        <f t="shared" si="12"/>
        <v>12263807</v>
      </c>
      <c r="BA69" s="51"/>
      <c r="BB69" s="35" t="s">
        <v>86</v>
      </c>
      <c r="BD69" s="35" t="s">
        <v>86</v>
      </c>
      <c r="BE69" s="53"/>
      <c r="BF69" s="53">
        <v>3370892</v>
      </c>
      <c r="BG69" s="53"/>
      <c r="BH69" s="53">
        <v>0</v>
      </c>
      <c r="BI69" s="53"/>
      <c r="BJ69" s="53">
        <v>0</v>
      </c>
      <c r="BK69" s="53"/>
      <c r="BL69" s="53">
        <v>780900</v>
      </c>
      <c r="BM69" s="53"/>
      <c r="BN69" s="53">
        <f t="shared" si="6"/>
        <v>4151792</v>
      </c>
      <c r="BO69" s="54"/>
      <c r="BS69" s="55"/>
      <c r="BT69" s="55"/>
      <c r="BU69" s="84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H69" s="55"/>
      <c r="CI69" s="55"/>
      <c r="CJ69" s="55"/>
      <c r="CK69" s="55"/>
      <c r="CL69" s="55"/>
      <c r="CM69" s="55"/>
      <c r="CN69" s="55"/>
      <c r="CO69" s="55"/>
      <c r="CP69" s="55"/>
      <c r="CQ69" s="55"/>
    </row>
    <row r="70" spans="1:95" s="35" customFormat="1" ht="12.75" customHeight="1">
      <c r="A70" s="64" t="s">
        <v>87</v>
      </c>
      <c r="B70" s="64"/>
      <c r="C70" s="64" t="s">
        <v>88</v>
      </c>
      <c r="D70" s="46"/>
      <c r="E70" s="53">
        <f t="shared" si="0"/>
        <v>921155</v>
      </c>
      <c r="F70" s="53"/>
      <c r="G70" s="53">
        <v>23107100</v>
      </c>
      <c r="H70" s="53"/>
      <c r="I70" s="53">
        <v>24028255</v>
      </c>
      <c r="J70" s="53"/>
      <c r="K70" s="53">
        <f t="shared" si="1"/>
        <v>965999</v>
      </c>
      <c r="L70" s="53"/>
      <c r="M70" s="53">
        <v>17886343</v>
      </c>
      <c r="N70" s="53"/>
      <c r="O70" s="53">
        <v>18852342</v>
      </c>
      <c r="P70" s="53"/>
      <c r="Q70" s="53">
        <v>4391851</v>
      </c>
      <c r="R70" s="53"/>
      <c r="S70" s="53">
        <v>0</v>
      </c>
      <c r="T70" s="53"/>
      <c r="U70" s="53">
        <v>784062</v>
      </c>
      <c r="V70" s="53"/>
      <c r="W70" s="53">
        <f t="shared" si="2"/>
        <v>5175913</v>
      </c>
      <c r="X70" s="51"/>
      <c r="Y70" s="51"/>
      <c r="Z70" s="64" t="s">
        <v>87</v>
      </c>
      <c r="AA70" s="79"/>
      <c r="AB70" s="64" t="s">
        <v>88</v>
      </c>
      <c r="AC70" s="64"/>
      <c r="AD70" s="53">
        <v>1708944</v>
      </c>
      <c r="AE70" s="53"/>
      <c r="AF70" s="53">
        <f>1626858-601077</f>
        <v>1025781</v>
      </c>
      <c r="AG70" s="53"/>
      <c r="AH70" s="53">
        <v>601077</v>
      </c>
      <c r="AI70" s="53"/>
      <c r="AJ70" s="45">
        <f t="shared" si="10"/>
        <v>82086</v>
      </c>
      <c r="AK70" s="45"/>
      <c r="AL70" s="53">
        <v>-354482</v>
      </c>
      <c r="AM70" s="45"/>
      <c r="AN70" s="53">
        <v>0</v>
      </c>
      <c r="AO70" s="53"/>
      <c r="AP70" s="53">
        <v>0</v>
      </c>
      <c r="AQ70" s="53"/>
      <c r="AR70" s="53">
        <v>6489</v>
      </c>
      <c r="AS70" s="53"/>
      <c r="AT70" s="45">
        <f t="shared" si="11"/>
        <v>-265907</v>
      </c>
      <c r="AU70" s="45"/>
      <c r="AV70" s="53">
        <v>0</v>
      </c>
      <c r="AW70" s="53"/>
      <c r="AX70" s="53">
        <v>0</v>
      </c>
      <c r="AY70" s="53"/>
      <c r="AZ70" s="53">
        <f t="shared" si="12"/>
        <v>-44844</v>
      </c>
      <c r="BA70" s="51"/>
      <c r="BB70" s="64" t="s">
        <v>87</v>
      </c>
      <c r="BC70" s="64"/>
      <c r="BD70" s="64" t="s">
        <v>88</v>
      </c>
      <c r="BE70" s="79"/>
      <c r="BF70" s="53">
        <v>2180000</v>
      </c>
      <c r="BG70" s="53"/>
      <c r="BH70" s="53">
        <v>0</v>
      </c>
      <c r="BI70" s="53"/>
      <c r="BJ70" s="53">
        <f>51772097-2180000</f>
        <v>49592097</v>
      </c>
      <c r="BK70" s="53"/>
      <c r="BL70" s="53">
        <v>0</v>
      </c>
      <c r="BM70" s="53"/>
      <c r="BN70" s="53">
        <f t="shared" si="6"/>
        <v>51772097</v>
      </c>
      <c r="BO70" s="54"/>
      <c r="BS70" s="55"/>
      <c r="BT70" s="55"/>
      <c r="BU70" s="84"/>
      <c r="BV70" s="55"/>
      <c r="BW70" s="55"/>
      <c r="BX70" s="55"/>
      <c r="BY70" s="55"/>
      <c r="BZ70" s="55"/>
      <c r="CA70" s="55"/>
      <c r="CB70" s="55"/>
      <c r="CC70" s="55"/>
      <c r="CD70" s="55"/>
      <c r="CE70" s="55"/>
      <c r="CF70" s="55"/>
      <c r="CG70" s="55"/>
      <c r="CH70" s="55"/>
      <c r="CI70" s="55"/>
      <c r="CJ70" s="55"/>
      <c r="CK70" s="55"/>
      <c r="CL70" s="55"/>
      <c r="CM70" s="55"/>
      <c r="CN70" s="55"/>
      <c r="CO70" s="55"/>
      <c r="CP70" s="55"/>
      <c r="CQ70" s="55"/>
    </row>
    <row r="71" spans="1:95" s="35" customFormat="1" ht="12.75" customHeight="1">
      <c r="A71" s="35" t="s">
        <v>395</v>
      </c>
      <c r="C71" s="35" t="s">
        <v>89</v>
      </c>
      <c r="D71" s="44"/>
      <c r="E71" s="53">
        <f t="shared" si="0"/>
        <v>1079445</v>
      </c>
      <c r="F71" s="53"/>
      <c r="G71" s="53">
        <v>10660290</v>
      </c>
      <c r="H71" s="53"/>
      <c r="I71" s="53">
        <v>11739735</v>
      </c>
      <c r="J71" s="53"/>
      <c r="K71" s="53">
        <f t="shared" si="1"/>
        <v>543627</v>
      </c>
      <c r="L71" s="53"/>
      <c r="M71" s="53">
        <v>5192823</v>
      </c>
      <c r="N71" s="53"/>
      <c r="O71" s="53">
        <v>5736450</v>
      </c>
      <c r="P71" s="53"/>
      <c r="Q71" s="53">
        <v>4863401</v>
      </c>
      <c r="R71" s="53"/>
      <c r="S71" s="53">
        <f>510613+267859</f>
        <v>778472</v>
      </c>
      <c r="T71" s="53"/>
      <c r="U71" s="53">
        <v>361412</v>
      </c>
      <c r="V71" s="53"/>
      <c r="W71" s="53">
        <f t="shared" si="2"/>
        <v>6003285</v>
      </c>
      <c r="X71" s="51"/>
      <c r="Y71" s="51"/>
      <c r="Z71" s="35" t="s">
        <v>395</v>
      </c>
      <c r="AA71" s="53"/>
      <c r="AB71" s="35" t="s">
        <v>89</v>
      </c>
      <c r="AD71" s="53">
        <v>1908511</v>
      </c>
      <c r="AE71" s="53"/>
      <c r="AF71" s="53">
        <f>2020201-596453</f>
        <v>1423748</v>
      </c>
      <c r="AG71" s="53"/>
      <c r="AH71" s="53">
        <v>596453</v>
      </c>
      <c r="AI71" s="53"/>
      <c r="AJ71" s="45">
        <f t="shared" si="10"/>
        <v>-111690</v>
      </c>
      <c r="AK71" s="45"/>
      <c r="AL71" s="53">
        <v>-219440</v>
      </c>
      <c r="AM71" s="45"/>
      <c r="AN71" s="53">
        <v>0</v>
      </c>
      <c r="AO71" s="53"/>
      <c r="AP71" s="53">
        <v>0</v>
      </c>
      <c r="AQ71" s="53"/>
      <c r="AR71" s="53">
        <v>0</v>
      </c>
      <c r="AS71" s="53"/>
      <c r="AT71" s="45">
        <f t="shared" si="11"/>
        <v>-331130</v>
      </c>
      <c r="AU71" s="45"/>
      <c r="AV71" s="53">
        <v>0</v>
      </c>
      <c r="AW71" s="53"/>
      <c r="AX71" s="53">
        <v>0</v>
      </c>
      <c r="AY71" s="53"/>
      <c r="AZ71" s="53">
        <f t="shared" si="12"/>
        <v>535818</v>
      </c>
      <c r="BA71" s="51"/>
      <c r="BB71" s="35" t="s">
        <v>394</v>
      </c>
      <c r="BD71" s="35" t="s">
        <v>89</v>
      </c>
      <c r="BE71" s="53"/>
      <c r="BF71" s="53">
        <f>4573574-24574+76852+636426</f>
        <v>5262278</v>
      </c>
      <c r="BG71" s="53"/>
      <c r="BH71" s="53">
        <v>0</v>
      </c>
      <c r="BI71" s="53"/>
      <c r="BJ71" s="53">
        <v>0</v>
      </c>
      <c r="BK71" s="53"/>
      <c r="BL71" s="53">
        <v>1074204</v>
      </c>
      <c r="BM71" s="53"/>
      <c r="BN71" s="53">
        <f t="shared" si="6"/>
        <v>6336482</v>
      </c>
      <c r="BO71" s="54"/>
      <c r="BS71" s="55"/>
      <c r="BT71" s="55"/>
      <c r="BU71" s="84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</row>
    <row r="72" spans="1:95" s="35" customFormat="1" ht="12.75" customHeight="1">
      <c r="A72" s="35" t="s">
        <v>90</v>
      </c>
      <c r="B72" s="96"/>
      <c r="C72" s="35" t="s">
        <v>43</v>
      </c>
      <c r="D72" s="44"/>
      <c r="E72" s="53">
        <f t="shared" si="0"/>
        <v>19721933</v>
      </c>
      <c r="F72" s="53"/>
      <c r="G72" s="53">
        <v>30741109</v>
      </c>
      <c r="H72" s="53"/>
      <c r="I72" s="53">
        <v>50463042</v>
      </c>
      <c r="J72" s="53"/>
      <c r="K72" s="53">
        <f t="shared" si="1"/>
        <v>696413</v>
      </c>
      <c r="L72" s="53"/>
      <c r="M72" s="53">
        <v>1493336</v>
      </c>
      <c r="N72" s="53"/>
      <c r="O72" s="53">
        <v>2189749</v>
      </c>
      <c r="P72" s="53"/>
      <c r="Q72" s="53">
        <v>29006109</v>
      </c>
      <c r="R72" s="53"/>
      <c r="S72" s="53">
        <v>0</v>
      </c>
      <c r="T72" s="53"/>
      <c r="U72" s="53">
        <v>19267184</v>
      </c>
      <c r="V72" s="53"/>
      <c r="W72" s="53">
        <f>SUM(Q72:U72)</f>
        <v>48273293</v>
      </c>
      <c r="X72" s="96"/>
      <c r="Y72" s="96"/>
      <c r="Z72" s="35" t="s">
        <v>90</v>
      </c>
      <c r="AA72" s="53"/>
      <c r="AB72" s="35" t="s">
        <v>43</v>
      </c>
      <c r="AC72" s="96"/>
      <c r="AD72" s="53">
        <v>1395257</v>
      </c>
      <c r="AE72" s="53"/>
      <c r="AF72" s="53">
        <f>1694811-1011696</f>
        <v>683115</v>
      </c>
      <c r="AG72" s="53"/>
      <c r="AH72" s="53">
        <v>1011696</v>
      </c>
      <c r="AI72" s="53"/>
      <c r="AJ72" s="45">
        <f t="shared" si="10"/>
        <v>-299554</v>
      </c>
      <c r="AK72" s="45"/>
      <c r="AL72" s="53">
        <v>587333</v>
      </c>
      <c r="AM72" s="45"/>
      <c r="AN72" s="53">
        <v>0</v>
      </c>
      <c r="AO72" s="53"/>
      <c r="AP72" s="53">
        <v>0</v>
      </c>
      <c r="AQ72" s="53"/>
      <c r="AR72" s="53">
        <v>479211</v>
      </c>
      <c r="AS72" s="53"/>
      <c r="AT72" s="45">
        <f t="shared" si="11"/>
        <v>766990</v>
      </c>
      <c r="AU72" s="45"/>
      <c r="AV72" s="53">
        <v>0</v>
      </c>
      <c r="AW72" s="53"/>
      <c r="AX72" s="53">
        <v>0</v>
      </c>
      <c r="AY72" s="53"/>
      <c r="AZ72" s="53">
        <f t="shared" si="12"/>
        <v>19025520</v>
      </c>
      <c r="BA72" s="96"/>
      <c r="BB72" s="35" t="s">
        <v>90</v>
      </c>
      <c r="BD72" s="35" t="s">
        <v>43</v>
      </c>
      <c r="BE72" s="53"/>
      <c r="BF72" s="53">
        <v>1735000</v>
      </c>
      <c r="BG72" s="53"/>
      <c r="BH72" s="53">
        <v>0</v>
      </c>
      <c r="BI72" s="53"/>
      <c r="BJ72" s="53">
        <v>0</v>
      </c>
      <c r="BK72" s="53"/>
      <c r="BL72" s="53">
        <v>7816</v>
      </c>
      <c r="BM72" s="53"/>
      <c r="BN72" s="53">
        <f t="shared" si="6"/>
        <v>1742816</v>
      </c>
      <c r="BO72" s="54"/>
      <c r="BS72" s="55"/>
      <c r="BT72" s="55"/>
      <c r="BU72" s="84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H72" s="55"/>
      <c r="CI72" s="55"/>
      <c r="CJ72" s="55"/>
      <c r="CK72" s="55"/>
      <c r="CL72" s="55"/>
      <c r="CM72" s="55"/>
      <c r="CN72" s="55"/>
      <c r="CO72" s="55"/>
      <c r="CP72" s="55"/>
      <c r="CQ72" s="55"/>
    </row>
    <row r="73" spans="1:95" s="35" customFormat="1" ht="12.75" customHeight="1">
      <c r="A73" s="35" t="s">
        <v>93</v>
      </c>
      <c r="B73" s="51"/>
      <c r="C73" s="35" t="s">
        <v>94</v>
      </c>
      <c r="D73" s="44"/>
      <c r="E73" s="53">
        <f t="shared" si="0"/>
        <v>3234945</v>
      </c>
      <c r="F73" s="53"/>
      <c r="G73" s="53">
        <v>8267524</v>
      </c>
      <c r="H73" s="53"/>
      <c r="I73" s="53">
        <v>11502469</v>
      </c>
      <c r="J73" s="53"/>
      <c r="K73" s="53">
        <f t="shared" si="1"/>
        <v>701226</v>
      </c>
      <c r="L73" s="53"/>
      <c r="M73" s="53">
        <v>4256719</v>
      </c>
      <c r="N73" s="53"/>
      <c r="O73" s="53">
        <v>4957945</v>
      </c>
      <c r="P73" s="53"/>
      <c r="Q73" s="53">
        <v>3541638</v>
      </c>
      <c r="R73" s="53"/>
      <c r="S73" s="53">
        <v>0</v>
      </c>
      <c r="T73" s="53"/>
      <c r="U73" s="53">
        <v>3002886</v>
      </c>
      <c r="V73" s="53"/>
      <c r="W73" s="53">
        <f t="shared" si="2"/>
        <v>6544524</v>
      </c>
      <c r="X73" s="51"/>
      <c r="Y73" s="51"/>
      <c r="Z73" s="35" t="s">
        <v>93</v>
      </c>
      <c r="AA73" s="53"/>
      <c r="AB73" s="35" t="s">
        <v>94</v>
      </c>
      <c r="AC73" s="51"/>
      <c r="AD73" s="53">
        <v>2447774</v>
      </c>
      <c r="AE73" s="53"/>
      <c r="AF73" s="53">
        <f>2235210-292673</f>
        <v>1942537</v>
      </c>
      <c r="AG73" s="53"/>
      <c r="AH73" s="53">
        <v>292673</v>
      </c>
      <c r="AI73" s="53"/>
      <c r="AJ73" s="45">
        <f t="shared" si="10"/>
        <v>212564</v>
      </c>
      <c r="AK73" s="45"/>
      <c r="AL73" s="53">
        <v>-78266</v>
      </c>
      <c r="AM73" s="45"/>
      <c r="AN73" s="53">
        <v>181917</v>
      </c>
      <c r="AO73" s="53"/>
      <c r="AP73" s="53">
        <v>0</v>
      </c>
      <c r="AQ73" s="53"/>
      <c r="AR73" s="53">
        <v>0</v>
      </c>
      <c r="AS73" s="53"/>
      <c r="AT73" s="45">
        <f t="shared" si="11"/>
        <v>316215</v>
      </c>
      <c r="AU73" s="45"/>
      <c r="AV73" s="53">
        <v>0</v>
      </c>
      <c r="AW73" s="53"/>
      <c r="AX73" s="53">
        <v>0</v>
      </c>
      <c r="AY73" s="53"/>
      <c r="AZ73" s="53">
        <f t="shared" si="12"/>
        <v>2533719</v>
      </c>
      <c r="BA73" s="51"/>
      <c r="BB73" s="35" t="s">
        <v>93</v>
      </c>
      <c r="BD73" s="35" t="s">
        <v>94</v>
      </c>
      <c r="BE73" s="53"/>
      <c r="BF73" s="53">
        <f>88087+15249</f>
        <v>103336</v>
      </c>
      <c r="BG73" s="53"/>
      <c r="BH73" s="53">
        <v>0</v>
      </c>
      <c r="BI73" s="53"/>
      <c r="BJ73" s="53">
        <f>122660+5009021</f>
        <v>5131681</v>
      </c>
      <c r="BK73" s="53"/>
      <c r="BL73" s="53">
        <v>85027</v>
      </c>
      <c r="BM73" s="53"/>
      <c r="BN73" s="53">
        <f t="shared" si="6"/>
        <v>5320044</v>
      </c>
      <c r="BO73" s="54"/>
      <c r="BS73" s="55"/>
      <c r="BT73" s="55"/>
      <c r="BU73" s="84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</row>
    <row r="74" spans="1:95" s="35" customFormat="1" ht="12.75" customHeight="1">
      <c r="A74" s="35" t="s">
        <v>488</v>
      </c>
      <c r="B74" s="51"/>
      <c r="C74" s="35" t="s">
        <v>27</v>
      </c>
      <c r="D74" s="44"/>
      <c r="E74" s="53">
        <f>I74-G74</f>
        <v>534447</v>
      </c>
      <c r="F74" s="53"/>
      <c r="G74" s="53">
        <v>7759003</v>
      </c>
      <c r="H74" s="53"/>
      <c r="I74" s="53">
        <v>8293450</v>
      </c>
      <c r="J74" s="53"/>
      <c r="K74" s="53">
        <f>O74-M74</f>
        <v>93759</v>
      </c>
      <c r="L74" s="53"/>
      <c r="M74" s="53">
        <v>291633</v>
      </c>
      <c r="N74" s="53"/>
      <c r="O74" s="53">
        <v>385392</v>
      </c>
      <c r="P74" s="53"/>
      <c r="Q74" s="53">
        <v>7455464</v>
      </c>
      <c r="R74" s="53"/>
      <c r="S74" s="53">
        <v>0</v>
      </c>
      <c r="T74" s="53"/>
      <c r="U74" s="53">
        <v>452594</v>
      </c>
      <c r="V74" s="53"/>
      <c r="W74" s="53">
        <f>SUM(Q74:U74)</f>
        <v>7908058</v>
      </c>
      <c r="X74" s="51"/>
      <c r="Y74" s="51"/>
      <c r="Z74" s="35" t="s">
        <v>488</v>
      </c>
      <c r="AA74" s="53"/>
      <c r="AB74" s="35" t="s">
        <v>342</v>
      </c>
      <c r="AC74" s="51"/>
      <c r="AD74" s="53">
        <v>1188262</v>
      </c>
      <c r="AE74" s="53"/>
      <c r="AF74" s="53">
        <f>1362810-300615</f>
        <v>1062195</v>
      </c>
      <c r="AG74" s="53"/>
      <c r="AH74" s="53">
        <v>300615</v>
      </c>
      <c r="AI74" s="53"/>
      <c r="AJ74" s="45">
        <f>+AD74-AF74-AH74</f>
        <v>-174548</v>
      </c>
      <c r="AK74" s="45"/>
      <c r="AL74" s="53">
        <v>-9973</v>
      </c>
      <c r="AM74" s="45"/>
      <c r="AN74" s="53">
        <v>0</v>
      </c>
      <c r="AO74" s="53"/>
      <c r="AP74" s="53">
        <v>0</v>
      </c>
      <c r="AQ74" s="53"/>
      <c r="AR74" s="53">
        <v>0</v>
      </c>
      <c r="AS74" s="53"/>
      <c r="AT74" s="45">
        <f>+AJ74+AL74+AN74-AP74+AR74</f>
        <v>-184521</v>
      </c>
      <c r="AU74" s="45"/>
      <c r="AV74" s="53">
        <v>0</v>
      </c>
      <c r="AW74" s="53"/>
      <c r="AX74" s="53">
        <v>0</v>
      </c>
      <c r="AY74" s="53"/>
      <c r="AZ74" s="53">
        <f>E74-K74</f>
        <v>440688</v>
      </c>
      <c r="BA74" s="51"/>
      <c r="BB74" s="35" t="s">
        <v>488</v>
      </c>
      <c r="BD74" s="35" t="s">
        <v>27</v>
      </c>
      <c r="BE74" s="53"/>
      <c r="BF74" s="53">
        <v>0</v>
      </c>
      <c r="BG74" s="53"/>
      <c r="BH74" s="53">
        <v>0</v>
      </c>
      <c r="BI74" s="53"/>
      <c r="BJ74" s="53">
        <v>303539</v>
      </c>
      <c r="BK74" s="53"/>
      <c r="BL74" s="53">
        <v>44277</v>
      </c>
      <c r="BM74" s="53"/>
      <c r="BN74" s="53">
        <f>SUM(BF74:BL74)</f>
        <v>347816</v>
      </c>
      <c r="BO74" s="54"/>
      <c r="BS74" s="55"/>
      <c r="BT74" s="55"/>
      <c r="BU74" s="84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H74" s="55"/>
      <c r="CI74" s="55"/>
      <c r="CJ74" s="55"/>
      <c r="CK74" s="55"/>
      <c r="CL74" s="55"/>
      <c r="CM74" s="55"/>
      <c r="CN74" s="55"/>
      <c r="CO74" s="55"/>
      <c r="CP74" s="55"/>
      <c r="CQ74" s="55"/>
    </row>
    <row r="75" spans="1:95" s="35" customFormat="1" ht="12.75" customHeight="1">
      <c r="A75" s="35" t="s">
        <v>95</v>
      </c>
      <c r="B75" s="51"/>
      <c r="C75" s="35" t="s">
        <v>94</v>
      </c>
      <c r="D75" s="44"/>
      <c r="E75" s="53">
        <f>I75-G75</f>
        <v>129206</v>
      </c>
      <c r="F75" s="53"/>
      <c r="G75" s="53">
        <v>1907173</v>
      </c>
      <c r="H75" s="53"/>
      <c r="I75" s="53">
        <v>2036379</v>
      </c>
      <c r="J75" s="53"/>
      <c r="K75" s="53">
        <f>O75-M75</f>
        <v>114956</v>
      </c>
      <c r="L75" s="53"/>
      <c r="M75" s="53">
        <v>611819</v>
      </c>
      <c r="N75" s="53"/>
      <c r="O75" s="53">
        <v>726775</v>
      </c>
      <c r="P75" s="53"/>
      <c r="Q75" s="53">
        <v>1311125</v>
      </c>
      <c r="R75" s="53"/>
      <c r="S75" s="53">
        <v>0</v>
      </c>
      <c r="T75" s="53"/>
      <c r="U75" s="53">
        <v>-1521</v>
      </c>
      <c r="V75" s="53"/>
      <c r="W75" s="53">
        <f>SUM(Q75:U75)</f>
        <v>1309604</v>
      </c>
      <c r="X75" s="51"/>
      <c r="Y75" s="51"/>
      <c r="Z75" s="35" t="s">
        <v>95</v>
      </c>
      <c r="AA75" s="53"/>
      <c r="AB75" s="35" t="s">
        <v>94</v>
      </c>
      <c r="AC75" s="51"/>
      <c r="AD75" s="53">
        <v>470444</v>
      </c>
      <c r="AE75" s="53"/>
      <c r="AF75" s="53">
        <f>462382-85611</f>
        <v>376771</v>
      </c>
      <c r="AG75" s="53"/>
      <c r="AH75" s="53">
        <v>85611</v>
      </c>
      <c r="AI75" s="53"/>
      <c r="AJ75" s="45">
        <f>+AD75-AF75-AH75</f>
        <v>8062</v>
      </c>
      <c r="AK75" s="45"/>
      <c r="AL75" s="53">
        <v>19136</v>
      </c>
      <c r="AM75" s="45"/>
      <c r="AN75" s="53">
        <v>0</v>
      </c>
      <c r="AO75" s="53"/>
      <c r="AP75" s="53">
        <v>84864</v>
      </c>
      <c r="AQ75" s="53"/>
      <c r="AR75" s="53">
        <v>25000</v>
      </c>
      <c r="AS75" s="53"/>
      <c r="AT75" s="45">
        <f>+AJ75+AL75+AN75-AP75+AR75</f>
        <v>-32666</v>
      </c>
      <c r="AU75" s="45"/>
      <c r="AV75" s="53">
        <v>0</v>
      </c>
      <c r="AW75" s="53"/>
      <c r="AX75" s="53">
        <v>0</v>
      </c>
      <c r="AY75" s="53"/>
      <c r="AZ75" s="53">
        <f>E75-K75</f>
        <v>14250</v>
      </c>
      <c r="BA75" s="51"/>
      <c r="BB75" s="35" t="s">
        <v>95</v>
      </c>
      <c r="BD75" s="35" t="s">
        <v>94</v>
      </c>
      <c r="BE75" s="53"/>
      <c r="BF75" s="53">
        <v>1465000</v>
      </c>
      <c r="BG75" s="53"/>
      <c r="BH75" s="53">
        <v>0</v>
      </c>
      <c r="BI75" s="53"/>
      <c r="BJ75" s="53">
        <f>1460+353327+166096+89228</f>
        <v>610111</v>
      </c>
      <c r="BK75" s="53"/>
      <c r="BL75" s="53">
        <v>163861</v>
      </c>
      <c r="BM75" s="53"/>
      <c r="BN75" s="53">
        <f>SUM(BF75:BL75)</f>
        <v>2238972</v>
      </c>
      <c r="BO75" s="54"/>
      <c r="BS75" s="55"/>
      <c r="BT75" s="55"/>
      <c r="BU75" s="84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H75" s="55"/>
      <c r="CI75" s="55"/>
      <c r="CJ75" s="55"/>
      <c r="CK75" s="55"/>
      <c r="CL75" s="55"/>
      <c r="CM75" s="55"/>
      <c r="CN75" s="55"/>
      <c r="CO75" s="55"/>
      <c r="CP75" s="55"/>
      <c r="CQ75" s="55"/>
    </row>
    <row r="76" spans="1:95" s="126" customFormat="1" ht="12.75" hidden="1" customHeight="1">
      <c r="A76" s="126" t="s">
        <v>91</v>
      </c>
      <c r="B76" s="124"/>
      <c r="C76" s="126" t="s">
        <v>92</v>
      </c>
      <c r="D76" s="121"/>
      <c r="E76" s="140">
        <f t="shared" si="0"/>
        <v>0</v>
      </c>
      <c r="F76" s="140"/>
      <c r="G76" s="140"/>
      <c r="H76" s="140"/>
      <c r="I76" s="140"/>
      <c r="J76" s="140"/>
      <c r="K76" s="140">
        <f t="shared" si="1"/>
        <v>0</v>
      </c>
      <c r="L76" s="140"/>
      <c r="M76" s="140"/>
      <c r="N76" s="140"/>
      <c r="O76" s="140"/>
      <c r="P76" s="140"/>
      <c r="Q76" s="140"/>
      <c r="R76" s="140"/>
      <c r="S76" s="140">
        <v>0</v>
      </c>
      <c r="T76" s="140"/>
      <c r="U76" s="140"/>
      <c r="V76" s="140"/>
      <c r="W76" s="140">
        <f t="shared" si="2"/>
        <v>0</v>
      </c>
      <c r="X76" s="124"/>
      <c r="Y76" s="124"/>
      <c r="Z76" s="126" t="s">
        <v>91</v>
      </c>
      <c r="AA76" s="140"/>
      <c r="AB76" s="126" t="s">
        <v>92</v>
      </c>
      <c r="AC76" s="124"/>
      <c r="AD76" s="140"/>
      <c r="AE76" s="140"/>
      <c r="AF76" s="140"/>
      <c r="AG76" s="140"/>
      <c r="AH76" s="140"/>
      <c r="AI76" s="140"/>
      <c r="AJ76" s="127">
        <f t="shared" si="10"/>
        <v>0</v>
      </c>
      <c r="AK76" s="127"/>
      <c r="AL76" s="140"/>
      <c r="AM76" s="127"/>
      <c r="AN76" s="140"/>
      <c r="AO76" s="140"/>
      <c r="AP76" s="140"/>
      <c r="AQ76" s="140"/>
      <c r="AR76" s="140"/>
      <c r="AS76" s="140"/>
      <c r="AT76" s="127">
        <f t="shared" si="11"/>
        <v>0</v>
      </c>
      <c r="AU76" s="127"/>
      <c r="AV76" s="140">
        <v>0</v>
      </c>
      <c r="AW76" s="140"/>
      <c r="AX76" s="140">
        <v>0</v>
      </c>
      <c r="AY76" s="140"/>
      <c r="AZ76" s="140">
        <f t="shared" si="12"/>
        <v>0</v>
      </c>
      <c r="BA76" s="124"/>
      <c r="BB76" s="126" t="s">
        <v>91</v>
      </c>
      <c r="BD76" s="126" t="s">
        <v>92</v>
      </c>
      <c r="BE76" s="140"/>
      <c r="BF76" s="140"/>
      <c r="BG76" s="140"/>
      <c r="BH76" s="140"/>
      <c r="BI76" s="140"/>
      <c r="BJ76" s="140"/>
      <c r="BK76" s="140"/>
      <c r="BL76" s="140"/>
      <c r="BM76" s="140"/>
      <c r="BN76" s="140">
        <f t="shared" si="6"/>
        <v>0</v>
      </c>
      <c r="BO76" s="142"/>
      <c r="BS76" s="143"/>
      <c r="BT76" s="143"/>
      <c r="BU76" s="144"/>
      <c r="BV76" s="143"/>
      <c r="BW76" s="143"/>
      <c r="BX76" s="143"/>
      <c r="BY76" s="143"/>
      <c r="BZ76" s="143"/>
      <c r="CA76" s="143"/>
      <c r="CB76" s="143"/>
      <c r="CC76" s="143"/>
      <c r="CD76" s="143"/>
      <c r="CE76" s="143"/>
      <c r="CF76" s="143"/>
      <c r="CG76" s="143"/>
      <c r="CH76" s="143"/>
      <c r="CI76" s="143"/>
      <c r="CJ76" s="143"/>
      <c r="CK76" s="143"/>
      <c r="CL76" s="143"/>
      <c r="CM76" s="143"/>
      <c r="CN76" s="143"/>
      <c r="CO76" s="143"/>
      <c r="CP76" s="143"/>
      <c r="CQ76" s="143"/>
    </row>
    <row r="77" spans="1:95" s="35" customFormat="1" ht="12.75" customHeight="1">
      <c r="A77" s="35" t="s">
        <v>96</v>
      </c>
      <c r="B77" s="51"/>
      <c r="C77" s="35" t="s">
        <v>97</v>
      </c>
      <c r="D77" s="44"/>
      <c r="E77" s="53">
        <f t="shared" si="0"/>
        <v>1317027</v>
      </c>
      <c r="F77" s="53"/>
      <c r="G77" s="53">
        <v>6834911</v>
      </c>
      <c r="H77" s="53"/>
      <c r="I77" s="53">
        <v>8151938</v>
      </c>
      <c r="J77" s="53"/>
      <c r="K77" s="53">
        <f t="shared" si="1"/>
        <v>118400</v>
      </c>
      <c r="L77" s="53"/>
      <c r="M77" s="53">
        <v>4329228</v>
      </c>
      <c r="N77" s="53"/>
      <c r="O77" s="53">
        <v>4447628</v>
      </c>
      <c r="P77" s="53"/>
      <c r="Q77" s="53">
        <v>2563271</v>
      </c>
      <c r="R77" s="53"/>
      <c r="S77" s="53">
        <v>0</v>
      </c>
      <c r="T77" s="53"/>
      <c r="U77" s="53">
        <v>1141039</v>
      </c>
      <c r="V77" s="53"/>
      <c r="W77" s="53">
        <f t="shared" si="2"/>
        <v>3704310</v>
      </c>
      <c r="X77" s="51"/>
      <c r="Y77" s="51"/>
      <c r="Z77" s="35" t="s">
        <v>96</v>
      </c>
      <c r="AA77" s="53"/>
      <c r="AB77" s="35" t="s">
        <v>97</v>
      </c>
      <c r="AC77" s="51"/>
      <c r="AD77" s="53">
        <v>1351776</v>
      </c>
      <c r="AE77" s="53"/>
      <c r="AF77" s="53">
        <f>1121442-279927</f>
        <v>841515</v>
      </c>
      <c r="AG77" s="53"/>
      <c r="AH77" s="53">
        <v>279927</v>
      </c>
      <c r="AI77" s="53"/>
      <c r="AJ77" s="45">
        <f t="shared" si="10"/>
        <v>230334</v>
      </c>
      <c r="AK77" s="45"/>
      <c r="AL77" s="53">
        <v>-169349</v>
      </c>
      <c r="AM77" s="45"/>
      <c r="AN77" s="53">
        <v>0</v>
      </c>
      <c r="AO77" s="53"/>
      <c r="AP77" s="53">
        <v>0</v>
      </c>
      <c r="AQ77" s="53"/>
      <c r="AR77" s="53">
        <v>0</v>
      </c>
      <c r="AS77" s="53"/>
      <c r="AT77" s="45">
        <f t="shared" si="11"/>
        <v>60985</v>
      </c>
      <c r="AU77" s="45"/>
      <c r="AV77" s="53">
        <v>0</v>
      </c>
      <c r="AW77" s="53"/>
      <c r="AX77" s="53">
        <v>0</v>
      </c>
      <c r="AY77" s="53"/>
      <c r="AZ77" s="53">
        <f t="shared" si="12"/>
        <v>1198627</v>
      </c>
      <c r="BA77" s="51"/>
      <c r="BB77" s="35" t="s">
        <v>96</v>
      </c>
      <c r="BD77" s="35" t="s">
        <v>97</v>
      </c>
      <c r="BE77" s="53"/>
      <c r="BF77" s="53">
        <v>0</v>
      </c>
      <c r="BG77" s="53"/>
      <c r="BH77" s="53">
        <v>0</v>
      </c>
      <c r="BI77" s="53"/>
      <c r="BJ77" s="53">
        <v>4271640</v>
      </c>
      <c r="BK77" s="53"/>
      <c r="BL77" s="53">
        <v>129031</v>
      </c>
      <c r="BM77" s="53"/>
      <c r="BN77" s="53">
        <f t="shared" si="6"/>
        <v>4400671</v>
      </c>
      <c r="BO77" s="54"/>
      <c r="BS77" s="55"/>
      <c r="BT77" s="55"/>
      <c r="BU77" s="84"/>
      <c r="BV77" s="55"/>
      <c r="BW77" s="55"/>
      <c r="BX77" s="55"/>
      <c r="BY77" s="55"/>
      <c r="BZ77" s="55"/>
      <c r="CA77" s="55"/>
      <c r="CB77" s="55"/>
      <c r="CC77" s="55"/>
      <c r="CD77" s="55"/>
      <c r="CE77" s="55"/>
      <c r="CF77" s="55"/>
      <c r="CG77" s="55"/>
      <c r="CH77" s="55"/>
      <c r="CI77" s="55"/>
      <c r="CJ77" s="55"/>
      <c r="CK77" s="55"/>
      <c r="CL77" s="55"/>
      <c r="CM77" s="55"/>
      <c r="CN77" s="55"/>
      <c r="CO77" s="55"/>
      <c r="CP77" s="55"/>
      <c r="CQ77" s="55"/>
    </row>
    <row r="78" spans="1:95" s="35" customFormat="1" ht="12.75" customHeight="1">
      <c r="A78" s="35" t="s">
        <v>98</v>
      </c>
      <c r="B78" s="51"/>
      <c r="C78" s="35" t="s">
        <v>17</v>
      </c>
      <c r="D78" s="44"/>
      <c r="E78" s="53">
        <f t="shared" si="0"/>
        <v>2136456</v>
      </c>
      <c r="F78" s="53"/>
      <c r="G78" s="53">
        <v>15482117</v>
      </c>
      <c r="H78" s="53"/>
      <c r="I78" s="53">
        <v>17618573</v>
      </c>
      <c r="J78" s="53"/>
      <c r="K78" s="53">
        <f t="shared" si="1"/>
        <v>3314321</v>
      </c>
      <c r="L78" s="53"/>
      <c r="M78" s="53">
        <v>8616047</v>
      </c>
      <c r="N78" s="53"/>
      <c r="O78" s="53">
        <v>11930368</v>
      </c>
      <c r="P78" s="53"/>
      <c r="Q78" s="53">
        <v>5263762</v>
      </c>
      <c r="R78" s="53"/>
      <c r="S78" s="53">
        <v>0</v>
      </c>
      <c r="T78" s="53"/>
      <c r="U78" s="53">
        <v>424443</v>
      </c>
      <c r="V78" s="53"/>
      <c r="W78" s="53">
        <f t="shared" si="2"/>
        <v>5688205</v>
      </c>
      <c r="X78" s="51"/>
      <c r="Y78" s="51"/>
      <c r="Z78" s="35" t="s">
        <v>98</v>
      </c>
      <c r="AA78" s="53"/>
      <c r="AB78" s="35" t="s">
        <v>17</v>
      </c>
      <c r="AC78" s="51"/>
      <c r="AD78" s="53">
        <v>5888553</v>
      </c>
      <c r="AE78" s="53"/>
      <c r="AF78" s="53">
        <f>6917818-1124248</f>
        <v>5793570</v>
      </c>
      <c r="AG78" s="53"/>
      <c r="AH78" s="53">
        <v>1124248</v>
      </c>
      <c r="AI78" s="53"/>
      <c r="AJ78" s="45">
        <f t="shared" si="10"/>
        <v>-1029265</v>
      </c>
      <c r="AK78" s="45"/>
      <c r="AL78" s="53">
        <v>-329885</v>
      </c>
      <c r="AM78" s="45"/>
      <c r="AN78" s="53">
        <v>0</v>
      </c>
      <c r="AO78" s="53"/>
      <c r="AP78" s="53">
        <v>0</v>
      </c>
      <c r="AQ78" s="53"/>
      <c r="AR78" s="53">
        <v>0</v>
      </c>
      <c r="AS78" s="53"/>
      <c r="AT78" s="45">
        <f t="shared" si="11"/>
        <v>-1359150</v>
      </c>
      <c r="AU78" s="45"/>
      <c r="AV78" s="53">
        <v>0</v>
      </c>
      <c r="AW78" s="53"/>
      <c r="AX78" s="53">
        <v>0</v>
      </c>
      <c r="AY78" s="53"/>
      <c r="AZ78" s="53">
        <f t="shared" si="12"/>
        <v>-1177865</v>
      </c>
      <c r="BA78" s="51"/>
      <c r="BB78" s="35" t="s">
        <v>98</v>
      </c>
      <c r="BD78" s="35" t="s">
        <v>17</v>
      </c>
      <c r="BE78" s="53"/>
      <c r="BF78" s="53">
        <v>11830219</v>
      </c>
      <c r="BG78" s="53"/>
      <c r="BH78" s="53">
        <v>0</v>
      </c>
      <c r="BI78" s="53"/>
      <c r="BJ78" s="53">
        <v>0</v>
      </c>
      <c r="BK78" s="53"/>
      <c r="BL78" s="53">
        <v>1298912</v>
      </c>
      <c r="BM78" s="53"/>
      <c r="BN78" s="53">
        <f t="shared" si="6"/>
        <v>13129131</v>
      </c>
      <c r="BO78" s="54"/>
      <c r="BS78" s="55"/>
      <c r="BT78" s="55"/>
      <c r="BU78" s="84"/>
      <c r="BV78" s="55"/>
      <c r="BW78" s="55"/>
      <c r="BX78" s="55"/>
      <c r="BY78" s="55"/>
      <c r="BZ78" s="55"/>
      <c r="CA78" s="55"/>
      <c r="CB78" s="55"/>
      <c r="CC78" s="55"/>
      <c r="CD78" s="55"/>
      <c r="CE78" s="55"/>
      <c r="CF78" s="55"/>
      <c r="CG78" s="55"/>
      <c r="CH78" s="55"/>
      <c r="CI78" s="55"/>
      <c r="CJ78" s="55"/>
      <c r="CK78" s="55"/>
      <c r="CL78" s="55"/>
      <c r="CM78" s="55"/>
      <c r="CN78" s="55"/>
      <c r="CO78" s="55"/>
      <c r="CP78" s="55"/>
      <c r="CQ78" s="55"/>
    </row>
    <row r="79" spans="1:95" s="35" customFormat="1" ht="12.75" customHeight="1">
      <c r="A79" s="35" t="s">
        <v>99</v>
      </c>
      <c r="B79" s="51"/>
      <c r="C79" s="35" t="s">
        <v>66</v>
      </c>
      <c r="D79" s="44"/>
      <c r="E79" s="53">
        <f t="shared" si="0"/>
        <v>2643593</v>
      </c>
      <c r="F79" s="53"/>
      <c r="G79" s="53">
        <v>9887706</v>
      </c>
      <c r="H79" s="53"/>
      <c r="I79" s="53">
        <v>12531299</v>
      </c>
      <c r="J79" s="53"/>
      <c r="K79" s="53">
        <f t="shared" si="1"/>
        <v>43975</v>
      </c>
      <c r="L79" s="53"/>
      <c r="M79" s="53">
        <v>53699</v>
      </c>
      <c r="N79" s="53"/>
      <c r="O79" s="53">
        <v>97674</v>
      </c>
      <c r="P79" s="53"/>
      <c r="Q79" s="53">
        <v>9887706</v>
      </c>
      <c r="R79" s="53"/>
      <c r="S79" s="53">
        <v>0</v>
      </c>
      <c r="T79" s="53"/>
      <c r="U79" s="53">
        <v>2545919</v>
      </c>
      <c r="V79" s="53"/>
      <c r="W79" s="53">
        <f t="shared" si="2"/>
        <v>12433625</v>
      </c>
      <c r="Z79" s="35" t="s">
        <v>99</v>
      </c>
      <c r="AA79" s="53"/>
      <c r="AB79" s="35" t="s">
        <v>66</v>
      </c>
      <c r="AC79" s="51"/>
      <c r="AD79" s="53">
        <v>1231959</v>
      </c>
      <c r="AE79" s="53"/>
      <c r="AF79" s="53">
        <f>954557-389257</f>
        <v>565300</v>
      </c>
      <c r="AG79" s="53"/>
      <c r="AH79" s="53">
        <v>389257</v>
      </c>
      <c r="AI79" s="53"/>
      <c r="AJ79" s="45">
        <f t="shared" si="10"/>
        <v>277402</v>
      </c>
      <c r="AK79" s="45"/>
      <c r="AL79" s="53">
        <v>23631</v>
      </c>
      <c r="AM79" s="45"/>
      <c r="AN79" s="53">
        <v>0</v>
      </c>
      <c r="AO79" s="53"/>
      <c r="AP79" s="53">
        <v>0</v>
      </c>
      <c r="AQ79" s="53"/>
      <c r="AR79" s="53">
        <v>45106</v>
      </c>
      <c r="AS79" s="53"/>
      <c r="AT79" s="45">
        <f t="shared" si="11"/>
        <v>346139</v>
      </c>
      <c r="AU79" s="45"/>
      <c r="AV79" s="53">
        <v>0</v>
      </c>
      <c r="AW79" s="53"/>
      <c r="AX79" s="53">
        <v>0</v>
      </c>
      <c r="AY79" s="53"/>
      <c r="AZ79" s="53">
        <f t="shared" si="12"/>
        <v>2599618</v>
      </c>
      <c r="BA79" s="51"/>
      <c r="BB79" s="35" t="s">
        <v>99</v>
      </c>
      <c r="BD79" s="35" t="s">
        <v>66</v>
      </c>
      <c r="BE79" s="53"/>
      <c r="BF79" s="53">
        <v>0</v>
      </c>
      <c r="BG79" s="53"/>
      <c r="BH79" s="53">
        <v>0</v>
      </c>
      <c r="BI79" s="53"/>
      <c r="BJ79" s="53">
        <v>0</v>
      </c>
      <c r="BK79" s="53"/>
      <c r="BL79" s="53">
        <v>139120</v>
      </c>
      <c r="BM79" s="53"/>
      <c r="BN79" s="53">
        <f t="shared" si="6"/>
        <v>139120</v>
      </c>
      <c r="BO79" s="54"/>
      <c r="BS79" s="55"/>
      <c r="BT79" s="55"/>
      <c r="BU79" s="84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</row>
    <row r="80" spans="1:95" s="35" customFormat="1" ht="12.75" customHeight="1">
      <c r="A80" s="35" t="s">
        <v>100</v>
      </c>
      <c r="B80" s="51"/>
      <c r="C80" s="35" t="s">
        <v>27</v>
      </c>
      <c r="D80" s="44"/>
      <c r="E80" s="53">
        <f>I80-G80</f>
        <v>-20093053</v>
      </c>
      <c r="F80" s="53"/>
      <c r="G80" s="53">
        <v>20119314</v>
      </c>
      <c r="H80" s="53"/>
      <c r="I80" s="53">
        <v>26261</v>
      </c>
      <c r="J80" s="53"/>
      <c r="K80" s="53">
        <f>O80-M80</f>
        <v>6208860</v>
      </c>
      <c r="L80" s="53"/>
      <c r="M80" s="53">
        <v>5731581</v>
      </c>
      <c r="N80" s="53"/>
      <c r="O80" s="53">
        <v>11940441</v>
      </c>
      <c r="P80" s="53"/>
      <c r="Q80" s="53">
        <v>8166508</v>
      </c>
      <c r="R80" s="53"/>
      <c r="S80" s="53">
        <v>0</v>
      </c>
      <c r="T80" s="53"/>
      <c r="U80" s="53">
        <v>6154336</v>
      </c>
      <c r="V80" s="53"/>
      <c r="W80" s="53">
        <f>SUM(Q80:U80)</f>
        <v>14320844</v>
      </c>
      <c r="X80" s="51"/>
      <c r="Y80" s="51"/>
      <c r="Z80" s="35" t="s">
        <v>100</v>
      </c>
      <c r="AA80" s="53"/>
      <c r="AB80" s="35" t="s">
        <v>27</v>
      </c>
      <c r="AC80" s="51"/>
      <c r="AD80" s="53">
        <v>1623592</v>
      </c>
      <c r="AE80" s="53"/>
      <c r="AF80" s="53">
        <f>496038-467503</f>
        <v>28535</v>
      </c>
      <c r="AG80" s="53"/>
      <c r="AH80" s="53">
        <v>467503</v>
      </c>
      <c r="AI80" s="53"/>
      <c r="AJ80" s="45">
        <f t="shared" si="10"/>
        <v>1127554</v>
      </c>
      <c r="AK80" s="45"/>
      <c r="AL80" s="53">
        <v>-222706</v>
      </c>
      <c r="AM80" s="45"/>
      <c r="AN80" s="53">
        <v>0</v>
      </c>
      <c r="AO80" s="53"/>
      <c r="AP80" s="53">
        <v>667820</v>
      </c>
      <c r="AQ80" s="53"/>
      <c r="AR80" s="53">
        <v>0</v>
      </c>
      <c r="AS80" s="53"/>
      <c r="AT80" s="45">
        <f t="shared" si="11"/>
        <v>237028</v>
      </c>
      <c r="AU80" s="45"/>
      <c r="AV80" s="53">
        <v>0</v>
      </c>
      <c r="AW80" s="53"/>
      <c r="AX80" s="53">
        <v>0</v>
      </c>
      <c r="AY80" s="53"/>
      <c r="AZ80" s="53">
        <f t="shared" si="12"/>
        <v>-26301913</v>
      </c>
      <c r="BA80" s="51"/>
      <c r="BB80" s="35" t="s">
        <v>100</v>
      </c>
      <c r="BD80" s="35" t="s">
        <v>27</v>
      </c>
      <c r="BE80" s="53"/>
      <c r="BF80" s="53">
        <f>3035000+1270000+40162</f>
        <v>4345162</v>
      </c>
      <c r="BG80" s="53"/>
      <c r="BH80" s="53">
        <v>5600000</v>
      </c>
      <c r="BI80" s="53"/>
      <c r="BJ80" s="53">
        <v>1827798</v>
      </c>
      <c r="BK80" s="53"/>
      <c r="BL80" s="53">
        <v>1377399</v>
      </c>
      <c r="BM80" s="53"/>
      <c r="BN80" s="53">
        <f>SUM(BF80:BL80)</f>
        <v>13150359</v>
      </c>
      <c r="BO80" s="54"/>
      <c r="BS80" s="55"/>
      <c r="BT80" s="55"/>
      <c r="BU80" s="84"/>
      <c r="BV80" s="55"/>
      <c r="BW80" s="55"/>
      <c r="BX80" s="55"/>
      <c r="BY80" s="55"/>
      <c r="BZ80" s="55"/>
      <c r="CA80" s="55"/>
      <c r="CB80" s="55"/>
      <c r="CC80" s="55"/>
      <c r="CD80" s="55"/>
      <c r="CE80" s="55"/>
      <c r="CF80" s="55"/>
      <c r="CG80" s="55"/>
      <c r="CH80" s="55"/>
      <c r="CI80" s="55"/>
      <c r="CJ80" s="55"/>
      <c r="CK80" s="55"/>
      <c r="CL80" s="55"/>
      <c r="CM80" s="55"/>
      <c r="CN80" s="55"/>
      <c r="CO80" s="55"/>
      <c r="CP80" s="55"/>
      <c r="CQ80" s="55"/>
    </row>
    <row r="81" spans="1:95" s="35" customFormat="1" ht="12.75" customHeight="1">
      <c r="A81" s="35" t="s">
        <v>101</v>
      </c>
      <c r="B81" s="51"/>
      <c r="C81" s="35" t="s">
        <v>30</v>
      </c>
      <c r="D81" s="44"/>
      <c r="E81" s="53">
        <f>I81-G81</f>
        <v>3352731</v>
      </c>
      <c r="F81" s="53"/>
      <c r="G81" s="53">
        <v>8578783</v>
      </c>
      <c r="H81" s="53"/>
      <c r="I81" s="53">
        <v>11931514</v>
      </c>
      <c r="J81" s="53"/>
      <c r="K81" s="53">
        <f>O81-M81</f>
        <v>972738</v>
      </c>
      <c r="L81" s="53"/>
      <c r="M81" s="53">
        <v>5250036</v>
      </c>
      <c r="N81" s="53"/>
      <c r="O81" s="53">
        <v>6222774</v>
      </c>
      <c r="P81" s="53"/>
      <c r="Q81" s="53">
        <v>4843925</v>
      </c>
      <c r="R81" s="53"/>
      <c r="S81" s="53">
        <v>0</v>
      </c>
      <c r="T81" s="53"/>
      <c r="U81" s="53">
        <v>864815</v>
      </c>
      <c r="V81" s="53"/>
      <c r="W81" s="53">
        <f>SUM(Q81:U81)</f>
        <v>5708740</v>
      </c>
      <c r="X81" s="51"/>
      <c r="Y81" s="51"/>
      <c r="Z81" s="35" t="s">
        <v>101</v>
      </c>
      <c r="AA81" s="53"/>
      <c r="AB81" s="35" t="s">
        <v>30</v>
      </c>
      <c r="AC81" s="65"/>
      <c r="AD81" s="53">
        <v>3438472</v>
      </c>
      <c r="AE81" s="53"/>
      <c r="AF81" s="53">
        <f>3081496-763070</f>
        <v>2318426</v>
      </c>
      <c r="AG81" s="53"/>
      <c r="AH81" s="53">
        <v>763070</v>
      </c>
      <c r="AI81" s="53"/>
      <c r="AJ81" s="45">
        <f t="shared" si="10"/>
        <v>356976</v>
      </c>
      <c r="AK81" s="45"/>
      <c r="AL81" s="53">
        <v>-170402</v>
      </c>
      <c r="AM81" s="45"/>
      <c r="AN81" s="53">
        <v>0</v>
      </c>
      <c r="AO81" s="53"/>
      <c r="AP81" s="53">
        <v>0</v>
      </c>
      <c r="AQ81" s="53"/>
      <c r="AR81" s="53">
        <v>0</v>
      </c>
      <c r="AS81" s="53"/>
      <c r="AT81" s="45">
        <f t="shared" si="11"/>
        <v>186574</v>
      </c>
      <c r="AU81" s="45"/>
      <c r="AV81" s="53">
        <v>0</v>
      </c>
      <c r="AW81" s="53"/>
      <c r="AX81" s="53">
        <v>0</v>
      </c>
      <c r="AY81" s="53"/>
      <c r="AZ81" s="53">
        <f t="shared" si="12"/>
        <v>2379993</v>
      </c>
      <c r="BA81" s="51"/>
      <c r="BB81" s="35" t="s">
        <v>101</v>
      </c>
      <c r="BD81" s="35" t="s">
        <v>30</v>
      </c>
      <c r="BE81" s="53"/>
      <c r="BF81" s="53">
        <f>617500-7038+317500+1037400</f>
        <v>1965362</v>
      </c>
      <c r="BG81" s="53"/>
      <c r="BH81" s="53">
        <v>0</v>
      </c>
      <c r="BI81" s="53"/>
      <c r="BJ81" s="53">
        <v>116800</v>
      </c>
      <c r="BK81" s="53"/>
      <c r="BL81" s="53">
        <f>5239+185215</f>
        <v>190454</v>
      </c>
      <c r="BM81" s="53"/>
      <c r="BN81" s="53">
        <f>SUM(BF81:BL81)</f>
        <v>2272616</v>
      </c>
      <c r="BO81" s="54"/>
      <c r="BS81" s="55"/>
      <c r="BT81" s="55"/>
      <c r="BU81" s="84"/>
      <c r="BV81" s="55"/>
      <c r="BW81" s="55"/>
      <c r="BX81" s="55"/>
      <c r="BY81" s="55"/>
      <c r="BZ81" s="55"/>
      <c r="CA81" s="55"/>
      <c r="CB81" s="55"/>
      <c r="CC81" s="55"/>
      <c r="CD81" s="55"/>
      <c r="CE81" s="55"/>
      <c r="CF81" s="55"/>
      <c r="CG81" s="55"/>
      <c r="CH81" s="55"/>
      <c r="CI81" s="55"/>
      <c r="CJ81" s="55"/>
      <c r="CK81" s="55"/>
      <c r="CL81" s="55"/>
      <c r="CM81" s="55"/>
      <c r="CN81" s="55"/>
      <c r="CO81" s="55"/>
      <c r="CP81" s="55"/>
      <c r="CQ81" s="55"/>
    </row>
    <row r="82" spans="1:95" s="35" customFormat="1" ht="12.75" customHeight="1">
      <c r="A82" s="35" t="s">
        <v>102</v>
      </c>
      <c r="B82" s="51"/>
      <c r="C82" s="35" t="s">
        <v>103</v>
      </c>
      <c r="D82" s="44"/>
      <c r="E82" s="53">
        <f t="shared" ref="E82:E146" si="13">I82-G82</f>
        <v>10708196</v>
      </c>
      <c r="F82" s="53"/>
      <c r="G82" s="53">
        <v>16811694</v>
      </c>
      <c r="H82" s="53"/>
      <c r="I82" s="53">
        <v>27519890</v>
      </c>
      <c r="J82" s="53"/>
      <c r="K82" s="53">
        <f t="shared" ref="K82:K146" si="14">O82-M82</f>
        <v>799040</v>
      </c>
      <c r="L82" s="53"/>
      <c r="M82" s="53">
        <v>2746795</v>
      </c>
      <c r="N82" s="53"/>
      <c r="O82" s="53">
        <v>3545835</v>
      </c>
      <c r="P82" s="53"/>
      <c r="Q82" s="53">
        <v>14011694</v>
      </c>
      <c r="R82" s="53"/>
      <c r="S82" s="53">
        <v>1270771</v>
      </c>
      <c r="T82" s="53"/>
      <c r="U82" s="53">
        <v>8691590</v>
      </c>
      <c r="V82" s="53"/>
      <c r="W82" s="53">
        <f t="shared" ref="W82:W146" si="15">SUM(Q82:U82)</f>
        <v>23974055</v>
      </c>
      <c r="X82" s="51"/>
      <c r="Y82" s="51"/>
      <c r="Z82" s="35" t="s">
        <v>102</v>
      </c>
      <c r="AA82" s="53"/>
      <c r="AB82" s="35" t="s">
        <v>103</v>
      </c>
      <c r="AC82" s="51"/>
      <c r="AD82" s="53">
        <v>3943567</v>
      </c>
      <c r="AE82" s="53"/>
      <c r="AF82" s="53">
        <f>4100239-533820</f>
        <v>3566419</v>
      </c>
      <c r="AG82" s="53"/>
      <c r="AH82" s="53">
        <v>533820</v>
      </c>
      <c r="AI82" s="53"/>
      <c r="AJ82" s="45">
        <f t="shared" ref="AJ82:AJ89" si="16">+AD82-AF82-AH82</f>
        <v>-156672</v>
      </c>
      <c r="AK82" s="45"/>
      <c r="AL82" s="53">
        <v>140578</v>
      </c>
      <c r="AM82" s="45"/>
      <c r="AN82" s="53">
        <v>0</v>
      </c>
      <c r="AO82" s="53"/>
      <c r="AP82" s="53">
        <v>0</v>
      </c>
      <c r="AQ82" s="53"/>
      <c r="AR82" s="53">
        <v>0</v>
      </c>
      <c r="AS82" s="53"/>
      <c r="AT82" s="45">
        <f t="shared" ref="AT82:AT89" si="17">+AJ82+AL82+AN82-AP82+AR82</f>
        <v>-16094</v>
      </c>
      <c r="AU82" s="45"/>
      <c r="AV82" s="53">
        <v>0</v>
      </c>
      <c r="AW82" s="53"/>
      <c r="AX82" s="53">
        <v>0</v>
      </c>
      <c r="AY82" s="53"/>
      <c r="AZ82" s="53">
        <f t="shared" ref="AZ82:AZ89" si="18">E82-K82</f>
        <v>9909156</v>
      </c>
      <c r="BA82" s="51"/>
      <c r="BB82" s="35" t="s">
        <v>102</v>
      </c>
      <c r="BD82" s="35" t="s">
        <v>103</v>
      </c>
      <c r="BE82" s="53"/>
      <c r="BF82" s="53">
        <v>1700000</v>
      </c>
      <c r="BG82" s="53"/>
      <c r="BH82" s="53">
        <v>2800000</v>
      </c>
      <c r="BI82" s="53"/>
      <c r="BJ82" s="53">
        <v>0</v>
      </c>
      <c r="BK82" s="53"/>
      <c r="BL82" s="53">
        <v>542016</v>
      </c>
      <c r="BM82" s="53"/>
      <c r="BN82" s="53">
        <f t="shared" ref="BN82:BN146" si="19">SUM(BF82:BL82)</f>
        <v>5042016</v>
      </c>
      <c r="BO82" s="54"/>
      <c r="BS82" s="55"/>
      <c r="BT82" s="55"/>
      <c r="BU82" s="84"/>
      <c r="BV82" s="55"/>
      <c r="BW82" s="55"/>
      <c r="BX82" s="55"/>
      <c r="BY82" s="55"/>
      <c r="BZ82" s="55"/>
      <c r="CA82" s="55"/>
      <c r="CB82" s="55"/>
      <c r="CC82" s="55"/>
      <c r="CD82" s="55"/>
      <c r="CE82" s="55"/>
      <c r="CF82" s="55"/>
      <c r="CG82" s="55"/>
      <c r="CH82" s="55"/>
      <c r="CI82" s="55"/>
      <c r="CJ82" s="55"/>
      <c r="CK82" s="55"/>
      <c r="CL82" s="55"/>
      <c r="CM82" s="55"/>
      <c r="CN82" s="55"/>
      <c r="CO82" s="55"/>
      <c r="CP82" s="55"/>
      <c r="CQ82" s="55"/>
    </row>
    <row r="83" spans="1:95" s="126" customFormat="1" ht="12.75" hidden="1" customHeight="1">
      <c r="A83" s="126" t="s">
        <v>104</v>
      </c>
      <c r="B83" s="124"/>
      <c r="C83" s="126" t="s">
        <v>13</v>
      </c>
      <c r="D83" s="121"/>
      <c r="E83" s="140">
        <f t="shared" si="13"/>
        <v>0</v>
      </c>
      <c r="F83" s="140"/>
      <c r="G83" s="140"/>
      <c r="H83" s="140"/>
      <c r="I83" s="140"/>
      <c r="J83" s="140"/>
      <c r="K83" s="140">
        <f t="shared" si="14"/>
        <v>0</v>
      </c>
      <c r="L83" s="140"/>
      <c r="M83" s="140"/>
      <c r="N83" s="140"/>
      <c r="O83" s="140"/>
      <c r="P83" s="140"/>
      <c r="Q83" s="140"/>
      <c r="R83" s="140"/>
      <c r="S83" s="140">
        <v>0</v>
      </c>
      <c r="T83" s="140"/>
      <c r="U83" s="140"/>
      <c r="V83" s="140"/>
      <c r="W83" s="140">
        <f t="shared" si="15"/>
        <v>0</v>
      </c>
      <c r="X83" s="124"/>
      <c r="Y83" s="124"/>
      <c r="Z83" s="126" t="s">
        <v>104</v>
      </c>
      <c r="AA83" s="140"/>
      <c r="AB83" s="126" t="s">
        <v>13</v>
      </c>
      <c r="AC83" s="124"/>
      <c r="AD83" s="140"/>
      <c r="AE83" s="140"/>
      <c r="AF83" s="140"/>
      <c r="AG83" s="140"/>
      <c r="AH83" s="140"/>
      <c r="AI83" s="140"/>
      <c r="AJ83" s="127">
        <f t="shared" si="16"/>
        <v>0</v>
      </c>
      <c r="AK83" s="127"/>
      <c r="AL83" s="140"/>
      <c r="AM83" s="127"/>
      <c r="AN83" s="140"/>
      <c r="AO83" s="140"/>
      <c r="AP83" s="140"/>
      <c r="AQ83" s="140"/>
      <c r="AR83" s="140"/>
      <c r="AS83" s="140"/>
      <c r="AT83" s="127">
        <f t="shared" si="17"/>
        <v>0</v>
      </c>
      <c r="AU83" s="127"/>
      <c r="AV83" s="140">
        <v>0</v>
      </c>
      <c r="AW83" s="140"/>
      <c r="AX83" s="140">
        <v>0</v>
      </c>
      <c r="AY83" s="140"/>
      <c r="AZ83" s="140">
        <f t="shared" si="18"/>
        <v>0</v>
      </c>
      <c r="BA83" s="124"/>
      <c r="BB83" s="126" t="s">
        <v>104</v>
      </c>
      <c r="BD83" s="126" t="s">
        <v>13</v>
      </c>
      <c r="BE83" s="140"/>
      <c r="BF83" s="140"/>
      <c r="BG83" s="140"/>
      <c r="BH83" s="140"/>
      <c r="BI83" s="140"/>
      <c r="BJ83" s="140"/>
      <c r="BK83" s="140"/>
      <c r="BL83" s="140"/>
      <c r="BM83" s="140"/>
      <c r="BN83" s="140">
        <f t="shared" si="19"/>
        <v>0</v>
      </c>
      <c r="BO83" s="142"/>
      <c r="BP83" s="143"/>
      <c r="BS83" s="143"/>
      <c r="BT83" s="143"/>
      <c r="BU83" s="144"/>
      <c r="BV83" s="143"/>
      <c r="BW83" s="143"/>
      <c r="BX83" s="143"/>
      <c r="BY83" s="143"/>
      <c r="BZ83" s="143"/>
      <c r="CA83" s="143"/>
      <c r="CB83" s="143"/>
      <c r="CC83" s="143"/>
      <c r="CD83" s="143"/>
      <c r="CE83" s="143"/>
      <c r="CF83" s="143"/>
      <c r="CG83" s="143"/>
      <c r="CH83" s="143"/>
      <c r="CI83" s="143"/>
      <c r="CJ83" s="143"/>
      <c r="CK83" s="143"/>
      <c r="CL83" s="143"/>
      <c r="CM83" s="143"/>
      <c r="CN83" s="143"/>
      <c r="CO83" s="143"/>
      <c r="CP83" s="143"/>
      <c r="CQ83" s="143"/>
    </row>
    <row r="84" spans="1:95" s="126" customFormat="1" ht="12.75" hidden="1" customHeight="1">
      <c r="A84" s="126" t="s">
        <v>105</v>
      </c>
      <c r="B84" s="124"/>
      <c r="C84" s="126" t="s">
        <v>27</v>
      </c>
      <c r="D84" s="121"/>
      <c r="E84" s="140">
        <f t="shared" si="13"/>
        <v>0</v>
      </c>
      <c r="F84" s="140"/>
      <c r="G84" s="140"/>
      <c r="H84" s="140"/>
      <c r="I84" s="140"/>
      <c r="J84" s="140"/>
      <c r="K84" s="140">
        <f t="shared" si="14"/>
        <v>0</v>
      </c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>
        <f t="shared" si="15"/>
        <v>0</v>
      </c>
      <c r="X84" s="124"/>
      <c r="Y84" s="124"/>
      <c r="Z84" s="126" t="s">
        <v>105</v>
      </c>
      <c r="AA84" s="140"/>
      <c r="AB84" s="126" t="s">
        <v>27</v>
      </c>
      <c r="AC84" s="124"/>
      <c r="AD84" s="140"/>
      <c r="AE84" s="140"/>
      <c r="AF84" s="140"/>
      <c r="AG84" s="140"/>
      <c r="AH84" s="140"/>
      <c r="AI84" s="140"/>
      <c r="AJ84" s="127">
        <f t="shared" si="16"/>
        <v>0</v>
      </c>
      <c r="AK84" s="127"/>
      <c r="AL84" s="140"/>
      <c r="AM84" s="127"/>
      <c r="AN84" s="140"/>
      <c r="AO84" s="140"/>
      <c r="AP84" s="140"/>
      <c r="AQ84" s="140"/>
      <c r="AR84" s="140"/>
      <c r="AS84" s="140"/>
      <c r="AT84" s="127">
        <f t="shared" si="17"/>
        <v>0</v>
      </c>
      <c r="AU84" s="127"/>
      <c r="AV84" s="140">
        <v>0</v>
      </c>
      <c r="AW84" s="140"/>
      <c r="AX84" s="140">
        <v>0</v>
      </c>
      <c r="AY84" s="140"/>
      <c r="AZ84" s="140">
        <f t="shared" si="18"/>
        <v>0</v>
      </c>
      <c r="BA84" s="124"/>
      <c r="BB84" s="126" t="s">
        <v>105</v>
      </c>
      <c r="BD84" s="126" t="s">
        <v>27</v>
      </c>
      <c r="BE84" s="140"/>
      <c r="BF84" s="140"/>
      <c r="BG84" s="140"/>
      <c r="BH84" s="140"/>
      <c r="BI84" s="140"/>
      <c r="BJ84" s="140"/>
      <c r="BK84" s="140"/>
      <c r="BL84" s="140"/>
      <c r="BM84" s="140"/>
      <c r="BN84" s="140">
        <f t="shared" si="19"/>
        <v>0</v>
      </c>
      <c r="BO84" s="142"/>
      <c r="BS84" s="143"/>
      <c r="BT84" s="143"/>
      <c r="BU84" s="144"/>
      <c r="BV84" s="143"/>
      <c r="BW84" s="143"/>
      <c r="BX84" s="143"/>
      <c r="BY84" s="143"/>
      <c r="BZ84" s="143"/>
      <c r="CA84" s="143"/>
      <c r="CB84" s="143"/>
      <c r="CC84" s="143"/>
      <c r="CD84" s="143"/>
      <c r="CE84" s="143"/>
      <c r="CF84" s="143"/>
      <c r="CG84" s="143"/>
      <c r="CH84" s="143"/>
      <c r="CI84" s="143"/>
      <c r="CJ84" s="143"/>
      <c r="CK84" s="143"/>
      <c r="CL84" s="143"/>
      <c r="CM84" s="143"/>
      <c r="CN84" s="143"/>
      <c r="CO84" s="143"/>
      <c r="CP84" s="143"/>
      <c r="CQ84" s="143"/>
    </row>
    <row r="85" spans="1:95" s="35" customFormat="1" ht="12.75" customHeight="1">
      <c r="A85" s="35" t="s">
        <v>106</v>
      </c>
      <c r="B85" s="51"/>
      <c r="C85" s="35" t="s">
        <v>107</v>
      </c>
      <c r="D85" s="44"/>
      <c r="E85" s="53">
        <f t="shared" si="13"/>
        <v>5975395</v>
      </c>
      <c r="F85" s="53"/>
      <c r="G85" s="53">
        <v>53446333</v>
      </c>
      <c r="H85" s="53"/>
      <c r="I85" s="53">
        <v>59421728</v>
      </c>
      <c r="J85" s="53"/>
      <c r="K85" s="53">
        <f t="shared" si="14"/>
        <v>3448721</v>
      </c>
      <c r="L85" s="53"/>
      <c r="M85" s="53">
        <v>9954533</v>
      </c>
      <c r="N85" s="53"/>
      <c r="O85" s="53">
        <v>13403254</v>
      </c>
      <c r="P85" s="53"/>
      <c r="Q85" s="53">
        <v>40373944</v>
      </c>
      <c r="R85" s="53"/>
      <c r="S85" s="53">
        <f>705641+594458</f>
        <v>1300099</v>
      </c>
      <c r="T85" s="53"/>
      <c r="U85" s="53">
        <v>4344431</v>
      </c>
      <c r="V85" s="53"/>
      <c r="W85" s="53">
        <f t="shared" si="15"/>
        <v>46018474</v>
      </c>
      <c r="Z85" s="35" t="s">
        <v>106</v>
      </c>
      <c r="AA85" s="53"/>
      <c r="AB85" s="35" t="s">
        <v>107</v>
      </c>
      <c r="AC85" s="51"/>
      <c r="AD85" s="53">
        <v>7445937</v>
      </c>
      <c r="AE85" s="53"/>
      <c r="AF85" s="53">
        <f>5757471-1102743</f>
        <v>4654728</v>
      </c>
      <c r="AG85" s="53"/>
      <c r="AH85" s="53">
        <v>1102743</v>
      </c>
      <c r="AI85" s="53"/>
      <c r="AJ85" s="45">
        <f t="shared" si="16"/>
        <v>1688466</v>
      </c>
      <c r="AK85" s="45"/>
      <c r="AL85" s="53">
        <v>-299276</v>
      </c>
      <c r="AM85" s="45"/>
      <c r="AN85" s="53">
        <v>62401</v>
      </c>
      <c r="AO85" s="53"/>
      <c r="AP85" s="53">
        <v>21599</v>
      </c>
      <c r="AQ85" s="53"/>
      <c r="AR85" s="53">
        <v>1273825</v>
      </c>
      <c r="AS85" s="53"/>
      <c r="AT85" s="45">
        <f t="shared" si="17"/>
        <v>2703817</v>
      </c>
      <c r="AU85" s="45"/>
      <c r="AV85" s="53">
        <v>0</v>
      </c>
      <c r="AW85" s="53"/>
      <c r="AX85" s="53">
        <v>0</v>
      </c>
      <c r="AY85" s="53"/>
      <c r="AZ85" s="53">
        <f t="shared" si="18"/>
        <v>2526674</v>
      </c>
      <c r="BA85" s="65"/>
      <c r="BB85" s="35" t="s">
        <v>106</v>
      </c>
      <c r="BD85" s="35" t="s">
        <v>107</v>
      </c>
      <c r="BE85" s="53"/>
      <c r="BF85" s="53">
        <v>14935000</v>
      </c>
      <c r="BG85" s="53"/>
      <c r="BH85" s="53">
        <v>0</v>
      </c>
      <c r="BI85" s="53"/>
      <c r="BJ85" s="53">
        <v>30979789</v>
      </c>
      <c r="BK85" s="53"/>
      <c r="BL85" s="53">
        <v>790001</v>
      </c>
      <c r="BM85" s="53"/>
      <c r="BN85" s="53">
        <v>880450</v>
      </c>
      <c r="BO85" s="54"/>
      <c r="BS85" s="55"/>
      <c r="BT85" s="55"/>
      <c r="BU85" s="84"/>
      <c r="BV85" s="55"/>
      <c r="BW85" s="55"/>
      <c r="BX85" s="55"/>
      <c r="BY85" s="55"/>
      <c r="BZ85" s="55"/>
      <c r="CA85" s="55"/>
      <c r="CB85" s="55"/>
      <c r="CC85" s="55"/>
      <c r="CD85" s="55"/>
      <c r="CE85" s="55"/>
      <c r="CF85" s="55"/>
      <c r="CG85" s="55"/>
      <c r="CH85" s="55"/>
      <c r="CI85" s="55"/>
      <c r="CJ85" s="55"/>
      <c r="CK85" s="55"/>
      <c r="CL85" s="55"/>
      <c r="CM85" s="55"/>
      <c r="CN85" s="55"/>
      <c r="CO85" s="55"/>
      <c r="CP85" s="55"/>
      <c r="CQ85" s="55"/>
    </row>
    <row r="86" spans="1:95" s="126" customFormat="1" ht="12.75" hidden="1" customHeight="1">
      <c r="A86" s="126" t="s">
        <v>108</v>
      </c>
      <c r="B86" s="124"/>
      <c r="C86" s="126" t="s">
        <v>45</v>
      </c>
      <c r="D86" s="121"/>
      <c r="E86" s="140">
        <f t="shared" si="13"/>
        <v>0</v>
      </c>
      <c r="F86" s="140"/>
      <c r="G86" s="140"/>
      <c r="H86" s="140"/>
      <c r="I86" s="140"/>
      <c r="J86" s="140"/>
      <c r="K86" s="140">
        <f t="shared" si="14"/>
        <v>0</v>
      </c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>
        <f t="shared" si="15"/>
        <v>0</v>
      </c>
      <c r="X86" s="124"/>
      <c r="Y86" s="124"/>
      <c r="Z86" s="126" t="s">
        <v>108</v>
      </c>
      <c r="AA86" s="140"/>
      <c r="AB86" s="126" t="s">
        <v>45</v>
      </c>
      <c r="AC86" s="124"/>
      <c r="AD86" s="140"/>
      <c r="AE86" s="140"/>
      <c r="AF86" s="140"/>
      <c r="AG86" s="140"/>
      <c r="AH86" s="140"/>
      <c r="AI86" s="140"/>
      <c r="AJ86" s="127">
        <f t="shared" si="16"/>
        <v>0</v>
      </c>
      <c r="AK86" s="127"/>
      <c r="AL86" s="140"/>
      <c r="AM86" s="127"/>
      <c r="AN86" s="140"/>
      <c r="AO86" s="140"/>
      <c r="AP86" s="140"/>
      <c r="AQ86" s="140"/>
      <c r="AR86" s="140"/>
      <c r="AS86" s="140"/>
      <c r="AT86" s="127">
        <f t="shared" si="17"/>
        <v>0</v>
      </c>
      <c r="AU86" s="127"/>
      <c r="AV86" s="140">
        <v>0</v>
      </c>
      <c r="AW86" s="140"/>
      <c r="AX86" s="140">
        <v>0</v>
      </c>
      <c r="AY86" s="140"/>
      <c r="AZ86" s="140">
        <f t="shared" si="18"/>
        <v>0</v>
      </c>
      <c r="BA86" s="124"/>
      <c r="BB86" s="126" t="s">
        <v>108</v>
      </c>
      <c r="BD86" s="126" t="s">
        <v>45</v>
      </c>
      <c r="BE86" s="140"/>
      <c r="BF86" s="140"/>
      <c r="BG86" s="140"/>
      <c r="BH86" s="140"/>
      <c r="BI86" s="140"/>
      <c r="BJ86" s="140"/>
      <c r="BK86" s="140"/>
      <c r="BL86" s="140"/>
      <c r="BM86" s="140"/>
      <c r="BN86" s="140">
        <f t="shared" si="19"/>
        <v>0</v>
      </c>
      <c r="BO86" s="142"/>
      <c r="BS86" s="143"/>
      <c r="BT86" s="143"/>
      <c r="BU86" s="144"/>
      <c r="BV86" s="143"/>
      <c r="BW86" s="143"/>
      <c r="BX86" s="143"/>
      <c r="BY86" s="143"/>
      <c r="BZ86" s="143"/>
      <c r="CA86" s="143"/>
      <c r="CB86" s="143"/>
      <c r="CC86" s="143"/>
      <c r="CD86" s="143"/>
      <c r="CE86" s="143"/>
      <c r="CF86" s="143"/>
      <c r="CG86" s="143"/>
      <c r="CH86" s="143"/>
      <c r="CI86" s="143"/>
      <c r="CJ86" s="143"/>
      <c r="CK86" s="143"/>
      <c r="CL86" s="143"/>
      <c r="CM86" s="143"/>
      <c r="CN86" s="143"/>
      <c r="CO86" s="143"/>
      <c r="CP86" s="143"/>
      <c r="CQ86" s="143"/>
    </row>
    <row r="87" spans="1:95" s="35" customFormat="1" ht="12.75" customHeight="1">
      <c r="A87" s="35" t="s">
        <v>109</v>
      </c>
      <c r="C87" s="35" t="s">
        <v>110</v>
      </c>
      <c r="D87" s="44"/>
      <c r="E87" s="53">
        <f t="shared" si="13"/>
        <v>1071496</v>
      </c>
      <c r="F87" s="53"/>
      <c r="G87" s="53">
        <v>16976329</v>
      </c>
      <c r="H87" s="53"/>
      <c r="I87" s="53">
        <v>18047825</v>
      </c>
      <c r="J87" s="53"/>
      <c r="K87" s="53">
        <f t="shared" si="14"/>
        <v>621130</v>
      </c>
      <c r="L87" s="53"/>
      <c r="M87" s="53">
        <v>1140889</v>
      </c>
      <c r="N87" s="53"/>
      <c r="O87" s="53">
        <v>1762019</v>
      </c>
      <c r="P87" s="53"/>
      <c r="Q87" s="53">
        <v>15597607</v>
      </c>
      <c r="R87" s="53"/>
      <c r="S87" s="53">
        <v>0</v>
      </c>
      <c r="T87" s="53"/>
      <c r="U87" s="53">
        <v>688199</v>
      </c>
      <c r="V87" s="53"/>
      <c r="W87" s="53">
        <f t="shared" si="15"/>
        <v>16285806</v>
      </c>
      <c r="X87" s="65"/>
      <c r="Y87" s="65"/>
      <c r="Z87" s="35" t="s">
        <v>109</v>
      </c>
      <c r="AA87" s="53"/>
      <c r="AB87" s="35" t="s">
        <v>110</v>
      </c>
      <c r="AD87" s="53">
        <v>3046053</v>
      </c>
      <c r="AE87" s="53"/>
      <c r="AF87" s="53">
        <f>2584017-334987</f>
        <v>2249030</v>
      </c>
      <c r="AG87" s="53"/>
      <c r="AH87" s="53">
        <v>334987</v>
      </c>
      <c r="AI87" s="53"/>
      <c r="AJ87" s="45">
        <f t="shared" si="16"/>
        <v>462036</v>
      </c>
      <c r="AK87" s="45"/>
      <c r="AL87" s="53">
        <v>-107513</v>
      </c>
      <c r="AM87" s="45"/>
      <c r="AN87" s="53">
        <v>0</v>
      </c>
      <c r="AO87" s="53"/>
      <c r="AP87" s="53">
        <v>0</v>
      </c>
      <c r="AQ87" s="53"/>
      <c r="AR87" s="53">
        <v>0</v>
      </c>
      <c r="AS87" s="53"/>
      <c r="AT87" s="45">
        <f t="shared" si="17"/>
        <v>354523</v>
      </c>
      <c r="AU87" s="45"/>
      <c r="AV87" s="53">
        <v>0</v>
      </c>
      <c r="AW87" s="53"/>
      <c r="AX87" s="53">
        <v>0</v>
      </c>
      <c r="AY87" s="53"/>
      <c r="AZ87" s="53">
        <f t="shared" si="18"/>
        <v>450366</v>
      </c>
      <c r="BA87" s="65"/>
      <c r="BB87" s="35" t="s">
        <v>109</v>
      </c>
      <c r="BD87" s="35" t="s">
        <v>110</v>
      </c>
      <c r="BE87" s="53"/>
      <c r="BF87" s="53">
        <v>505000</v>
      </c>
      <c r="BG87" s="53"/>
      <c r="BH87" s="53">
        <v>0</v>
      </c>
      <c r="BI87" s="53"/>
      <c r="BJ87" s="53">
        <v>4103469</v>
      </c>
      <c r="BK87" s="53"/>
      <c r="BL87" s="53">
        <v>338766</v>
      </c>
      <c r="BM87" s="53"/>
      <c r="BN87" s="53">
        <f t="shared" si="19"/>
        <v>4947235</v>
      </c>
      <c r="BO87" s="54"/>
      <c r="BS87" s="55"/>
      <c r="BT87" s="55"/>
      <c r="BU87" s="84"/>
      <c r="BV87" s="55"/>
      <c r="BW87" s="55"/>
      <c r="BX87" s="55"/>
      <c r="BY87" s="55"/>
      <c r="BZ87" s="55"/>
      <c r="CA87" s="55"/>
      <c r="CB87" s="55"/>
      <c r="CC87" s="55"/>
      <c r="CD87" s="55"/>
      <c r="CE87" s="55"/>
      <c r="CF87" s="55"/>
      <c r="CG87" s="55"/>
      <c r="CH87" s="55"/>
      <c r="CI87" s="55"/>
      <c r="CJ87" s="55"/>
      <c r="CK87" s="55"/>
      <c r="CL87" s="55"/>
      <c r="CM87" s="55"/>
      <c r="CN87" s="55"/>
      <c r="CO87" s="55"/>
      <c r="CP87" s="55"/>
      <c r="CQ87" s="55"/>
    </row>
    <row r="88" spans="1:95" s="35" customFormat="1" ht="12.75" customHeight="1">
      <c r="A88" s="35" t="s">
        <v>43</v>
      </c>
      <c r="B88" s="51"/>
      <c r="C88" s="35" t="s">
        <v>111</v>
      </c>
      <c r="D88" s="44"/>
      <c r="E88" s="53">
        <f t="shared" si="13"/>
        <v>1783342</v>
      </c>
      <c r="F88" s="53"/>
      <c r="G88" s="53">
        <v>10126252</v>
      </c>
      <c r="H88" s="53"/>
      <c r="I88" s="53">
        <v>11909594</v>
      </c>
      <c r="J88" s="53"/>
      <c r="K88" s="53">
        <f t="shared" si="14"/>
        <v>1003536</v>
      </c>
      <c r="L88" s="53"/>
      <c r="M88" s="53">
        <v>8119321</v>
      </c>
      <c r="N88" s="53"/>
      <c r="O88" s="53">
        <v>9122857</v>
      </c>
      <c r="P88" s="53"/>
      <c r="Q88" s="53">
        <v>1052347</v>
      </c>
      <c r="R88" s="53"/>
      <c r="S88" s="53">
        <f>610290+217630</f>
        <v>827920</v>
      </c>
      <c r="T88" s="53"/>
      <c r="U88" s="53">
        <v>906470</v>
      </c>
      <c r="V88" s="53"/>
      <c r="W88" s="53">
        <f t="shared" si="15"/>
        <v>2786737</v>
      </c>
      <c r="Z88" s="35" t="s">
        <v>43</v>
      </c>
      <c r="AA88" s="53"/>
      <c r="AB88" s="35" t="s">
        <v>111</v>
      </c>
      <c r="AC88" s="51"/>
      <c r="AD88" s="53">
        <v>2391732</v>
      </c>
      <c r="AE88" s="53"/>
      <c r="AF88" s="53">
        <f>1565357-193781</f>
        <v>1371576</v>
      </c>
      <c r="AG88" s="53"/>
      <c r="AH88" s="53">
        <v>193781</v>
      </c>
      <c r="AI88" s="53"/>
      <c r="AJ88" s="45">
        <f t="shared" si="16"/>
        <v>826375</v>
      </c>
      <c r="AK88" s="45"/>
      <c r="AL88" s="53">
        <v>-366027</v>
      </c>
      <c r="AM88" s="45"/>
      <c r="AN88" s="53">
        <v>0</v>
      </c>
      <c r="AO88" s="53"/>
      <c r="AP88" s="53">
        <v>176139</v>
      </c>
      <c r="AQ88" s="53"/>
      <c r="AR88" s="53">
        <v>695403</v>
      </c>
      <c r="AS88" s="53"/>
      <c r="AT88" s="45">
        <f t="shared" si="17"/>
        <v>979612</v>
      </c>
      <c r="AU88" s="45"/>
      <c r="AV88" s="53">
        <v>0</v>
      </c>
      <c r="AW88" s="53"/>
      <c r="AX88" s="53">
        <v>0</v>
      </c>
      <c r="AY88" s="53"/>
      <c r="AZ88" s="53">
        <f t="shared" si="18"/>
        <v>779806</v>
      </c>
      <c r="BA88" s="65"/>
      <c r="BB88" s="35" t="s">
        <v>43</v>
      </c>
      <c r="BD88" s="35" t="s">
        <v>111</v>
      </c>
      <c r="BE88" s="53"/>
      <c r="BF88" s="53">
        <v>0</v>
      </c>
      <c r="BG88" s="53"/>
      <c r="BH88" s="53">
        <v>0</v>
      </c>
      <c r="BI88" s="53"/>
      <c r="BJ88" s="53">
        <f>3067762+5460000-28444+53765</f>
        <v>8553083</v>
      </c>
      <c r="BK88" s="53"/>
      <c r="BL88" s="53">
        <v>201832</v>
      </c>
      <c r="BM88" s="53"/>
      <c r="BN88" s="53">
        <f t="shared" si="19"/>
        <v>8754915</v>
      </c>
      <c r="BO88" s="54"/>
      <c r="BS88" s="55"/>
      <c r="BT88" s="55"/>
      <c r="BU88" s="84"/>
      <c r="BV88" s="55"/>
      <c r="BW88" s="55"/>
      <c r="BX88" s="55"/>
      <c r="BY88" s="55"/>
      <c r="BZ88" s="55"/>
      <c r="CA88" s="55"/>
      <c r="CB88" s="55"/>
      <c r="CC88" s="55"/>
      <c r="CD88" s="55"/>
      <c r="CE88" s="55"/>
      <c r="CF88" s="55"/>
      <c r="CG88" s="55"/>
      <c r="CH88" s="55"/>
      <c r="CI88" s="55"/>
      <c r="CJ88" s="55"/>
      <c r="CK88" s="55"/>
      <c r="CL88" s="55"/>
      <c r="CM88" s="55"/>
      <c r="CN88" s="55"/>
      <c r="CO88" s="55"/>
      <c r="CP88" s="55"/>
      <c r="CQ88" s="55"/>
    </row>
    <row r="89" spans="1:95" s="35" customFormat="1" ht="12.75" customHeight="1">
      <c r="A89" s="35" t="s">
        <v>112</v>
      </c>
      <c r="B89" s="51"/>
      <c r="C89" s="35" t="s">
        <v>76</v>
      </c>
      <c r="D89" s="44"/>
      <c r="E89" s="53">
        <f t="shared" si="13"/>
        <v>4290973</v>
      </c>
      <c r="F89" s="53"/>
      <c r="G89" s="53">
        <v>36440154</v>
      </c>
      <c r="H89" s="53"/>
      <c r="I89" s="53">
        <v>40731127</v>
      </c>
      <c r="J89" s="53"/>
      <c r="K89" s="53">
        <f t="shared" si="14"/>
        <v>1042684</v>
      </c>
      <c r="L89" s="53"/>
      <c r="M89" s="53">
        <v>8451653</v>
      </c>
      <c r="N89" s="53"/>
      <c r="O89" s="53">
        <v>9494337</v>
      </c>
      <c r="P89" s="53"/>
      <c r="Q89" s="53">
        <v>27680154</v>
      </c>
      <c r="R89" s="53"/>
      <c r="S89" s="53">
        <v>0</v>
      </c>
      <c r="T89" s="53"/>
      <c r="U89" s="53">
        <v>3556636</v>
      </c>
      <c r="V89" s="53"/>
      <c r="W89" s="53">
        <f t="shared" si="15"/>
        <v>31236790</v>
      </c>
      <c r="X89" s="51"/>
      <c r="Y89" s="51"/>
      <c r="Z89" s="35" t="s">
        <v>112</v>
      </c>
      <c r="AA89" s="53"/>
      <c r="AB89" s="35" t="s">
        <v>76</v>
      </c>
      <c r="AC89" s="51"/>
      <c r="AD89" s="53">
        <v>3584184</v>
      </c>
      <c r="AE89" s="53"/>
      <c r="AF89" s="53">
        <f>4085757-1379053</f>
        <v>2706704</v>
      </c>
      <c r="AG89" s="53"/>
      <c r="AH89" s="53">
        <v>1379053</v>
      </c>
      <c r="AI89" s="53"/>
      <c r="AJ89" s="45">
        <f t="shared" si="16"/>
        <v>-501573</v>
      </c>
      <c r="AK89" s="45"/>
      <c r="AL89" s="53">
        <v>612614</v>
      </c>
      <c r="AM89" s="45"/>
      <c r="AN89" s="53">
        <v>0</v>
      </c>
      <c r="AO89" s="53"/>
      <c r="AP89" s="53">
        <v>0</v>
      </c>
      <c r="AQ89" s="53"/>
      <c r="AR89" s="53">
        <v>661962</v>
      </c>
      <c r="AS89" s="53"/>
      <c r="AT89" s="45">
        <f t="shared" si="17"/>
        <v>773003</v>
      </c>
      <c r="AU89" s="45"/>
      <c r="AV89" s="53">
        <v>0</v>
      </c>
      <c r="AW89" s="53"/>
      <c r="AX89" s="53">
        <v>0</v>
      </c>
      <c r="AY89" s="53"/>
      <c r="AZ89" s="53">
        <f t="shared" si="18"/>
        <v>3248289</v>
      </c>
      <c r="BA89" s="51"/>
      <c r="BB89" s="35" t="s">
        <v>112</v>
      </c>
      <c r="BD89" s="35" t="s">
        <v>76</v>
      </c>
      <c r="BE89" s="53"/>
      <c r="BF89" s="53">
        <v>8760000</v>
      </c>
      <c r="BG89" s="53"/>
      <c r="BH89" s="53">
        <v>0</v>
      </c>
      <c r="BI89" s="53"/>
      <c r="BJ89" s="53">
        <v>0</v>
      </c>
      <c r="BK89" s="53"/>
      <c r="BL89" s="53">
        <v>385491</v>
      </c>
      <c r="BM89" s="53"/>
      <c r="BN89" s="53">
        <f t="shared" si="19"/>
        <v>9145491</v>
      </c>
      <c r="BO89" s="54"/>
      <c r="BS89" s="55"/>
      <c r="BT89" s="55"/>
      <c r="BU89" s="84"/>
      <c r="BV89" s="55"/>
      <c r="BW89" s="55"/>
      <c r="BX89" s="55"/>
      <c r="BY89" s="55"/>
      <c r="BZ89" s="55"/>
      <c r="CA89" s="55"/>
      <c r="CB89" s="55"/>
      <c r="CC89" s="55"/>
      <c r="CD89" s="55"/>
      <c r="CE89" s="55"/>
      <c r="CF89" s="55"/>
      <c r="CG89" s="55"/>
      <c r="CH89" s="55"/>
      <c r="CI89" s="55"/>
      <c r="CJ89" s="55"/>
      <c r="CK89" s="55"/>
      <c r="CL89" s="55"/>
      <c r="CM89" s="55"/>
      <c r="CN89" s="55"/>
      <c r="CO89" s="55"/>
      <c r="CP89" s="55"/>
      <c r="CQ89" s="55"/>
    </row>
    <row r="90" spans="1:95" s="35" customFormat="1" ht="12.75" customHeight="1">
      <c r="A90" s="35" t="s">
        <v>113</v>
      </c>
      <c r="B90" s="51"/>
      <c r="C90" s="35" t="s">
        <v>43</v>
      </c>
      <c r="D90" s="44"/>
      <c r="E90" s="53">
        <f t="shared" si="13"/>
        <v>7530507</v>
      </c>
      <c r="F90" s="53"/>
      <c r="G90" s="53">
        <v>25052199</v>
      </c>
      <c r="H90" s="53"/>
      <c r="I90" s="53">
        <v>32582706</v>
      </c>
      <c r="J90" s="53"/>
      <c r="K90" s="53">
        <f t="shared" si="14"/>
        <v>1128933</v>
      </c>
      <c r="L90" s="53"/>
      <c r="M90" s="53">
        <v>330625</v>
      </c>
      <c r="N90" s="53"/>
      <c r="O90" s="53">
        <v>1459558</v>
      </c>
      <c r="P90" s="53"/>
      <c r="Q90" s="53">
        <v>24979211</v>
      </c>
      <c r="R90" s="53"/>
      <c r="S90" s="53">
        <v>0</v>
      </c>
      <c r="T90" s="53"/>
      <c r="U90" s="53">
        <v>6143937</v>
      </c>
      <c r="V90" s="53"/>
      <c r="W90" s="53">
        <f t="shared" si="15"/>
        <v>31123148</v>
      </c>
      <c r="X90" s="66"/>
      <c r="Y90" s="66"/>
      <c r="Z90" s="35" t="s">
        <v>113</v>
      </c>
      <c r="AA90" s="53"/>
      <c r="AB90" s="35" t="s">
        <v>43</v>
      </c>
      <c r="AC90" s="51"/>
      <c r="AD90" s="53">
        <v>4628438</v>
      </c>
      <c r="AE90" s="53"/>
      <c r="AF90" s="53">
        <f>4272949-712517</f>
        <v>3560432</v>
      </c>
      <c r="AG90" s="53"/>
      <c r="AH90" s="53">
        <v>712517</v>
      </c>
      <c r="AI90" s="53"/>
      <c r="AJ90" s="45">
        <f t="shared" ref="AJ90:AJ97" si="20">+AD90-AF90-AH90</f>
        <v>355489</v>
      </c>
      <c r="AK90" s="45"/>
      <c r="AL90" s="53">
        <v>10800</v>
      </c>
      <c r="AM90" s="45"/>
      <c r="AN90" s="53">
        <v>0</v>
      </c>
      <c r="AO90" s="53"/>
      <c r="AP90" s="53">
        <v>5000</v>
      </c>
      <c r="AQ90" s="53"/>
      <c r="AR90" s="53">
        <v>0</v>
      </c>
      <c r="AS90" s="53"/>
      <c r="AT90" s="45">
        <f t="shared" ref="AT90:AT97" si="21">+AJ90+AL90+AN90-AP90+AR90</f>
        <v>361289</v>
      </c>
      <c r="AU90" s="45"/>
      <c r="AV90" s="53">
        <v>0</v>
      </c>
      <c r="AW90" s="53"/>
      <c r="AX90" s="53">
        <v>0</v>
      </c>
      <c r="AY90" s="53"/>
      <c r="AZ90" s="53">
        <f t="shared" ref="AZ90:AZ97" si="22">E90-K90</f>
        <v>6401574</v>
      </c>
      <c r="BA90" s="66"/>
      <c r="BB90" s="35" t="s">
        <v>113</v>
      </c>
      <c r="BD90" s="35" t="s">
        <v>43</v>
      </c>
      <c r="BE90" s="53"/>
      <c r="BF90" s="53">
        <f>333718+7475</f>
        <v>341193</v>
      </c>
      <c r="BG90" s="53"/>
      <c r="BH90" s="53">
        <v>0</v>
      </c>
      <c r="BI90" s="53"/>
      <c r="BJ90" s="53">
        <v>0</v>
      </c>
      <c r="BK90" s="53"/>
      <c r="BL90" s="53">
        <f>57675+34669</f>
        <v>92344</v>
      </c>
      <c r="BM90" s="53"/>
      <c r="BN90" s="53">
        <f t="shared" si="19"/>
        <v>433537</v>
      </c>
      <c r="BO90" s="54"/>
      <c r="BS90" s="55"/>
      <c r="BT90" s="55"/>
      <c r="BU90" s="84"/>
      <c r="BV90" s="55"/>
      <c r="BW90" s="55"/>
      <c r="BX90" s="55"/>
      <c r="BY90" s="55"/>
      <c r="BZ90" s="55"/>
      <c r="CA90" s="55"/>
      <c r="CB90" s="55"/>
      <c r="CC90" s="55"/>
      <c r="CD90" s="55"/>
      <c r="CE90" s="55"/>
      <c r="CF90" s="55"/>
      <c r="CG90" s="55"/>
      <c r="CH90" s="55"/>
      <c r="CI90" s="55"/>
      <c r="CJ90" s="55"/>
      <c r="CK90" s="55"/>
      <c r="CL90" s="55"/>
      <c r="CM90" s="55"/>
      <c r="CN90" s="55"/>
      <c r="CO90" s="55"/>
      <c r="CP90" s="55"/>
      <c r="CQ90" s="55"/>
    </row>
    <row r="91" spans="1:95" s="35" customFormat="1" ht="12.75" customHeight="1">
      <c r="A91" s="35" t="s">
        <v>489</v>
      </c>
      <c r="B91" s="51"/>
      <c r="C91" s="35" t="s">
        <v>57</v>
      </c>
      <c r="D91" s="44"/>
      <c r="E91" s="53">
        <f>I91-G91</f>
        <v>2276185</v>
      </c>
      <c r="F91" s="53"/>
      <c r="G91" s="53">
        <v>8725801</v>
      </c>
      <c r="H91" s="53"/>
      <c r="I91" s="53">
        <v>11001986</v>
      </c>
      <c r="J91" s="53"/>
      <c r="K91" s="53">
        <f>O91-M91</f>
        <v>424264</v>
      </c>
      <c r="L91" s="53"/>
      <c r="M91" s="53">
        <v>6930684</v>
      </c>
      <c r="N91" s="53"/>
      <c r="O91" s="53">
        <v>7354948</v>
      </c>
      <c r="P91" s="53"/>
      <c r="Q91" s="53">
        <v>1581911</v>
      </c>
      <c r="R91" s="53"/>
      <c r="S91" s="53">
        <v>0</v>
      </c>
      <c r="T91" s="53"/>
      <c r="U91" s="53">
        <v>2065127</v>
      </c>
      <c r="V91" s="53"/>
      <c r="W91" s="53">
        <f>SUM(Q91:U91)</f>
        <v>3647038</v>
      </c>
      <c r="X91" s="51"/>
      <c r="Y91" s="66"/>
      <c r="Z91" s="35" t="s">
        <v>489</v>
      </c>
      <c r="AA91" s="53"/>
      <c r="AB91" s="35" t="s">
        <v>57</v>
      </c>
      <c r="AC91" s="51"/>
      <c r="AD91" s="53">
        <v>2115746</v>
      </c>
      <c r="AE91" s="53"/>
      <c r="AF91" s="53">
        <f>1647239-315295</f>
        <v>1331944</v>
      </c>
      <c r="AG91" s="53"/>
      <c r="AH91" s="53">
        <v>315295</v>
      </c>
      <c r="AI91" s="53"/>
      <c r="AJ91" s="45">
        <f>+AD91-AF91-AH91</f>
        <v>468507</v>
      </c>
      <c r="AK91" s="45"/>
      <c r="AL91" s="53">
        <v>-192932</v>
      </c>
      <c r="AM91" s="45"/>
      <c r="AN91" s="53">
        <v>27286</v>
      </c>
      <c r="AO91" s="53"/>
      <c r="AP91" s="53">
        <v>26464</v>
      </c>
      <c r="AQ91" s="53"/>
      <c r="AR91" s="53">
        <v>13008</v>
      </c>
      <c r="AS91" s="53"/>
      <c r="AT91" s="45">
        <f>+AJ91+AL91+AN91-AP91+AR91</f>
        <v>289405</v>
      </c>
      <c r="AU91" s="45"/>
      <c r="AV91" s="53">
        <v>0</v>
      </c>
      <c r="AW91" s="53"/>
      <c r="AX91" s="53">
        <v>0</v>
      </c>
      <c r="AY91" s="53"/>
      <c r="AZ91" s="53">
        <f>E91-K91</f>
        <v>1851921</v>
      </c>
      <c r="BA91" s="51"/>
      <c r="BB91" s="35" t="s">
        <v>489</v>
      </c>
      <c r="BD91" s="35" t="s">
        <v>57</v>
      </c>
      <c r="BE91" s="53"/>
      <c r="BF91" s="53">
        <v>289254</v>
      </c>
      <c r="BG91" s="53"/>
      <c r="BH91" s="53">
        <v>0</v>
      </c>
      <c r="BI91" s="53"/>
      <c r="BJ91" s="53">
        <v>0</v>
      </c>
      <c r="BK91" s="53"/>
      <c r="BL91" s="53">
        <v>509913</v>
      </c>
      <c r="BM91" s="53"/>
      <c r="BN91" s="53">
        <f>SUM(BF91:BL91)</f>
        <v>799167</v>
      </c>
      <c r="BO91" s="54"/>
      <c r="BS91" s="55"/>
      <c r="BT91" s="55"/>
      <c r="BU91" s="84"/>
      <c r="BV91" s="55"/>
      <c r="BW91" s="55"/>
      <c r="BX91" s="55"/>
      <c r="BY91" s="55"/>
      <c r="BZ91" s="55"/>
      <c r="CA91" s="55"/>
      <c r="CB91" s="55"/>
      <c r="CC91" s="55"/>
      <c r="CD91" s="55"/>
      <c r="CE91" s="55"/>
      <c r="CF91" s="55"/>
      <c r="CG91" s="55"/>
      <c r="CH91" s="55"/>
      <c r="CI91" s="55"/>
      <c r="CJ91" s="55"/>
      <c r="CK91" s="55"/>
      <c r="CL91" s="55"/>
      <c r="CM91" s="55"/>
      <c r="CN91" s="55"/>
      <c r="CO91" s="55"/>
      <c r="CP91" s="55"/>
      <c r="CQ91" s="55"/>
    </row>
    <row r="92" spans="1:95" s="126" customFormat="1" ht="12.75" hidden="1" customHeight="1">
      <c r="A92" s="126" t="s">
        <v>114</v>
      </c>
      <c r="B92" s="124"/>
      <c r="C92" s="126" t="s">
        <v>27</v>
      </c>
      <c r="D92" s="121"/>
      <c r="E92" s="140">
        <f t="shared" si="13"/>
        <v>0</v>
      </c>
      <c r="F92" s="140"/>
      <c r="G92" s="140"/>
      <c r="H92" s="140"/>
      <c r="I92" s="140"/>
      <c r="J92" s="140"/>
      <c r="K92" s="140">
        <f t="shared" si="14"/>
        <v>0</v>
      </c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>
        <f t="shared" si="15"/>
        <v>0</v>
      </c>
      <c r="X92" s="124"/>
      <c r="Y92" s="124"/>
      <c r="Z92" s="126" t="s">
        <v>114</v>
      </c>
      <c r="AA92" s="140"/>
      <c r="AB92" s="126" t="s">
        <v>27</v>
      </c>
      <c r="AC92" s="124"/>
      <c r="AD92" s="140"/>
      <c r="AE92" s="140"/>
      <c r="AF92" s="140"/>
      <c r="AG92" s="140"/>
      <c r="AH92" s="140"/>
      <c r="AI92" s="140"/>
      <c r="AJ92" s="127">
        <f t="shared" si="20"/>
        <v>0</v>
      </c>
      <c r="AK92" s="127"/>
      <c r="AL92" s="140"/>
      <c r="AM92" s="127"/>
      <c r="AN92" s="140"/>
      <c r="AO92" s="140"/>
      <c r="AP92" s="140"/>
      <c r="AQ92" s="140"/>
      <c r="AR92" s="140"/>
      <c r="AS92" s="140"/>
      <c r="AT92" s="127">
        <f t="shared" si="21"/>
        <v>0</v>
      </c>
      <c r="AU92" s="127"/>
      <c r="AV92" s="140">
        <v>0</v>
      </c>
      <c r="AW92" s="140"/>
      <c r="AX92" s="140">
        <v>0</v>
      </c>
      <c r="AY92" s="140"/>
      <c r="AZ92" s="140">
        <f t="shared" si="22"/>
        <v>0</v>
      </c>
      <c r="BA92" s="124"/>
      <c r="BB92" s="126" t="s">
        <v>114</v>
      </c>
      <c r="BD92" s="126" t="s">
        <v>27</v>
      </c>
      <c r="BE92" s="140"/>
      <c r="BF92" s="140"/>
      <c r="BG92" s="140"/>
      <c r="BH92" s="140"/>
      <c r="BI92" s="140"/>
      <c r="BJ92" s="140"/>
      <c r="BK92" s="140"/>
      <c r="BL92" s="140"/>
      <c r="BM92" s="140"/>
      <c r="BN92" s="140">
        <f t="shared" si="19"/>
        <v>0</v>
      </c>
      <c r="BO92" s="142"/>
      <c r="BS92" s="143"/>
      <c r="BT92" s="143"/>
      <c r="BU92" s="144"/>
      <c r="BV92" s="143"/>
      <c r="BW92" s="143"/>
      <c r="BX92" s="143"/>
      <c r="BY92" s="143"/>
      <c r="BZ92" s="143"/>
      <c r="CA92" s="143"/>
      <c r="CB92" s="143"/>
      <c r="CC92" s="143"/>
      <c r="CD92" s="143"/>
      <c r="CE92" s="143"/>
      <c r="CF92" s="143"/>
      <c r="CG92" s="143"/>
      <c r="CH92" s="143"/>
      <c r="CI92" s="143"/>
      <c r="CJ92" s="143"/>
      <c r="CK92" s="143"/>
      <c r="CL92" s="143"/>
      <c r="CM92" s="143"/>
      <c r="CN92" s="143"/>
      <c r="CO92" s="143"/>
      <c r="CP92" s="143"/>
      <c r="CQ92" s="143"/>
    </row>
    <row r="93" spans="1:95" s="35" customFormat="1" ht="12.75" customHeight="1">
      <c r="A93" s="35" t="s">
        <v>115</v>
      </c>
      <c r="C93" s="35" t="s">
        <v>19</v>
      </c>
      <c r="D93" s="44"/>
      <c r="E93" s="53">
        <f t="shared" si="13"/>
        <v>665480</v>
      </c>
      <c r="F93" s="53"/>
      <c r="G93" s="53">
        <v>6457094</v>
      </c>
      <c r="H93" s="53"/>
      <c r="I93" s="53">
        <v>7122574</v>
      </c>
      <c r="J93" s="53"/>
      <c r="K93" s="53">
        <f t="shared" si="14"/>
        <v>244925</v>
      </c>
      <c r="L93" s="53"/>
      <c r="M93" s="53">
        <v>5954133</v>
      </c>
      <c r="N93" s="53"/>
      <c r="O93" s="53">
        <v>6199058</v>
      </c>
      <c r="P93" s="53"/>
      <c r="Q93" s="53">
        <v>323651</v>
      </c>
      <c r="R93" s="53"/>
      <c r="S93" s="53">
        <v>0</v>
      </c>
      <c r="T93" s="53"/>
      <c r="U93" s="53">
        <v>599865</v>
      </c>
      <c r="V93" s="53"/>
      <c r="W93" s="53">
        <f t="shared" si="15"/>
        <v>923516</v>
      </c>
      <c r="X93" s="51"/>
      <c r="Y93" s="51"/>
      <c r="Z93" s="35" t="s">
        <v>115</v>
      </c>
      <c r="AA93" s="53"/>
      <c r="AB93" s="35" t="s">
        <v>19</v>
      </c>
      <c r="AD93" s="53">
        <v>1425108</v>
      </c>
      <c r="AE93" s="53"/>
      <c r="AF93" s="53">
        <f>1192549-143304</f>
        <v>1049245</v>
      </c>
      <c r="AG93" s="53"/>
      <c r="AH93" s="53">
        <v>143304</v>
      </c>
      <c r="AI93" s="53"/>
      <c r="AJ93" s="45">
        <f t="shared" si="20"/>
        <v>232559</v>
      </c>
      <c r="AK93" s="45"/>
      <c r="AL93" s="53">
        <v>-226421</v>
      </c>
      <c r="AM93" s="45"/>
      <c r="AN93" s="53">
        <v>200401</v>
      </c>
      <c r="AO93" s="53"/>
      <c r="AP93" s="53">
        <v>3000</v>
      </c>
      <c r="AQ93" s="53"/>
      <c r="AR93" s="53">
        <v>0</v>
      </c>
      <c r="AS93" s="53"/>
      <c r="AT93" s="45">
        <f t="shared" si="21"/>
        <v>203539</v>
      </c>
      <c r="AU93" s="45"/>
      <c r="AV93" s="53">
        <v>0</v>
      </c>
      <c r="AW93" s="53"/>
      <c r="AX93" s="53">
        <v>0</v>
      </c>
      <c r="AY93" s="53"/>
      <c r="AZ93" s="53">
        <f t="shared" si="22"/>
        <v>420555</v>
      </c>
      <c r="BA93" s="51"/>
      <c r="BB93" s="35" t="s">
        <v>115</v>
      </c>
      <c r="BD93" s="35" t="s">
        <v>19</v>
      </c>
      <c r="BE93" s="53"/>
      <c r="BF93" s="53">
        <v>10044808</v>
      </c>
      <c r="BG93" s="53"/>
      <c r="BH93" s="53">
        <v>0</v>
      </c>
      <c r="BI93" s="53"/>
      <c r="BJ93" s="53">
        <v>0</v>
      </c>
      <c r="BK93" s="53"/>
      <c r="BL93" s="53">
        <v>13553</v>
      </c>
      <c r="BM93" s="53"/>
      <c r="BN93" s="53">
        <f t="shared" si="19"/>
        <v>10058361</v>
      </c>
      <c r="BO93" s="54"/>
      <c r="BP93" s="55"/>
      <c r="BS93" s="55"/>
      <c r="BT93" s="55"/>
      <c r="BU93" s="84"/>
      <c r="BV93" s="55"/>
      <c r="BW93" s="55"/>
      <c r="BX93" s="55"/>
      <c r="BY93" s="55"/>
      <c r="BZ93" s="55"/>
      <c r="CA93" s="55"/>
      <c r="CB93" s="55"/>
      <c r="CC93" s="55"/>
      <c r="CD93" s="55"/>
      <c r="CE93" s="55"/>
      <c r="CF93" s="55"/>
      <c r="CG93" s="55"/>
      <c r="CH93" s="55"/>
      <c r="CI93" s="55"/>
      <c r="CJ93" s="55"/>
      <c r="CK93" s="55"/>
      <c r="CL93" s="55"/>
      <c r="CM93" s="55"/>
      <c r="CN93" s="55"/>
      <c r="CO93" s="55"/>
      <c r="CP93" s="55"/>
      <c r="CQ93" s="55"/>
    </row>
    <row r="94" spans="1:95" s="35" customFormat="1" ht="12.75" customHeight="1">
      <c r="D94" s="44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 t="s">
        <v>484</v>
      </c>
      <c r="X94" s="51"/>
      <c r="Y94" s="51"/>
      <c r="AA94" s="53"/>
      <c r="AD94" s="53"/>
      <c r="AE94" s="53"/>
      <c r="AF94" s="53"/>
      <c r="AG94" s="53"/>
      <c r="AH94" s="53"/>
      <c r="AI94" s="53"/>
      <c r="AJ94" s="45"/>
      <c r="AK94" s="45"/>
      <c r="AL94" s="53"/>
      <c r="AM94" s="45"/>
      <c r="AN94" s="53"/>
      <c r="AO94" s="53"/>
      <c r="AP94" s="53"/>
      <c r="AQ94" s="53"/>
      <c r="AR94" s="53"/>
      <c r="AS94" s="53"/>
      <c r="AT94" s="45"/>
      <c r="AU94" s="45"/>
      <c r="AV94" s="53"/>
      <c r="AW94" s="53"/>
      <c r="AX94" s="53"/>
      <c r="AY94" s="53"/>
      <c r="AZ94" s="53" t="s">
        <v>484</v>
      </c>
      <c r="BA94" s="51"/>
      <c r="BE94" s="53"/>
      <c r="BF94" s="53"/>
      <c r="BG94" s="53"/>
      <c r="BH94" s="53"/>
      <c r="BI94" s="53"/>
      <c r="BJ94" s="53"/>
      <c r="BK94" s="53"/>
      <c r="BL94" s="53"/>
      <c r="BM94" s="53"/>
      <c r="BN94" s="53" t="s">
        <v>484</v>
      </c>
      <c r="BO94" s="54"/>
      <c r="BP94" s="55"/>
      <c r="BS94" s="55"/>
      <c r="BT94" s="55"/>
      <c r="BU94" s="84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</row>
    <row r="95" spans="1:95" s="64" customFormat="1" ht="12.75" customHeight="1">
      <c r="A95" s="64" t="s">
        <v>116</v>
      </c>
      <c r="B95" s="66"/>
      <c r="C95" s="64" t="s">
        <v>80</v>
      </c>
      <c r="D95" s="46"/>
      <c r="E95" s="79">
        <f t="shared" si="13"/>
        <v>769393</v>
      </c>
      <c r="F95" s="79"/>
      <c r="G95" s="79">
        <v>3724479</v>
      </c>
      <c r="H95" s="79"/>
      <c r="I95" s="79">
        <v>4493872</v>
      </c>
      <c r="J95" s="79"/>
      <c r="K95" s="79">
        <f t="shared" si="14"/>
        <v>794814</v>
      </c>
      <c r="L95" s="79"/>
      <c r="M95" s="79">
        <v>1588934</v>
      </c>
      <c r="N95" s="79"/>
      <c r="O95" s="79">
        <v>2383748</v>
      </c>
      <c r="P95" s="79"/>
      <c r="Q95" s="79">
        <v>2007165</v>
      </c>
      <c r="R95" s="79"/>
      <c r="S95" s="79">
        <v>0</v>
      </c>
      <c r="T95" s="79"/>
      <c r="U95" s="79">
        <v>102959</v>
      </c>
      <c r="V95" s="79"/>
      <c r="W95" s="79">
        <f t="shared" si="15"/>
        <v>2110124</v>
      </c>
      <c r="X95" s="66"/>
      <c r="Y95" s="66"/>
      <c r="Z95" s="64" t="s">
        <v>116</v>
      </c>
      <c r="AA95" s="79"/>
      <c r="AB95" s="64" t="s">
        <v>80</v>
      </c>
      <c r="AC95" s="66"/>
      <c r="AD95" s="79">
        <v>3025153</v>
      </c>
      <c r="AE95" s="79"/>
      <c r="AF95" s="79">
        <f>2615353-46104</f>
        <v>2569249</v>
      </c>
      <c r="AG95" s="79"/>
      <c r="AH95" s="79">
        <v>46104</v>
      </c>
      <c r="AI95" s="79"/>
      <c r="AJ95" s="94">
        <f t="shared" si="20"/>
        <v>409800</v>
      </c>
      <c r="AK95" s="94"/>
      <c r="AL95" s="79">
        <v>-418442</v>
      </c>
      <c r="AM95" s="94"/>
      <c r="AN95" s="79">
        <v>0</v>
      </c>
      <c r="AO95" s="79"/>
      <c r="AP95" s="79">
        <v>0</v>
      </c>
      <c r="AQ95" s="79"/>
      <c r="AR95" s="79">
        <v>0</v>
      </c>
      <c r="AS95" s="79"/>
      <c r="AT95" s="94">
        <f t="shared" si="21"/>
        <v>-8642</v>
      </c>
      <c r="AU95" s="94"/>
      <c r="AV95" s="79">
        <v>0</v>
      </c>
      <c r="AW95" s="79"/>
      <c r="AX95" s="79">
        <v>0</v>
      </c>
      <c r="AY95" s="79"/>
      <c r="AZ95" s="79">
        <f t="shared" si="22"/>
        <v>-25421</v>
      </c>
      <c r="BA95" s="66"/>
      <c r="BB95" s="64" t="s">
        <v>116</v>
      </c>
      <c r="BD95" s="64" t="s">
        <v>80</v>
      </c>
      <c r="BE95" s="79"/>
      <c r="BF95" s="79">
        <f>261541+1271597+27127</f>
        <v>1560265</v>
      </c>
      <c r="BG95" s="79"/>
      <c r="BH95" s="79">
        <v>0</v>
      </c>
      <c r="BI95" s="79"/>
      <c r="BJ95" s="79">
        <v>2018135</v>
      </c>
      <c r="BK95" s="79"/>
      <c r="BL95" s="79">
        <v>129053</v>
      </c>
      <c r="BM95" s="79"/>
      <c r="BN95" s="79">
        <f t="shared" si="19"/>
        <v>3707453</v>
      </c>
      <c r="BO95" s="91"/>
      <c r="BS95" s="90"/>
      <c r="BT95" s="90"/>
      <c r="BU95" s="95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</row>
    <row r="96" spans="1:95" s="126" customFormat="1" ht="12.75" hidden="1" customHeight="1">
      <c r="A96" s="121" t="s">
        <v>117</v>
      </c>
      <c r="B96" s="124"/>
      <c r="C96" s="126" t="s">
        <v>43</v>
      </c>
      <c r="D96" s="121"/>
      <c r="E96" s="140">
        <f t="shared" si="13"/>
        <v>0</v>
      </c>
      <c r="F96" s="140"/>
      <c r="G96" s="140"/>
      <c r="H96" s="140"/>
      <c r="I96" s="140"/>
      <c r="J96" s="140"/>
      <c r="K96" s="140">
        <f t="shared" si="14"/>
        <v>0</v>
      </c>
      <c r="L96" s="140"/>
      <c r="M96" s="140"/>
      <c r="N96" s="140"/>
      <c r="O96" s="140"/>
      <c r="P96" s="140"/>
      <c r="Q96" s="140"/>
      <c r="R96" s="140"/>
      <c r="S96" s="140">
        <v>0</v>
      </c>
      <c r="T96" s="140"/>
      <c r="U96" s="140"/>
      <c r="V96" s="140"/>
      <c r="W96" s="140">
        <f t="shared" si="15"/>
        <v>0</v>
      </c>
      <c r="X96" s="124"/>
      <c r="Y96" s="124"/>
      <c r="Z96" s="121" t="s">
        <v>117</v>
      </c>
      <c r="AA96" s="140"/>
      <c r="AB96" s="126" t="s">
        <v>43</v>
      </c>
      <c r="AC96" s="124"/>
      <c r="AD96" s="140"/>
      <c r="AE96" s="140"/>
      <c r="AF96" s="140"/>
      <c r="AG96" s="140"/>
      <c r="AH96" s="140"/>
      <c r="AI96" s="140"/>
      <c r="AJ96" s="127">
        <f t="shared" si="20"/>
        <v>0</v>
      </c>
      <c r="AK96" s="127"/>
      <c r="AL96" s="140"/>
      <c r="AM96" s="127"/>
      <c r="AN96" s="140"/>
      <c r="AO96" s="140"/>
      <c r="AP96" s="140"/>
      <c r="AQ96" s="140"/>
      <c r="AR96" s="140"/>
      <c r="AS96" s="140"/>
      <c r="AT96" s="127">
        <f t="shared" si="21"/>
        <v>0</v>
      </c>
      <c r="AU96" s="127"/>
      <c r="AV96" s="140">
        <v>0</v>
      </c>
      <c r="AW96" s="140"/>
      <c r="AX96" s="140">
        <v>0</v>
      </c>
      <c r="AY96" s="140"/>
      <c r="AZ96" s="140">
        <f t="shared" si="22"/>
        <v>0</v>
      </c>
      <c r="BA96" s="124"/>
      <c r="BB96" s="121" t="s">
        <v>117</v>
      </c>
      <c r="BD96" s="126" t="s">
        <v>43</v>
      </c>
      <c r="BE96" s="140"/>
      <c r="BF96" s="140"/>
      <c r="BG96" s="140"/>
      <c r="BH96" s="140"/>
      <c r="BI96" s="140"/>
      <c r="BJ96" s="140"/>
      <c r="BK96" s="140"/>
      <c r="BL96" s="140"/>
      <c r="BM96" s="140"/>
      <c r="BN96" s="140">
        <f t="shared" si="19"/>
        <v>0</v>
      </c>
      <c r="BO96" s="142"/>
      <c r="BS96" s="143"/>
      <c r="BT96" s="143"/>
      <c r="BU96" s="144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</row>
    <row r="97" spans="1:95" s="126" customFormat="1" ht="12.75" hidden="1" customHeight="1">
      <c r="A97" s="126" t="s">
        <v>118</v>
      </c>
      <c r="B97" s="124"/>
      <c r="C97" s="126" t="s">
        <v>13</v>
      </c>
      <c r="D97" s="121"/>
      <c r="E97" s="140">
        <f t="shared" si="13"/>
        <v>0</v>
      </c>
      <c r="F97" s="140"/>
      <c r="G97" s="140"/>
      <c r="H97" s="140"/>
      <c r="I97" s="140"/>
      <c r="J97" s="140"/>
      <c r="K97" s="140">
        <f t="shared" si="14"/>
        <v>0</v>
      </c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>
        <f t="shared" si="15"/>
        <v>0</v>
      </c>
      <c r="X97" s="124"/>
      <c r="Y97" s="124"/>
      <c r="Z97" s="126" t="s">
        <v>118</v>
      </c>
      <c r="AA97" s="140"/>
      <c r="AB97" s="126" t="s">
        <v>13</v>
      </c>
      <c r="AC97" s="124"/>
      <c r="AD97" s="140"/>
      <c r="AE97" s="140"/>
      <c r="AF97" s="140"/>
      <c r="AG97" s="140"/>
      <c r="AH97" s="140"/>
      <c r="AI97" s="140"/>
      <c r="AJ97" s="127">
        <f t="shared" si="20"/>
        <v>0</v>
      </c>
      <c r="AK97" s="127"/>
      <c r="AL97" s="140"/>
      <c r="AM97" s="127"/>
      <c r="AN97" s="140"/>
      <c r="AO97" s="140"/>
      <c r="AP97" s="140"/>
      <c r="AQ97" s="140"/>
      <c r="AR97" s="140"/>
      <c r="AS97" s="140"/>
      <c r="AT97" s="127">
        <f t="shared" si="21"/>
        <v>0</v>
      </c>
      <c r="AU97" s="127"/>
      <c r="AV97" s="140">
        <v>0</v>
      </c>
      <c r="AW97" s="140"/>
      <c r="AX97" s="140">
        <v>0</v>
      </c>
      <c r="AY97" s="140"/>
      <c r="AZ97" s="140">
        <f t="shared" si="22"/>
        <v>0</v>
      </c>
      <c r="BA97" s="124"/>
      <c r="BB97" s="126" t="s">
        <v>118</v>
      </c>
      <c r="BD97" s="126" t="s">
        <v>13</v>
      </c>
      <c r="BE97" s="140"/>
      <c r="BF97" s="140"/>
      <c r="BG97" s="140"/>
      <c r="BH97" s="140"/>
      <c r="BI97" s="140"/>
      <c r="BJ97" s="140"/>
      <c r="BK97" s="140"/>
      <c r="BL97" s="140"/>
      <c r="BM97" s="140"/>
      <c r="BN97" s="140">
        <f t="shared" si="19"/>
        <v>0</v>
      </c>
      <c r="BO97" s="142"/>
      <c r="BS97" s="143"/>
      <c r="BT97" s="143"/>
      <c r="BU97" s="144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</row>
    <row r="98" spans="1:95" s="35" customFormat="1" ht="12.75" customHeight="1">
      <c r="A98" s="35" t="s">
        <v>120</v>
      </c>
      <c r="B98" s="51"/>
      <c r="C98" s="35" t="s">
        <v>121</v>
      </c>
      <c r="D98" s="44"/>
      <c r="E98" s="53">
        <f t="shared" si="13"/>
        <v>2326712</v>
      </c>
      <c r="F98" s="53"/>
      <c r="G98" s="53">
        <v>8140553</v>
      </c>
      <c r="H98" s="53"/>
      <c r="I98" s="53">
        <v>10467265</v>
      </c>
      <c r="J98" s="53"/>
      <c r="K98" s="53">
        <f t="shared" si="14"/>
        <v>108831</v>
      </c>
      <c r="L98" s="53"/>
      <c r="M98" s="53">
        <v>62449</v>
      </c>
      <c r="N98" s="53"/>
      <c r="O98" s="53">
        <v>171280</v>
      </c>
      <c r="P98" s="53"/>
      <c r="Q98" s="53">
        <v>8140553</v>
      </c>
      <c r="R98" s="53"/>
      <c r="S98" s="53">
        <v>0</v>
      </c>
      <c r="T98" s="53"/>
      <c r="U98" s="53">
        <v>2155432</v>
      </c>
      <c r="V98" s="53"/>
      <c r="W98" s="53">
        <f t="shared" si="15"/>
        <v>10295985</v>
      </c>
      <c r="X98" s="51"/>
      <c r="Y98" s="51"/>
      <c r="Z98" s="35" t="s">
        <v>120</v>
      </c>
      <c r="AA98" s="53"/>
      <c r="AB98" s="35" t="s">
        <v>121</v>
      </c>
      <c r="AC98" s="51"/>
      <c r="AD98" s="53">
        <v>1549087</v>
      </c>
      <c r="AE98" s="53"/>
      <c r="AF98" s="53">
        <f>1663776-296313</f>
        <v>1367463</v>
      </c>
      <c r="AG98" s="53"/>
      <c r="AH98" s="53">
        <v>296313</v>
      </c>
      <c r="AI98" s="53"/>
      <c r="AJ98" s="45">
        <f t="shared" ref="AJ98:AJ106" si="23">+AD98-AF98-AH98</f>
        <v>-114689</v>
      </c>
      <c r="AK98" s="45"/>
      <c r="AL98" s="53">
        <v>51410</v>
      </c>
      <c r="AM98" s="45"/>
      <c r="AN98" s="53">
        <v>0</v>
      </c>
      <c r="AO98" s="53"/>
      <c r="AP98" s="53">
        <v>0</v>
      </c>
      <c r="AQ98" s="53"/>
      <c r="AR98" s="53">
        <v>0</v>
      </c>
      <c r="AS98" s="53"/>
      <c r="AT98" s="45">
        <f t="shared" ref="AT98:AT128" si="24">+AJ98+AL98+AN98-AP98+AR98</f>
        <v>-63279</v>
      </c>
      <c r="AU98" s="45"/>
      <c r="AV98" s="53">
        <v>0</v>
      </c>
      <c r="AW98" s="53"/>
      <c r="AX98" s="53">
        <v>0</v>
      </c>
      <c r="AY98" s="53"/>
      <c r="AZ98" s="53">
        <f t="shared" ref="AZ98:AZ128" si="25">E98-K98</f>
        <v>2217881</v>
      </c>
      <c r="BA98" s="51"/>
      <c r="BB98" s="35" t="s">
        <v>120</v>
      </c>
      <c r="BD98" s="35" t="s">
        <v>121</v>
      </c>
      <c r="BE98" s="53"/>
      <c r="BF98" s="53">
        <v>1895000</v>
      </c>
      <c r="BG98" s="53"/>
      <c r="BH98" s="53">
        <v>0</v>
      </c>
      <c r="BI98" s="53"/>
      <c r="BJ98" s="53">
        <v>0</v>
      </c>
      <c r="BK98" s="53"/>
      <c r="BL98" s="53">
        <v>100484</v>
      </c>
      <c r="BM98" s="53"/>
      <c r="BN98" s="53">
        <f t="shared" si="19"/>
        <v>1995484</v>
      </c>
      <c r="BO98" s="54"/>
      <c r="BS98" s="55"/>
      <c r="BT98" s="55"/>
      <c r="BU98" s="84"/>
      <c r="BV98" s="55"/>
      <c r="BW98" s="55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55"/>
      <c r="CI98" s="55"/>
      <c r="CJ98" s="55"/>
      <c r="CK98" s="55"/>
      <c r="CL98" s="55"/>
      <c r="CM98" s="55"/>
      <c r="CN98" s="55"/>
      <c r="CO98" s="55"/>
      <c r="CP98" s="55"/>
      <c r="CQ98" s="55"/>
    </row>
    <row r="99" spans="1:95" s="35" customFormat="1" ht="12.75" customHeight="1">
      <c r="A99" s="35" t="s">
        <v>122</v>
      </c>
      <c r="B99" s="51"/>
      <c r="C99" s="35" t="s">
        <v>43</v>
      </c>
      <c r="D99" s="44"/>
      <c r="E99" s="53">
        <f t="shared" si="13"/>
        <v>3085890</v>
      </c>
      <c r="F99" s="53"/>
      <c r="G99" s="53">
        <v>20824147</v>
      </c>
      <c r="H99" s="53"/>
      <c r="I99" s="53">
        <v>23910037</v>
      </c>
      <c r="J99" s="53"/>
      <c r="K99" s="53">
        <f t="shared" si="14"/>
        <v>67183</v>
      </c>
      <c r="L99" s="53"/>
      <c r="M99" s="53">
        <v>124872</v>
      </c>
      <c r="N99" s="53"/>
      <c r="O99" s="53">
        <v>192055</v>
      </c>
      <c r="P99" s="53"/>
      <c r="Q99" s="53">
        <v>20677547</v>
      </c>
      <c r="R99" s="53"/>
      <c r="S99" s="53">
        <v>0</v>
      </c>
      <c r="T99" s="53"/>
      <c r="U99" s="53">
        <v>3040435</v>
      </c>
      <c r="V99" s="53"/>
      <c r="W99" s="53">
        <f t="shared" si="15"/>
        <v>23717982</v>
      </c>
      <c r="X99" s="51"/>
      <c r="Y99" s="51"/>
      <c r="Z99" s="35" t="s">
        <v>122</v>
      </c>
      <c r="AA99" s="53"/>
      <c r="AB99" s="35" t="s">
        <v>43</v>
      </c>
      <c r="AC99" s="51"/>
      <c r="AD99" s="53">
        <v>597413</v>
      </c>
      <c r="AE99" s="53"/>
      <c r="AF99" s="53">
        <f>700453-563451</f>
        <v>137002</v>
      </c>
      <c r="AG99" s="53"/>
      <c r="AH99" s="53">
        <v>563451</v>
      </c>
      <c r="AI99" s="53"/>
      <c r="AJ99" s="45">
        <f t="shared" si="23"/>
        <v>-103040</v>
      </c>
      <c r="AK99" s="45"/>
      <c r="AL99" s="53">
        <v>-12648</v>
      </c>
      <c r="AM99" s="45"/>
      <c r="AN99" s="53">
        <v>0</v>
      </c>
      <c r="AO99" s="53"/>
      <c r="AP99" s="53">
        <v>0</v>
      </c>
      <c r="AQ99" s="53"/>
      <c r="AR99" s="53">
        <v>185695</v>
      </c>
      <c r="AS99" s="53"/>
      <c r="AT99" s="45">
        <f t="shared" si="24"/>
        <v>70007</v>
      </c>
      <c r="AU99" s="45"/>
      <c r="AV99" s="53">
        <v>0</v>
      </c>
      <c r="AW99" s="53"/>
      <c r="AX99" s="53">
        <v>0</v>
      </c>
      <c r="AY99" s="53"/>
      <c r="AZ99" s="53">
        <f t="shared" si="25"/>
        <v>3018707</v>
      </c>
      <c r="BA99" s="51"/>
      <c r="BB99" s="35" t="s">
        <v>122</v>
      </c>
      <c r="BD99" s="35" t="s">
        <v>43</v>
      </c>
      <c r="BE99" s="53"/>
      <c r="BF99" s="53">
        <f>899251-503051</f>
        <v>396200</v>
      </c>
      <c r="BG99" s="53"/>
      <c r="BH99" s="53">
        <v>0</v>
      </c>
      <c r="BI99" s="53"/>
      <c r="BJ99" s="53">
        <v>0</v>
      </c>
      <c r="BK99" s="53"/>
      <c r="BL99" s="53">
        <v>33206</v>
      </c>
      <c r="BM99" s="53"/>
      <c r="BN99" s="53">
        <f t="shared" si="19"/>
        <v>429406</v>
      </c>
      <c r="BO99" s="54"/>
      <c r="BS99" s="55"/>
      <c r="BT99" s="55"/>
      <c r="BU99" s="84"/>
      <c r="BV99" s="55"/>
      <c r="BW99" s="55"/>
      <c r="BX99" s="55"/>
      <c r="BY99" s="55"/>
      <c r="BZ99" s="55"/>
      <c r="CA99" s="55"/>
      <c r="CB99" s="55"/>
      <c r="CC99" s="55"/>
      <c r="CD99" s="55"/>
      <c r="CE99" s="55"/>
      <c r="CF99" s="55"/>
      <c r="CG99" s="55"/>
      <c r="CH99" s="55"/>
      <c r="CI99" s="55"/>
      <c r="CJ99" s="55"/>
      <c r="CK99" s="55"/>
      <c r="CL99" s="55"/>
      <c r="CM99" s="55"/>
      <c r="CN99" s="55"/>
      <c r="CO99" s="55"/>
      <c r="CP99" s="55"/>
      <c r="CQ99" s="55"/>
    </row>
    <row r="100" spans="1:95" s="35" customFormat="1" ht="12.75" customHeight="1">
      <c r="A100" s="44" t="s">
        <v>45</v>
      </c>
      <c r="B100" s="51"/>
      <c r="C100" s="35" t="s">
        <v>103</v>
      </c>
      <c r="D100" s="44"/>
      <c r="E100" s="53">
        <f t="shared" si="13"/>
        <v>13363946</v>
      </c>
      <c r="F100" s="53"/>
      <c r="G100" s="53">
        <v>92383622</v>
      </c>
      <c r="H100" s="53"/>
      <c r="I100" s="53">
        <v>105747568</v>
      </c>
      <c r="J100" s="53"/>
      <c r="K100" s="53">
        <f t="shared" si="14"/>
        <v>0</v>
      </c>
      <c r="L100" s="53"/>
      <c r="M100" s="53">
        <v>20779235</v>
      </c>
      <c r="N100" s="53"/>
      <c r="O100" s="53">
        <v>20779235</v>
      </c>
      <c r="P100" s="53"/>
      <c r="Q100" s="53">
        <v>74246766</v>
      </c>
      <c r="R100" s="53"/>
      <c r="S100" s="53">
        <f>252988+1000000</f>
        <v>1252988</v>
      </c>
      <c r="T100" s="53"/>
      <c r="U100" s="53">
        <v>9468579</v>
      </c>
      <c r="V100" s="53"/>
      <c r="W100" s="53">
        <f t="shared" si="15"/>
        <v>84968333</v>
      </c>
      <c r="X100" s="51"/>
      <c r="Y100" s="51"/>
      <c r="Z100" s="44" t="s">
        <v>45</v>
      </c>
      <c r="AA100" s="53"/>
      <c r="AB100" s="35" t="s">
        <v>103</v>
      </c>
      <c r="AC100" s="51"/>
      <c r="AD100" s="53">
        <v>14266483</v>
      </c>
      <c r="AE100" s="53"/>
      <c r="AF100" s="53">
        <f>14365838-2740797</f>
        <v>11625041</v>
      </c>
      <c r="AG100" s="53"/>
      <c r="AH100" s="53">
        <v>2740797</v>
      </c>
      <c r="AI100" s="53"/>
      <c r="AJ100" s="45">
        <f t="shared" si="23"/>
        <v>-99355</v>
      </c>
      <c r="AK100" s="45"/>
      <c r="AL100" s="53">
        <v>-512311</v>
      </c>
      <c r="AM100" s="45"/>
      <c r="AN100" s="53">
        <v>0</v>
      </c>
      <c r="AO100" s="53"/>
      <c r="AP100" s="53">
        <v>0</v>
      </c>
      <c r="AQ100" s="53"/>
      <c r="AR100" s="53">
        <v>0</v>
      </c>
      <c r="AS100" s="53"/>
      <c r="AT100" s="45">
        <f t="shared" si="24"/>
        <v>-611666</v>
      </c>
      <c r="AU100" s="45"/>
      <c r="AV100" s="53">
        <v>0</v>
      </c>
      <c r="AW100" s="53"/>
      <c r="AX100" s="53">
        <v>0</v>
      </c>
      <c r="AY100" s="53"/>
      <c r="AZ100" s="53">
        <f t="shared" si="25"/>
        <v>13363946</v>
      </c>
      <c r="BA100" s="51"/>
      <c r="BB100" s="44" t="s">
        <v>45</v>
      </c>
      <c r="BD100" s="35" t="s">
        <v>103</v>
      </c>
      <c r="BE100" s="53"/>
      <c r="BF100" s="53">
        <v>9775000</v>
      </c>
      <c r="BG100" s="53"/>
      <c r="BH100" s="53">
        <v>179787749</v>
      </c>
      <c r="BI100" s="53"/>
      <c r="BJ100" s="53">
        <v>0</v>
      </c>
      <c r="BK100" s="53"/>
      <c r="BL100" s="53">
        <v>0</v>
      </c>
      <c r="BM100" s="53"/>
      <c r="BN100" s="53">
        <f t="shared" si="19"/>
        <v>189562749</v>
      </c>
      <c r="BO100" s="54"/>
      <c r="BS100" s="55"/>
      <c r="BT100" s="55"/>
      <c r="BU100" s="84"/>
      <c r="BV100" s="55"/>
      <c r="BW100" s="55"/>
      <c r="BX100" s="55"/>
      <c r="BY100" s="55"/>
      <c r="BZ100" s="55"/>
      <c r="CA100" s="55"/>
      <c r="CB100" s="55"/>
      <c r="CC100" s="55"/>
      <c r="CD100" s="55"/>
      <c r="CE100" s="55"/>
      <c r="CF100" s="55"/>
      <c r="CG100" s="55"/>
      <c r="CH100" s="55"/>
      <c r="CI100" s="55"/>
      <c r="CJ100" s="55"/>
      <c r="CK100" s="55"/>
      <c r="CL100" s="55"/>
      <c r="CM100" s="55"/>
      <c r="CN100" s="55"/>
      <c r="CO100" s="55"/>
      <c r="CP100" s="55"/>
      <c r="CQ100" s="55"/>
    </row>
    <row r="101" spans="1:95" s="35" customFormat="1" ht="12.75" customHeight="1">
      <c r="A101" s="44" t="s">
        <v>123</v>
      </c>
      <c r="B101" s="51"/>
      <c r="C101" s="35" t="s">
        <v>45</v>
      </c>
      <c r="D101" s="44"/>
      <c r="E101" s="53">
        <f t="shared" si="13"/>
        <v>2557995</v>
      </c>
      <c r="F101" s="53"/>
      <c r="G101" s="53">
        <v>12162971</v>
      </c>
      <c r="H101" s="53"/>
      <c r="I101" s="53">
        <v>14720966</v>
      </c>
      <c r="J101" s="53"/>
      <c r="K101" s="53">
        <f t="shared" si="14"/>
        <v>337279</v>
      </c>
      <c r="L101" s="53"/>
      <c r="M101" s="53">
        <v>2939836</v>
      </c>
      <c r="N101" s="53"/>
      <c r="O101" s="53">
        <v>3277115</v>
      </c>
      <c r="P101" s="53"/>
      <c r="Q101" s="53">
        <v>9038222</v>
      </c>
      <c r="R101" s="53"/>
      <c r="S101" s="53">
        <v>0</v>
      </c>
      <c r="T101" s="53"/>
      <c r="U101" s="53">
        <v>2405629</v>
      </c>
      <c r="V101" s="53"/>
      <c r="W101" s="53">
        <f t="shared" si="15"/>
        <v>11443851</v>
      </c>
      <c r="X101" s="51"/>
      <c r="Y101" s="51"/>
      <c r="Z101" s="44" t="s">
        <v>123</v>
      </c>
      <c r="AA101" s="53"/>
      <c r="AB101" s="35" t="s">
        <v>45</v>
      </c>
      <c r="AC101" s="51"/>
      <c r="AD101" s="53">
        <v>1323066</v>
      </c>
      <c r="AE101" s="53"/>
      <c r="AF101" s="53">
        <f>992731-339988</f>
        <v>652743</v>
      </c>
      <c r="AG101" s="53"/>
      <c r="AH101" s="53">
        <v>339988</v>
      </c>
      <c r="AI101" s="53"/>
      <c r="AJ101" s="45">
        <f t="shared" si="23"/>
        <v>330335</v>
      </c>
      <c r="AK101" s="45"/>
      <c r="AL101" s="53">
        <v>-92829</v>
      </c>
      <c r="AM101" s="45"/>
      <c r="AN101" s="53">
        <v>0</v>
      </c>
      <c r="AO101" s="53"/>
      <c r="AP101" s="53">
        <v>0</v>
      </c>
      <c r="AQ101" s="53"/>
      <c r="AR101" s="53">
        <v>185022</v>
      </c>
      <c r="AS101" s="53"/>
      <c r="AT101" s="45">
        <f t="shared" si="24"/>
        <v>422528</v>
      </c>
      <c r="AU101" s="45"/>
      <c r="AV101" s="53">
        <v>0</v>
      </c>
      <c r="AW101" s="53"/>
      <c r="AX101" s="53">
        <v>0</v>
      </c>
      <c r="AY101" s="53"/>
      <c r="AZ101" s="53">
        <f t="shared" si="25"/>
        <v>2220716</v>
      </c>
      <c r="BA101" s="51"/>
      <c r="BB101" s="44" t="s">
        <v>123</v>
      </c>
      <c r="BD101" s="35" t="s">
        <v>45</v>
      </c>
      <c r="BE101" s="53"/>
      <c r="BF101" s="53">
        <v>0</v>
      </c>
      <c r="BG101" s="53"/>
      <c r="BH101" s="53">
        <v>5000000</v>
      </c>
      <c r="BI101" s="53"/>
      <c r="BJ101" s="53">
        <v>2199085</v>
      </c>
      <c r="BK101" s="53"/>
      <c r="BL101" s="53">
        <f>200659-80711</f>
        <v>119948</v>
      </c>
      <c r="BM101" s="53"/>
      <c r="BN101" s="53">
        <f t="shared" si="19"/>
        <v>7319033</v>
      </c>
      <c r="BO101" s="54"/>
      <c r="BS101" s="55"/>
      <c r="BT101" s="55"/>
      <c r="BU101" s="84"/>
      <c r="BV101" s="55"/>
      <c r="BW101" s="55"/>
      <c r="BX101" s="55"/>
      <c r="BY101" s="55"/>
      <c r="BZ101" s="55"/>
      <c r="CA101" s="55"/>
      <c r="CB101" s="55"/>
      <c r="CC101" s="55"/>
      <c r="CD101" s="55"/>
      <c r="CE101" s="55"/>
      <c r="CF101" s="55"/>
      <c r="CG101" s="55"/>
      <c r="CH101" s="55"/>
      <c r="CI101" s="55"/>
      <c r="CJ101" s="55"/>
      <c r="CK101" s="55"/>
      <c r="CL101" s="55"/>
      <c r="CM101" s="55"/>
      <c r="CN101" s="55"/>
      <c r="CO101" s="55"/>
      <c r="CP101" s="55"/>
      <c r="CQ101" s="55"/>
    </row>
    <row r="102" spans="1:95" s="35" customFormat="1" ht="12.75" customHeight="1">
      <c r="A102" s="35" t="s">
        <v>124</v>
      </c>
      <c r="B102" s="51"/>
      <c r="C102" s="35" t="s">
        <v>125</v>
      </c>
      <c r="D102" s="44"/>
      <c r="E102" s="53">
        <f t="shared" si="13"/>
        <v>1110584</v>
      </c>
      <c r="F102" s="53"/>
      <c r="G102" s="53">
        <v>8992580</v>
      </c>
      <c r="H102" s="53"/>
      <c r="I102" s="53">
        <v>10103164</v>
      </c>
      <c r="J102" s="53"/>
      <c r="K102" s="53">
        <f t="shared" si="14"/>
        <v>242367</v>
      </c>
      <c r="L102" s="53"/>
      <c r="M102" s="53">
        <v>1904050</v>
      </c>
      <c r="N102" s="53"/>
      <c r="O102" s="53">
        <v>2146417</v>
      </c>
      <c r="P102" s="53"/>
      <c r="Q102" s="53">
        <v>6967580</v>
      </c>
      <c r="R102" s="53"/>
      <c r="S102" s="53">
        <v>0</v>
      </c>
      <c r="T102" s="53"/>
      <c r="U102" s="53">
        <v>989167</v>
      </c>
      <c r="V102" s="53"/>
      <c r="W102" s="53">
        <f t="shared" si="15"/>
        <v>7956747</v>
      </c>
      <c r="X102" s="51"/>
      <c r="Y102" s="51"/>
      <c r="Z102" s="35" t="s">
        <v>124</v>
      </c>
      <c r="AA102" s="53"/>
      <c r="AB102" s="35" t="s">
        <v>125</v>
      </c>
      <c r="AC102" s="51"/>
      <c r="AD102" s="53">
        <v>1505580</v>
      </c>
      <c r="AE102" s="53"/>
      <c r="AF102" s="53">
        <f>1328933-351098</f>
        <v>977835</v>
      </c>
      <c r="AG102" s="53"/>
      <c r="AH102" s="53">
        <v>351098</v>
      </c>
      <c r="AI102" s="53"/>
      <c r="AJ102" s="45">
        <f t="shared" si="23"/>
        <v>176647</v>
      </c>
      <c r="AK102" s="45"/>
      <c r="AL102" s="53">
        <v>-168463</v>
      </c>
      <c r="AM102" s="45"/>
      <c r="AN102" s="53">
        <v>1329</v>
      </c>
      <c r="AO102" s="53"/>
      <c r="AP102" s="53">
        <v>0</v>
      </c>
      <c r="AQ102" s="53"/>
      <c r="AR102" s="53">
        <v>0</v>
      </c>
      <c r="AS102" s="53"/>
      <c r="AT102" s="45">
        <f t="shared" si="24"/>
        <v>9513</v>
      </c>
      <c r="AU102" s="45"/>
      <c r="AV102" s="53">
        <v>0</v>
      </c>
      <c r="AW102" s="53"/>
      <c r="AX102" s="53">
        <v>0</v>
      </c>
      <c r="AY102" s="53"/>
      <c r="AZ102" s="53">
        <f t="shared" si="25"/>
        <v>868217</v>
      </c>
      <c r="BA102" s="51"/>
      <c r="BB102" s="35" t="s">
        <v>124</v>
      </c>
      <c r="BD102" s="35" t="s">
        <v>125</v>
      </c>
      <c r="BE102" s="53"/>
      <c r="BF102" s="53">
        <v>2025000</v>
      </c>
      <c r="BG102" s="53"/>
      <c r="BH102" s="53">
        <v>0</v>
      </c>
      <c r="BI102" s="53"/>
      <c r="BJ102" s="53">
        <v>4129717</v>
      </c>
      <c r="BK102" s="53"/>
      <c r="BL102" s="53">
        <v>122428</v>
      </c>
      <c r="BM102" s="53"/>
      <c r="BN102" s="53">
        <f t="shared" si="19"/>
        <v>6277145</v>
      </c>
      <c r="BO102" s="54"/>
      <c r="BS102" s="55"/>
      <c r="BT102" s="55"/>
      <c r="BU102" s="84"/>
      <c r="BV102" s="55"/>
      <c r="BW102" s="55"/>
      <c r="BX102" s="55"/>
      <c r="BY102" s="55"/>
      <c r="BZ102" s="55"/>
      <c r="CA102" s="55"/>
      <c r="CB102" s="55"/>
      <c r="CC102" s="55"/>
      <c r="CD102" s="55"/>
      <c r="CE102" s="55"/>
      <c r="CF102" s="55"/>
      <c r="CG102" s="55"/>
      <c r="CH102" s="55"/>
      <c r="CI102" s="55"/>
      <c r="CJ102" s="55"/>
      <c r="CK102" s="55"/>
      <c r="CL102" s="55"/>
      <c r="CM102" s="55"/>
      <c r="CN102" s="55"/>
      <c r="CO102" s="55"/>
      <c r="CP102" s="55"/>
      <c r="CQ102" s="55"/>
    </row>
    <row r="103" spans="1:95" s="126" customFormat="1" ht="12.75" hidden="1" customHeight="1">
      <c r="A103" s="126" t="s">
        <v>126</v>
      </c>
      <c r="B103" s="124"/>
      <c r="C103" s="126" t="s">
        <v>27</v>
      </c>
      <c r="D103" s="121"/>
      <c r="E103" s="140">
        <f t="shared" si="13"/>
        <v>0</v>
      </c>
      <c r="F103" s="140"/>
      <c r="G103" s="140"/>
      <c r="H103" s="140"/>
      <c r="I103" s="140"/>
      <c r="J103" s="140"/>
      <c r="K103" s="140">
        <f t="shared" si="14"/>
        <v>0</v>
      </c>
      <c r="L103" s="140"/>
      <c r="M103" s="140"/>
      <c r="N103" s="140"/>
      <c r="O103" s="140"/>
      <c r="P103" s="140"/>
      <c r="Q103" s="140"/>
      <c r="R103" s="140"/>
      <c r="S103" s="140">
        <v>0</v>
      </c>
      <c r="T103" s="140"/>
      <c r="U103" s="140"/>
      <c r="V103" s="140"/>
      <c r="W103" s="140">
        <f t="shared" si="15"/>
        <v>0</v>
      </c>
      <c r="X103" s="124"/>
      <c r="Y103" s="124"/>
      <c r="Z103" s="126" t="s">
        <v>126</v>
      </c>
      <c r="AA103" s="140"/>
      <c r="AB103" s="126" t="s">
        <v>27</v>
      </c>
      <c r="AC103" s="124"/>
      <c r="AD103" s="140"/>
      <c r="AE103" s="140"/>
      <c r="AF103" s="140"/>
      <c r="AG103" s="140"/>
      <c r="AH103" s="140"/>
      <c r="AI103" s="140"/>
      <c r="AJ103" s="127">
        <f t="shared" si="23"/>
        <v>0</v>
      </c>
      <c r="AK103" s="127"/>
      <c r="AL103" s="140"/>
      <c r="AM103" s="127"/>
      <c r="AN103" s="140"/>
      <c r="AO103" s="140"/>
      <c r="AP103" s="140"/>
      <c r="AQ103" s="140"/>
      <c r="AR103" s="140"/>
      <c r="AS103" s="140"/>
      <c r="AT103" s="127">
        <f t="shared" si="24"/>
        <v>0</v>
      </c>
      <c r="AU103" s="127"/>
      <c r="AV103" s="140">
        <v>0</v>
      </c>
      <c r="AW103" s="140"/>
      <c r="AX103" s="140">
        <v>0</v>
      </c>
      <c r="AY103" s="140"/>
      <c r="AZ103" s="140">
        <f t="shared" si="25"/>
        <v>0</v>
      </c>
      <c r="BA103" s="124"/>
      <c r="BB103" s="126" t="s">
        <v>126</v>
      </c>
      <c r="BD103" s="126" t="s">
        <v>27</v>
      </c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>
        <f t="shared" si="19"/>
        <v>0</v>
      </c>
      <c r="BO103" s="142"/>
      <c r="BS103" s="143"/>
      <c r="BT103" s="143"/>
      <c r="BU103" s="144"/>
      <c r="BV103" s="143"/>
      <c r="BW103" s="143"/>
      <c r="BX103" s="143"/>
      <c r="BY103" s="143"/>
      <c r="BZ103" s="143"/>
      <c r="CA103" s="143"/>
      <c r="CB103" s="143"/>
      <c r="CC103" s="143"/>
      <c r="CD103" s="143"/>
      <c r="CE103" s="143"/>
      <c r="CF103" s="143"/>
      <c r="CG103" s="143"/>
      <c r="CH103" s="143"/>
      <c r="CI103" s="143"/>
      <c r="CJ103" s="143"/>
      <c r="CK103" s="143"/>
      <c r="CL103" s="143"/>
      <c r="CM103" s="143"/>
      <c r="CN103" s="143"/>
      <c r="CO103" s="143"/>
      <c r="CP103" s="143"/>
      <c r="CQ103" s="143"/>
    </row>
    <row r="104" spans="1:95" s="126" customFormat="1" ht="12.75" hidden="1" customHeight="1">
      <c r="A104" s="126" t="s">
        <v>127</v>
      </c>
      <c r="B104" s="124"/>
      <c r="C104" s="126" t="s">
        <v>43</v>
      </c>
      <c r="D104" s="121"/>
      <c r="E104" s="140">
        <f t="shared" si="13"/>
        <v>0</v>
      </c>
      <c r="F104" s="140"/>
      <c r="G104" s="140"/>
      <c r="H104" s="140"/>
      <c r="I104" s="140"/>
      <c r="J104" s="140"/>
      <c r="K104" s="140">
        <f t="shared" si="14"/>
        <v>0</v>
      </c>
      <c r="L104" s="140"/>
      <c r="M104" s="140"/>
      <c r="N104" s="140"/>
      <c r="O104" s="140"/>
      <c r="P104" s="140"/>
      <c r="Q104" s="140"/>
      <c r="R104" s="140"/>
      <c r="S104" s="140">
        <v>0</v>
      </c>
      <c r="T104" s="140"/>
      <c r="U104" s="140"/>
      <c r="V104" s="140"/>
      <c r="W104" s="140">
        <f t="shared" si="15"/>
        <v>0</v>
      </c>
      <c r="X104" s="124"/>
      <c r="Y104" s="124"/>
      <c r="Z104" s="126" t="s">
        <v>127</v>
      </c>
      <c r="AA104" s="140"/>
      <c r="AB104" s="126" t="s">
        <v>43</v>
      </c>
      <c r="AC104" s="124"/>
      <c r="AD104" s="140"/>
      <c r="AE104" s="140"/>
      <c r="AF104" s="140"/>
      <c r="AG104" s="140"/>
      <c r="AH104" s="140"/>
      <c r="AI104" s="140"/>
      <c r="AJ104" s="127">
        <f t="shared" si="23"/>
        <v>0</v>
      </c>
      <c r="AK104" s="127"/>
      <c r="AL104" s="140"/>
      <c r="AM104" s="127"/>
      <c r="AN104" s="140"/>
      <c r="AO104" s="140"/>
      <c r="AP104" s="140"/>
      <c r="AQ104" s="140"/>
      <c r="AR104" s="140"/>
      <c r="AS104" s="140"/>
      <c r="AT104" s="127">
        <f t="shared" si="24"/>
        <v>0</v>
      </c>
      <c r="AU104" s="127"/>
      <c r="AV104" s="140">
        <v>0</v>
      </c>
      <c r="AW104" s="140"/>
      <c r="AX104" s="140">
        <v>0</v>
      </c>
      <c r="AY104" s="140"/>
      <c r="AZ104" s="140">
        <f t="shared" si="25"/>
        <v>0</v>
      </c>
      <c r="BA104" s="124"/>
      <c r="BB104" s="126" t="s">
        <v>127</v>
      </c>
      <c r="BD104" s="126" t="s">
        <v>43</v>
      </c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>
        <f t="shared" si="19"/>
        <v>0</v>
      </c>
      <c r="BO104" s="142"/>
      <c r="BS104" s="143"/>
      <c r="BT104" s="143"/>
      <c r="BU104" s="144"/>
      <c r="BV104" s="143"/>
      <c r="BW104" s="143"/>
      <c r="BX104" s="143"/>
      <c r="BY104" s="143"/>
      <c r="BZ104" s="143"/>
      <c r="CA104" s="143"/>
      <c r="CB104" s="143"/>
      <c r="CC104" s="143"/>
      <c r="CD104" s="143"/>
      <c r="CE104" s="143"/>
      <c r="CF104" s="143"/>
      <c r="CG104" s="143"/>
      <c r="CH104" s="143"/>
      <c r="CI104" s="143"/>
      <c r="CJ104" s="143"/>
      <c r="CK104" s="143"/>
      <c r="CL104" s="143"/>
      <c r="CM104" s="143"/>
      <c r="CN104" s="143"/>
      <c r="CO104" s="143"/>
      <c r="CP104" s="143"/>
      <c r="CQ104" s="143"/>
    </row>
    <row r="105" spans="1:95" s="35" customFormat="1" ht="12.75" customHeight="1">
      <c r="A105" s="35" t="s">
        <v>128</v>
      </c>
      <c r="B105" s="51"/>
      <c r="C105" s="35" t="s">
        <v>119</v>
      </c>
      <c r="D105" s="44"/>
      <c r="E105" s="53">
        <f t="shared" si="13"/>
        <v>568496</v>
      </c>
      <c r="F105" s="53"/>
      <c r="G105" s="53">
        <v>7595401</v>
      </c>
      <c r="H105" s="53"/>
      <c r="I105" s="53">
        <v>8163897</v>
      </c>
      <c r="J105" s="53"/>
      <c r="K105" s="53">
        <f t="shared" si="14"/>
        <v>200752</v>
      </c>
      <c r="L105" s="53"/>
      <c r="M105" s="53">
        <v>5806419</v>
      </c>
      <c r="N105" s="53"/>
      <c r="O105" s="53">
        <v>6007171</v>
      </c>
      <c r="P105" s="53"/>
      <c r="Q105" s="53">
        <v>1685234</v>
      </c>
      <c r="R105" s="53"/>
      <c r="S105" s="53">
        <v>0</v>
      </c>
      <c r="T105" s="53"/>
      <c r="U105" s="53">
        <v>471492</v>
      </c>
      <c r="V105" s="53"/>
      <c r="W105" s="53">
        <f t="shared" si="15"/>
        <v>2156726</v>
      </c>
      <c r="Z105" s="35" t="s">
        <v>128</v>
      </c>
      <c r="AA105" s="53"/>
      <c r="AB105" s="35" t="s">
        <v>119</v>
      </c>
      <c r="AC105" s="51"/>
      <c r="AD105" s="53">
        <v>1405151</v>
      </c>
      <c r="AE105" s="53"/>
      <c r="AF105" s="53">
        <f>1156636-199350</f>
        <v>957286</v>
      </c>
      <c r="AG105" s="53"/>
      <c r="AH105" s="53">
        <v>199350</v>
      </c>
      <c r="AI105" s="53"/>
      <c r="AJ105" s="45">
        <f t="shared" si="23"/>
        <v>248515</v>
      </c>
      <c r="AK105" s="45"/>
      <c r="AL105" s="53">
        <v>-284092</v>
      </c>
      <c r="AM105" s="45"/>
      <c r="AN105" s="53">
        <v>586</v>
      </c>
      <c r="AO105" s="53"/>
      <c r="AP105" s="53">
        <v>0</v>
      </c>
      <c r="AQ105" s="53"/>
      <c r="AR105" s="53">
        <v>0</v>
      </c>
      <c r="AS105" s="53"/>
      <c r="AT105" s="45">
        <f t="shared" si="24"/>
        <v>-34991</v>
      </c>
      <c r="AU105" s="45"/>
      <c r="AV105" s="53">
        <v>0</v>
      </c>
      <c r="AW105" s="53"/>
      <c r="AX105" s="53">
        <v>0</v>
      </c>
      <c r="AY105" s="53"/>
      <c r="AZ105" s="53">
        <f t="shared" si="25"/>
        <v>367744</v>
      </c>
      <c r="BA105" s="51"/>
      <c r="BB105" s="35" t="s">
        <v>128</v>
      </c>
      <c r="BD105" s="35" t="s">
        <v>119</v>
      </c>
      <c r="BE105" s="53"/>
      <c r="BF105" s="53">
        <v>5910167</v>
      </c>
      <c r="BG105" s="53"/>
      <c r="BH105" s="53">
        <v>0</v>
      </c>
      <c r="BI105" s="53"/>
      <c r="BJ105" s="53">
        <v>0</v>
      </c>
      <c r="BK105" s="53"/>
      <c r="BL105" s="53">
        <v>44005</v>
      </c>
      <c r="BM105" s="53"/>
      <c r="BN105" s="53">
        <f t="shared" si="19"/>
        <v>5954172</v>
      </c>
      <c r="BO105" s="54"/>
      <c r="BS105" s="55"/>
      <c r="BT105" s="55"/>
      <c r="BU105" s="84"/>
      <c r="BV105" s="55"/>
      <c r="BW105" s="55"/>
      <c r="BX105" s="55"/>
      <c r="BY105" s="55"/>
      <c r="BZ105" s="55"/>
      <c r="CA105" s="55"/>
      <c r="CB105" s="55"/>
      <c r="CC105" s="55"/>
      <c r="CD105" s="55"/>
      <c r="CE105" s="55"/>
      <c r="CF105" s="55"/>
      <c r="CG105" s="55"/>
      <c r="CH105" s="55"/>
      <c r="CI105" s="55"/>
      <c r="CJ105" s="55"/>
      <c r="CK105" s="55"/>
      <c r="CL105" s="55"/>
      <c r="CM105" s="55"/>
      <c r="CN105" s="55"/>
      <c r="CO105" s="55"/>
      <c r="CP105" s="55"/>
      <c r="CQ105" s="55"/>
    </row>
    <row r="106" spans="1:95" s="35" customFormat="1" ht="12.75" customHeight="1">
      <c r="A106" s="35" t="s">
        <v>129</v>
      </c>
      <c r="B106" s="51"/>
      <c r="C106" s="35" t="s">
        <v>80</v>
      </c>
      <c r="D106" s="44"/>
      <c r="E106" s="53">
        <f t="shared" si="13"/>
        <v>1086184</v>
      </c>
      <c r="F106" s="53"/>
      <c r="G106" s="53">
        <v>4997187</v>
      </c>
      <c r="H106" s="53"/>
      <c r="I106" s="53">
        <v>6083371</v>
      </c>
      <c r="J106" s="53"/>
      <c r="K106" s="53">
        <f t="shared" si="14"/>
        <v>253931</v>
      </c>
      <c r="L106" s="53"/>
      <c r="M106" s="53">
        <v>2196970</v>
      </c>
      <c r="N106" s="53"/>
      <c r="O106" s="53">
        <v>2450901</v>
      </c>
      <c r="P106" s="53"/>
      <c r="Q106" s="53">
        <v>2671685</v>
      </c>
      <c r="R106" s="53"/>
      <c r="S106" s="53">
        <v>0</v>
      </c>
      <c r="T106" s="53"/>
      <c r="U106" s="53">
        <v>960785</v>
      </c>
      <c r="V106" s="53"/>
      <c r="W106" s="53">
        <f t="shared" si="15"/>
        <v>3632470</v>
      </c>
      <c r="X106" s="51"/>
      <c r="Y106" s="51"/>
      <c r="Z106" s="35" t="s">
        <v>129</v>
      </c>
      <c r="AA106" s="53"/>
      <c r="AB106" s="35" t="s">
        <v>80</v>
      </c>
      <c r="AC106" s="51"/>
      <c r="AD106" s="53">
        <v>1410183</v>
      </c>
      <c r="AE106" s="53"/>
      <c r="AF106" s="53">
        <f>1322154-159917</f>
        <v>1162237</v>
      </c>
      <c r="AG106" s="53"/>
      <c r="AH106" s="53">
        <v>159917</v>
      </c>
      <c r="AI106" s="53"/>
      <c r="AJ106" s="45">
        <f t="shared" si="23"/>
        <v>88029</v>
      </c>
      <c r="AK106" s="45"/>
      <c r="AL106" s="53">
        <v>-119509</v>
      </c>
      <c r="AM106" s="45"/>
      <c r="AN106" s="53">
        <v>0</v>
      </c>
      <c r="AO106" s="53"/>
      <c r="AP106" s="53">
        <v>0</v>
      </c>
      <c r="AQ106" s="53"/>
      <c r="AR106" s="53">
        <v>0</v>
      </c>
      <c r="AS106" s="53"/>
      <c r="AT106" s="45">
        <f t="shared" si="24"/>
        <v>-31480</v>
      </c>
      <c r="AU106" s="45"/>
      <c r="AV106" s="53">
        <v>0</v>
      </c>
      <c r="AW106" s="53"/>
      <c r="AX106" s="53">
        <v>0</v>
      </c>
      <c r="AY106" s="53"/>
      <c r="AZ106" s="53">
        <f t="shared" si="25"/>
        <v>832253</v>
      </c>
      <c r="BA106" s="51"/>
      <c r="BB106" s="35" t="s">
        <v>129</v>
      </c>
      <c r="BD106" s="35" t="s">
        <v>80</v>
      </c>
      <c r="BE106" s="53"/>
      <c r="BF106" s="53">
        <v>730802</v>
      </c>
      <c r="BG106" s="53"/>
      <c r="BH106" s="53">
        <v>0</v>
      </c>
      <c r="BI106" s="53"/>
      <c r="BJ106" s="53">
        <v>0</v>
      </c>
      <c r="BK106" s="53"/>
      <c r="BL106" s="53">
        <f>203461+93892</f>
        <v>297353</v>
      </c>
      <c r="BM106" s="53"/>
      <c r="BN106" s="53">
        <f t="shared" si="19"/>
        <v>1028155</v>
      </c>
      <c r="BO106" s="54"/>
      <c r="BS106" s="55"/>
      <c r="BT106" s="55"/>
      <c r="BU106" s="84"/>
      <c r="BV106" s="55"/>
      <c r="BW106" s="55"/>
      <c r="BX106" s="55"/>
      <c r="BY106" s="55"/>
      <c r="BZ106" s="55"/>
      <c r="CA106" s="55"/>
      <c r="CB106" s="55"/>
      <c r="CC106" s="55"/>
      <c r="CD106" s="55"/>
      <c r="CE106" s="55"/>
      <c r="CF106" s="55"/>
      <c r="CG106" s="55"/>
      <c r="CH106" s="55"/>
      <c r="CI106" s="55"/>
      <c r="CJ106" s="55"/>
      <c r="CK106" s="55"/>
      <c r="CL106" s="55"/>
      <c r="CM106" s="55"/>
      <c r="CN106" s="55"/>
      <c r="CO106" s="55"/>
      <c r="CP106" s="55"/>
      <c r="CQ106" s="55"/>
    </row>
    <row r="107" spans="1:95" s="35" customFormat="1" ht="12.75" customHeight="1">
      <c r="A107" s="35" t="s">
        <v>130</v>
      </c>
      <c r="B107" s="51"/>
      <c r="C107" s="35" t="s">
        <v>66</v>
      </c>
      <c r="D107" s="44"/>
      <c r="E107" s="53">
        <f t="shared" si="13"/>
        <v>1727849</v>
      </c>
      <c r="F107" s="53"/>
      <c r="G107" s="53">
        <v>9928978</v>
      </c>
      <c r="H107" s="53"/>
      <c r="I107" s="53">
        <v>11656827</v>
      </c>
      <c r="J107" s="53"/>
      <c r="K107" s="53">
        <f t="shared" si="14"/>
        <v>513283</v>
      </c>
      <c r="L107" s="53"/>
      <c r="M107" s="53">
        <v>6105098</v>
      </c>
      <c r="N107" s="53"/>
      <c r="O107" s="53">
        <v>6618381</v>
      </c>
      <c r="P107" s="53"/>
      <c r="Q107" s="53">
        <v>3659067</v>
      </c>
      <c r="R107" s="53"/>
      <c r="S107" s="53">
        <v>0</v>
      </c>
      <c r="T107" s="53"/>
      <c r="U107" s="53">
        <v>1379379</v>
      </c>
      <c r="V107" s="53"/>
      <c r="W107" s="53">
        <f t="shared" si="15"/>
        <v>5038446</v>
      </c>
      <c r="Z107" s="35" t="s">
        <v>130</v>
      </c>
      <c r="AA107" s="53"/>
      <c r="AB107" s="35" t="s">
        <v>66</v>
      </c>
      <c r="AC107" s="51"/>
      <c r="AD107" s="53">
        <v>1734139</v>
      </c>
      <c r="AE107" s="53"/>
      <c r="AF107" s="53">
        <f>1867522-345596</f>
        <v>1521926</v>
      </c>
      <c r="AG107" s="53"/>
      <c r="AH107" s="53">
        <v>345596</v>
      </c>
      <c r="AI107" s="53"/>
      <c r="AJ107" s="45">
        <f t="shared" ref="AJ107:AJ137" si="26">+AD107-AF107-AH107</f>
        <v>-133383</v>
      </c>
      <c r="AK107" s="45"/>
      <c r="AL107" s="53">
        <v>-404348</v>
      </c>
      <c r="AM107" s="45"/>
      <c r="AN107" s="53">
        <v>0</v>
      </c>
      <c r="AO107" s="53"/>
      <c r="AP107" s="53">
        <v>0</v>
      </c>
      <c r="AQ107" s="53"/>
      <c r="AR107" s="53">
        <v>0</v>
      </c>
      <c r="AS107" s="53"/>
      <c r="AT107" s="45">
        <f t="shared" si="24"/>
        <v>-537731</v>
      </c>
      <c r="AU107" s="45"/>
      <c r="AV107" s="53">
        <v>0</v>
      </c>
      <c r="AW107" s="53"/>
      <c r="AX107" s="53">
        <v>0</v>
      </c>
      <c r="AY107" s="53"/>
      <c r="AZ107" s="53">
        <f t="shared" si="25"/>
        <v>1214566</v>
      </c>
      <c r="BA107" s="51"/>
      <c r="BB107" s="35" t="s">
        <v>130</v>
      </c>
      <c r="BD107" s="35" t="s">
        <v>66</v>
      </c>
      <c r="BE107" s="53"/>
      <c r="BF107" s="53">
        <f>3655000+1435000+1220366+16788</f>
        <v>6327154</v>
      </c>
      <c r="BG107" s="53"/>
      <c r="BH107" s="53">
        <v>0</v>
      </c>
      <c r="BI107" s="53"/>
      <c r="BJ107" s="53">
        <v>4948884</v>
      </c>
      <c r="BK107" s="53"/>
      <c r="BL107" s="53">
        <f>314213+920922</f>
        <v>1235135</v>
      </c>
      <c r="BM107" s="53"/>
      <c r="BN107" s="53">
        <f t="shared" si="19"/>
        <v>12511173</v>
      </c>
      <c r="BO107" s="54"/>
      <c r="BP107" s="55"/>
      <c r="BS107" s="55"/>
      <c r="BT107" s="55"/>
      <c r="BU107" s="84"/>
      <c r="BV107" s="55"/>
      <c r="BW107" s="55"/>
      <c r="BX107" s="55"/>
      <c r="BY107" s="55"/>
      <c r="BZ107" s="55"/>
      <c r="CA107" s="55"/>
      <c r="CB107" s="55"/>
      <c r="CC107" s="55"/>
      <c r="CD107" s="55"/>
      <c r="CE107" s="55"/>
      <c r="CF107" s="55"/>
      <c r="CG107" s="55"/>
      <c r="CH107" s="55"/>
      <c r="CI107" s="55"/>
      <c r="CJ107" s="55"/>
      <c r="CK107" s="55"/>
      <c r="CL107" s="55"/>
      <c r="CM107" s="55"/>
      <c r="CN107" s="55"/>
      <c r="CO107" s="55"/>
      <c r="CP107" s="55"/>
      <c r="CQ107" s="55"/>
    </row>
    <row r="108" spans="1:95" s="35" customFormat="1" ht="12.75" customHeight="1">
      <c r="A108" s="35" t="s">
        <v>131</v>
      </c>
      <c r="C108" s="35" t="s">
        <v>13</v>
      </c>
      <c r="D108" s="44"/>
      <c r="E108" s="53">
        <f t="shared" si="13"/>
        <v>2990093</v>
      </c>
      <c r="F108" s="53"/>
      <c r="G108" s="53">
        <v>5339304</v>
      </c>
      <c r="H108" s="53"/>
      <c r="I108" s="53">
        <v>8329397</v>
      </c>
      <c r="J108" s="53"/>
      <c r="K108" s="53">
        <f t="shared" si="14"/>
        <v>598513</v>
      </c>
      <c r="L108" s="53"/>
      <c r="M108" s="53">
        <v>3678174</v>
      </c>
      <c r="N108" s="53"/>
      <c r="O108" s="53">
        <v>4276687</v>
      </c>
      <c r="P108" s="53"/>
      <c r="Q108" s="53">
        <v>1302097</v>
      </c>
      <c r="R108" s="53"/>
      <c r="S108" s="53">
        <v>0</v>
      </c>
      <c r="T108" s="53"/>
      <c r="U108" s="53">
        <v>2750613</v>
      </c>
      <c r="V108" s="53"/>
      <c r="W108" s="53">
        <f t="shared" si="15"/>
        <v>4052710</v>
      </c>
      <c r="X108" s="51"/>
      <c r="Y108" s="51"/>
      <c r="Z108" s="35" t="s">
        <v>131</v>
      </c>
      <c r="AA108" s="53"/>
      <c r="AB108" s="35" t="s">
        <v>13</v>
      </c>
      <c r="AD108" s="53">
        <v>2116803</v>
      </c>
      <c r="AE108" s="53"/>
      <c r="AF108" s="53">
        <f>1338196-226520</f>
        <v>1111676</v>
      </c>
      <c r="AG108" s="53"/>
      <c r="AH108" s="53">
        <v>226520</v>
      </c>
      <c r="AI108" s="53"/>
      <c r="AJ108" s="45">
        <f t="shared" si="26"/>
        <v>778607</v>
      </c>
      <c r="AK108" s="45"/>
      <c r="AL108" s="53">
        <v>-226271</v>
      </c>
      <c r="AM108" s="45"/>
      <c r="AN108" s="53">
        <v>0</v>
      </c>
      <c r="AO108" s="53"/>
      <c r="AP108" s="53">
        <v>0</v>
      </c>
      <c r="AQ108" s="53"/>
      <c r="AR108" s="53">
        <v>0</v>
      </c>
      <c r="AS108" s="53"/>
      <c r="AT108" s="45">
        <f t="shared" si="24"/>
        <v>552336</v>
      </c>
      <c r="AU108" s="45"/>
      <c r="AV108" s="53">
        <v>0</v>
      </c>
      <c r="AW108" s="53"/>
      <c r="AX108" s="53">
        <v>0</v>
      </c>
      <c r="AY108" s="53"/>
      <c r="AZ108" s="53">
        <f t="shared" si="25"/>
        <v>2391580</v>
      </c>
      <c r="BA108" s="51"/>
      <c r="BB108" s="35" t="s">
        <v>131</v>
      </c>
      <c r="BD108" s="35" t="s">
        <v>13</v>
      </c>
      <c r="BE108" s="53"/>
      <c r="BF108" s="53">
        <v>2427177</v>
      </c>
      <c r="BG108" s="53"/>
      <c r="BH108" s="53">
        <v>0</v>
      </c>
      <c r="BI108" s="53"/>
      <c r="BJ108" s="53">
        <v>1597556</v>
      </c>
      <c r="BK108" s="53"/>
      <c r="BL108" s="53">
        <v>112711</v>
      </c>
      <c r="BM108" s="53"/>
      <c r="BN108" s="53">
        <f t="shared" si="19"/>
        <v>4137444</v>
      </c>
      <c r="BO108" s="54"/>
      <c r="BS108" s="55"/>
      <c r="BT108" s="55"/>
      <c r="BU108" s="84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55"/>
      <c r="CO108" s="55"/>
      <c r="CP108" s="55"/>
      <c r="CQ108" s="55"/>
    </row>
    <row r="109" spans="1:95" s="126" customFormat="1" ht="12.75" hidden="1" customHeight="1">
      <c r="A109" s="126" t="s">
        <v>38</v>
      </c>
      <c r="B109" s="124"/>
      <c r="C109" s="126" t="s">
        <v>132</v>
      </c>
      <c r="D109" s="121"/>
      <c r="E109" s="140">
        <f t="shared" si="13"/>
        <v>0</v>
      </c>
      <c r="F109" s="140"/>
      <c r="G109" s="140"/>
      <c r="H109" s="140"/>
      <c r="I109" s="140"/>
      <c r="J109" s="140"/>
      <c r="K109" s="140">
        <f t="shared" si="14"/>
        <v>0</v>
      </c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>
        <f t="shared" si="15"/>
        <v>0</v>
      </c>
      <c r="X109" s="124"/>
      <c r="Y109" s="124"/>
      <c r="Z109" s="126" t="s">
        <v>38</v>
      </c>
      <c r="AA109" s="140"/>
      <c r="AB109" s="126" t="s">
        <v>132</v>
      </c>
      <c r="AC109" s="124"/>
      <c r="AD109" s="140"/>
      <c r="AE109" s="140"/>
      <c r="AF109" s="140"/>
      <c r="AG109" s="140"/>
      <c r="AH109" s="140"/>
      <c r="AI109" s="140"/>
      <c r="AJ109" s="127">
        <f t="shared" si="26"/>
        <v>0</v>
      </c>
      <c r="AK109" s="127"/>
      <c r="AL109" s="140"/>
      <c r="AM109" s="127"/>
      <c r="AN109" s="140"/>
      <c r="AO109" s="140"/>
      <c r="AP109" s="140"/>
      <c r="AQ109" s="140"/>
      <c r="AR109" s="140"/>
      <c r="AS109" s="140"/>
      <c r="AT109" s="127">
        <f t="shared" si="24"/>
        <v>0</v>
      </c>
      <c r="AU109" s="127"/>
      <c r="AV109" s="140">
        <v>0</v>
      </c>
      <c r="AW109" s="140"/>
      <c r="AX109" s="140">
        <v>0</v>
      </c>
      <c r="AY109" s="140"/>
      <c r="AZ109" s="140">
        <f t="shared" si="25"/>
        <v>0</v>
      </c>
      <c r="BA109" s="124"/>
      <c r="BB109" s="126" t="s">
        <v>38</v>
      </c>
      <c r="BD109" s="126" t="s">
        <v>132</v>
      </c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>
        <f t="shared" si="19"/>
        <v>0</v>
      </c>
      <c r="BO109" s="142"/>
      <c r="BS109" s="143"/>
      <c r="BT109" s="143"/>
      <c r="BU109" s="144"/>
      <c r="BV109" s="143"/>
      <c r="BW109" s="143"/>
      <c r="BX109" s="143"/>
      <c r="BY109" s="143"/>
      <c r="BZ109" s="143"/>
      <c r="CA109" s="143"/>
      <c r="CB109" s="143"/>
      <c r="CC109" s="143"/>
      <c r="CD109" s="143"/>
      <c r="CE109" s="143"/>
      <c r="CF109" s="143"/>
      <c r="CG109" s="143"/>
      <c r="CH109" s="143"/>
      <c r="CI109" s="143"/>
      <c r="CJ109" s="143"/>
      <c r="CK109" s="143"/>
      <c r="CL109" s="143"/>
      <c r="CM109" s="143"/>
      <c r="CN109" s="143"/>
      <c r="CO109" s="143"/>
      <c r="CP109" s="143"/>
      <c r="CQ109" s="143"/>
    </row>
    <row r="110" spans="1:95" s="126" customFormat="1" ht="12.75" hidden="1" customHeight="1">
      <c r="A110" s="126" t="s">
        <v>133</v>
      </c>
      <c r="B110" s="124"/>
      <c r="C110" s="126" t="s">
        <v>27</v>
      </c>
      <c r="D110" s="121"/>
      <c r="E110" s="140">
        <f t="shared" si="13"/>
        <v>0</v>
      </c>
      <c r="F110" s="140"/>
      <c r="G110" s="140"/>
      <c r="H110" s="140"/>
      <c r="I110" s="140"/>
      <c r="J110" s="140"/>
      <c r="K110" s="140">
        <f t="shared" si="14"/>
        <v>0</v>
      </c>
      <c r="L110" s="140"/>
      <c r="M110" s="140"/>
      <c r="N110" s="140"/>
      <c r="O110" s="140"/>
      <c r="P110" s="140"/>
      <c r="Q110" s="140"/>
      <c r="R110" s="140"/>
      <c r="S110" s="140">
        <v>0</v>
      </c>
      <c r="T110" s="140"/>
      <c r="U110" s="140"/>
      <c r="V110" s="140"/>
      <c r="W110" s="140">
        <f t="shared" si="15"/>
        <v>0</v>
      </c>
      <c r="X110" s="124"/>
      <c r="Y110" s="124"/>
      <c r="Z110" s="126" t="s">
        <v>133</v>
      </c>
      <c r="AA110" s="140"/>
      <c r="AB110" s="126" t="s">
        <v>27</v>
      </c>
      <c r="AC110" s="124"/>
      <c r="AD110" s="140"/>
      <c r="AE110" s="140"/>
      <c r="AF110" s="140"/>
      <c r="AG110" s="140"/>
      <c r="AH110" s="140"/>
      <c r="AI110" s="140"/>
      <c r="AJ110" s="127">
        <f t="shared" si="26"/>
        <v>0</v>
      </c>
      <c r="AK110" s="127"/>
      <c r="AL110" s="140"/>
      <c r="AM110" s="127"/>
      <c r="AN110" s="140"/>
      <c r="AO110" s="140"/>
      <c r="AP110" s="140"/>
      <c r="AQ110" s="140"/>
      <c r="AR110" s="140"/>
      <c r="AS110" s="140"/>
      <c r="AT110" s="127">
        <f t="shared" si="24"/>
        <v>0</v>
      </c>
      <c r="AU110" s="127"/>
      <c r="AV110" s="140">
        <v>0</v>
      </c>
      <c r="AW110" s="140"/>
      <c r="AX110" s="140">
        <v>0</v>
      </c>
      <c r="AY110" s="140"/>
      <c r="AZ110" s="140">
        <f t="shared" si="25"/>
        <v>0</v>
      </c>
      <c r="BA110" s="124"/>
      <c r="BB110" s="126" t="s">
        <v>133</v>
      </c>
      <c r="BD110" s="126" t="s">
        <v>27</v>
      </c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>
        <f t="shared" si="19"/>
        <v>0</v>
      </c>
      <c r="BO110" s="142"/>
      <c r="BS110" s="143"/>
      <c r="BT110" s="143"/>
      <c r="BU110" s="144"/>
      <c r="BV110" s="143"/>
      <c r="BW110" s="143"/>
      <c r="BX110" s="143"/>
      <c r="BY110" s="143"/>
      <c r="BZ110" s="143"/>
      <c r="CA110" s="143"/>
      <c r="CB110" s="143"/>
      <c r="CC110" s="143"/>
      <c r="CD110" s="143"/>
      <c r="CE110" s="143"/>
      <c r="CF110" s="143"/>
      <c r="CG110" s="143"/>
      <c r="CH110" s="143"/>
      <c r="CI110" s="143"/>
      <c r="CJ110" s="143"/>
      <c r="CK110" s="143"/>
      <c r="CL110" s="143"/>
      <c r="CM110" s="143"/>
      <c r="CN110" s="143"/>
      <c r="CO110" s="143"/>
      <c r="CP110" s="143"/>
      <c r="CQ110" s="143"/>
    </row>
    <row r="111" spans="1:95" s="126" customFormat="1" ht="12.75" hidden="1" customHeight="1">
      <c r="A111" s="126" t="s">
        <v>477</v>
      </c>
      <c r="B111" s="124"/>
      <c r="C111" s="126" t="s">
        <v>45</v>
      </c>
      <c r="D111" s="121"/>
      <c r="E111" s="140">
        <f>I111-G111</f>
        <v>0</v>
      </c>
      <c r="F111" s="140"/>
      <c r="G111" s="140"/>
      <c r="H111" s="140"/>
      <c r="I111" s="140"/>
      <c r="J111" s="140"/>
      <c r="K111" s="140">
        <f t="shared" si="14"/>
        <v>0</v>
      </c>
      <c r="L111" s="140"/>
      <c r="M111" s="140"/>
      <c r="N111" s="140"/>
      <c r="O111" s="140"/>
      <c r="P111" s="140"/>
      <c r="Q111" s="140"/>
      <c r="R111" s="140"/>
      <c r="S111" s="140">
        <v>0</v>
      </c>
      <c r="T111" s="140"/>
      <c r="U111" s="140"/>
      <c r="V111" s="140"/>
      <c r="W111" s="140">
        <f t="shared" si="15"/>
        <v>0</v>
      </c>
      <c r="X111" s="124"/>
      <c r="Y111" s="124"/>
      <c r="Z111" s="126" t="s">
        <v>477</v>
      </c>
      <c r="AA111" s="140"/>
      <c r="AB111" s="126" t="s">
        <v>45</v>
      </c>
      <c r="AC111" s="124"/>
      <c r="AD111" s="140"/>
      <c r="AE111" s="140"/>
      <c r="AF111" s="140"/>
      <c r="AG111" s="140"/>
      <c r="AH111" s="140"/>
      <c r="AI111" s="140"/>
      <c r="AJ111" s="127">
        <f t="shared" si="26"/>
        <v>0</v>
      </c>
      <c r="AK111" s="127"/>
      <c r="AL111" s="140"/>
      <c r="AM111" s="127"/>
      <c r="AN111" s="140"/>
      <c r="AO111" s="140"/>
      <c r="AP111" s="140"/>
      <c r="AQ111" s="140"/>
      <c r="AR111" s="140"/>
      <c r="AS111" s="140"/>
      <c r="AT111" s="127">
        <f t="shared" si="24"/>
        <v>0</v>
      </c>
      <c r="AU111" s="127"/>
      <c r="AV111" s="140"/>
      <c r="AW111" s="140"/>
      <c r="AX111" s="140"/>
      <c r="AY111" s="140"/>
      <c r="AZ111" s="140">
        <f t="shared" si="25"/>
        <v>0</v>
      </c>
      <c r="BA111" s="124"/>
      <c r="BB111" s="126" t="s">
        <v>477</v>
      </c>
      <c r="BD111" s="126" t="s">
        <v>45</v>
      </c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>
        <f t="shared" si="19"/>
        <v>0</v>
      </c>
      <c r="BO111" s="142"/>
      <c r="BS111" s="143"/>
      <c r="BT111" s="143"/>
      <c r="BU111" s="144"/>
      <c r="BV111" s="143"/>
      <c r="BW111" s="143"/>
      <c r="BX111" s="143"/>
      <c r="BY111" s="143"/>
      <c r="BZ111" s="143"/>
      <c r="CA111" s="143"/>
      <c r="CB111" s="143"/>
      <c r="CC111" s="143"/>
      <c r="CD111" s="143"/>
      <c r="CE111" s="143"/>
      <c r="CF111" s="143"/>
      <c r="CG111" s="143"/>
      <c r="CH111" s="143"/>
      <c r="CI111" s="143"/>
      <c r="CJ111" s="143"/>
      <c r="CK111" s="143"/>
      <c r="CL111" s="143"/>
      <c r="CM111" s="143"/>
      <c r="CN111" s="143"/>
      <c r="CO111" s="143"/>
      <c r="CP111" s="143"/>
      <c r="CQ111" s="143"/>
    </row>
    <row r="112" spans="1:95" s="35" customFormat="1" ht="12.75" customHeight="1">
      <c r="A112" s="35" t="s">
        <v>136</v>
      </c>
      <c r="B112" s="51"/>
      <c r="C112" s="35" t="s">
        <v>136</v>
      </c>
      <c r="D112" s="44"/>
      <c r="E112" s="53">
        <f t="shared" si="13"/>
        <v>2133603</v>
      </c>
      <c r="F112" s="53"/>
      <c r="G112" s="53">
        <v>5251925</v>
      </c>
      <c r="H112" s="53"/>
      <c r="I112" s="53">
        <v>7385528</v>
      </c>
      <c r="J112" s="53"/>
      <c r="K112" s="53">
        <f t="shared" si="14"/>
        <v>259371</v>
      </c>
      <c r="L112" s="53"/>
      <c r="M112" s="53">
        <v>2476531</v>
      </c>
      <c r="N112" s="53"/>
      <c r="O112" s="53">
        <v>2735902</v>
      </c>
      <c r="P112" s="53"/>
      <c r="Q112" s="53">
        <v>2815850</v>
      </c>
      <c r="R112" s="53"/>
      <c r="S112" s="53">
        <v>0</v>
      </c>
      <c r="T112" s="53"/>
      <c r="U112" s="53">
        <v>1833776</v>
      </c>
      <c r="V112" s="53"/>
      <c r="W112" s="53">
        <f t="shared" si="15"/>
        <v>4649626</v>
      </c>
      <c r="X112" s="51"/>
      <c r="Y112" s="51"/>
      <c r="Z112" s="35" t="s">
        <v>136</v>
      </c>
      <c r="AA112" s="53"/>
      <c r="AB112" s="35" t="s">
        <v>136</v>
      </c>
      <c r="AC112" s="51"/>
      <c r="AD112" s="53">
        <v>1583807</v>
      </c>
      <c r="AE112" s="53"/>
      <c r="AF112" s="53">
        <f>1789885-207224</f>
        <v>1582661</v>
      </c>
      <c r="AG112" s="53"/>
      <c r="AH112" s="53">
        <v>207224</v>
      </c>
      <c r="AI112" s="53"/>
      <c r="AJ112" s="45">
        <f t="shared" si="26"/>
        <v>-206078</v>
      </c>
      <c r="AK112" s="45"/>
      <c r="AL112" s="53">
        <v>-93200</v>
      </c>
      <c r="AM112" s="45"/>
      <c r="AN112" s="53">
        <v>0</v>
      </c>
      <c r="AO112" s="53"/>
      <c r="AP112" s="53">
        <v>11076</v>
      </c>
      <c r="AQ112" s="53"/>
      <c r="AR112" s="53">
        <v>0</v>
      </c>
      <c r="AS112" s="53"/>
      <c r="AT112" s="45">
        <f t="shared" si="24"/>
        <v>-310354</v>
      </c>
      <c r="AU112" s="45"/>
      <c r="AV112" s="53">
        <v>0</v>
      </c>
      <c r="AW112" s="53"/>
      <c r="AX112" s="53">
        <v>0</v>
      </c>
      <c r="AY112" s="53"/>
      <c r="AZ112" s="53">
        <f t="shared" si="25"/>
        <v>1874232</v>
      </c>
      <c r="BA112" s="51"/>
      <c r="BB112" s="35" t="s">
        <v>136</v>
      </c>
      <c r="BD112" s="35" t="s">
        <v>136</v>
      </c>
      <c r="BE112" s="53"/>
      <c r="BF112" s="53">
        <f>2275000-46514+21463</f>
        <v>2249949</v>
      </c>
      <c r="BG112" s="53"/>
      <c r="BH112" s="53">
        <v>0</v>
      </c>
      <c r="BI112" s="53"/>
      <c r="BJ112" s="53">
        <f>216693+7300363</f>
        <v>7517056</v>
      </c>
      <c r="BK112" s="53"/>
      <c r="BL112" s="53">
        <v>487646</v>
      </c>
      <c r="BM112" s="53"/>
      <c r="BN112" s="53">
        <f t="shared" si="19"/>
        <v>10254651</v>
      </c>
      <c r="BO112" s="54"/>
      <c r="BS112" s="55"/>
      <c r="BT112" s="55"/>
      <c r="BU112" s="84"/>
      <c r="BV112" s="55"/>
      <c r="BW112" s="55"/>
      <c r="BX112" s="55"/>
      <c r="BY112" s="55"/>
      <c r="BZ112" s="55"/>
      <c r="CA112" s="55"/>
      <c r="CB112" s="55"/>
      <c r="CC112" s="55"/>
      <c r="CD112" s="55"/>
      <c r="CE112" s="55"/>
      <c r="CF112" s="55"/>
      <c r="CG112" s="55"/>
      <c r="CH112" s="55"/>
      <c r="CI112" s="55"/>
      <c r="CJ112" s="55"/>
      <c r="CK112" s="55"/>
      <c r="CL112" s="55"/>
      <c r="CM112" s="55"/>
      <c r="CN112" s="55"/>
      <c r="CO112" s="55"/>
      <c r="CP112" s="55"/>
      <c r="CQ112" s="55"/>
    </row>
    <row r="113" spans="1:95" s="35" customFormat="1" ht="12.75" customHeight="1">
      <c r="A113" s="35" t="s">
        <v>137</v>
      </c>
      <c r="B113" s="65"/>
      <c r="C113" s="35" t="s">
        <v>22</v>
      </c>
      <c r="D113" s="44"/>
      <c r="E113" s="53">
        <f t="shared" si="13"/>
        <v>4253732</v>
      </c>
      <c r="F113" s="53"/>
      <c r="G113" s="53">
        <v>15020934</v>
      </c>
      <c r="H113" s="53"/>
      <c r="I113" s="53">
        <v>19274666</v>
      </c>
      <c r="J113" s="53"/>
      <c r="K113" s="53">
        <f t="shared" si="14"/>
        <v>775134</v>
      </c>
      <c r="L113" s="53"/>
      <c r="M113" s="53">
        <v>617815</v>
      </c>
      <c r="N113" s="53"/>
      <c r="O113" s="53">
        <v>1392949</v>
      </c>
      <c r="P113" s="53"/>
      <c r="Q113" s="53">
        <v>14371430</v>
      </c>
      <c r="R113" s="53"/>
      <c r="S113" s="53">
        <v>0</v>
      </c>
      <c r="T113" s="53"/>
      <c r="U113" s="53">
        <v>3510287</v>
      </c>
      <c r="V113" s="53"/>
      <c r="W113" s="53">
        <f t="shared" si="15"/>
        <v>17881717</v>
      </c>
      <c r="X113" s="65"/>
      <c r="Y113" s="65"/>
      <c r="Z113" s="35" t="s">
        <v>137</v>
      </c>
      <c r="AA113" s="53"/>
      <c r="AB113" s="35" t="s">
        <v>22</v>
      </c>
      <c r="AC113" s="65"/>
      <c r="AD113" s="53">
        <v>2530196</v>
      </c>
      <c r="AE113" s="53"/>
      <c r="AF113" s="53">
        <f>3319611-635126</f>
        <v>2684485</v>
      </c>
      <c r="AG113" s="53"/>
      <c r="AH113" s="53">
        <v>635126</v>
      </c>
      <c r="AI113" s="53"/>
      <c r="AJ113" s="45">
        <f t="shared" si="26"/>
        <v>-789415</v>
      </c>
      <c r="AK113" s="45"/>
      <c r="AL113" s="53">
        <v>98390</v>
      </c>
      <c r="AM113" s="45"/>
      <c r="AN113" s="53">
        <v>0</v>
      </c>
      <c r="AO113" s="53"/>
      <c r="AP113" s="53">
        <v>0</v>
      </c>
      <c r="AQ113" s="53"/>
      <c r="AR113" s="53">
        <v>42052</v>
      </c>
      <c r="AS113" s="53"/>
      <c r="AT113" s="45">
        <f t="shared" si="24"/>
        <v>-648973</v>
      </c>
      <c r="AU113" s="45"/>
      <c r="AV113" s="53">
        <v>0</v>
      </c>
      <c r="AW113" s="53"/>
      <c r="AX113" s="53">
        <v>0</v>
      </c>
      <c r="AY113" s="53"/>
      <c r="AZ113" s="53">
        <f t="shared" si="25"/>
        <v>3478598</v>
      </c>
      <c r="BA113" s="65"/>
      <c r="BB113" s="35" t="s">
        <v>137</v>
      </c>
      <c r="BD113" s="35" t="s">
        <v>22</v>
      </c>
      <c r="BE113" s="53"/>
      <c r="BF113" s="53">
        <v>4466577</v>
      </c>
      <c r="BG113" s="53"/>
      <c r="BH113" s="53">
        <v>0</v>
      </c>
      <c r="BI113" s="53"/>
      <c r="BJ113" s="53">
        <v>0</v>
      </c>
      <c r="BK113" s="53"/>
      <c r="BL113" s="53">
        <v>200434</v>
      </c>
      <c r="BM113" s="53"/>
      <c r="BN113" s="53">
        <f t="shared" si="19"/>
        <v>4667011</v>
      </c>
      <c r="BO113" s="54"/>
      <c r="BS113" s="55"/>
      <c r="BT113" s="55"/>
      <c r="BU113" s="84"/>
      <c r="BV113" s="55"/>
      <c r="BW113" s="55"/>
      <c r="BX113" s="55"/>
      <c r="BY113" s="55"/>
      <c r="BZ113" s="55"/>
      <c r="CA113" s="55"/>
      <c r="CB113" s="55"/>
      <c r="CC113" s="55"/>
      <c r="CD113" s="55"/>
      <c r="CE113" s="55"/>
      <c r="CF113" s="55"/>
      <c r="CG113" s="55"/>
      <c r="CH113" s="55"/>
      <c r="CI113" s="55"/>
      <c r="CJ113" s="55"/>
      <c r="CK113" s="55"/>
      <c r="CL113" s="55"/>
      <c r="CM113" s="55"/>
      <c r="CN113" s="55"/>
      <c r="CO113" s="55"/>
      <c r="CP113" s="55"/>
      <c r="CQ113" s="55"/>
    </row>
    <row r="114" spans="1:95" s="126" customFormat="1" ht="12" hidden="1" customHeight="1">
      <c r="A114" s="126" t="s">
        <v>138</v>
      </c>
      <c r="B114" s="124"/>
      <c r="C114" s="126" t="s">
        <v>139</v>
      </c>
      <c r="D114" s="121"/>
      <c r="E114" s="140">
        <f t="shared" si="13"/>
        <v>0</v>
      </c>
      <c r="F114" s="140"/>
      <c r="G114" s="140"/>
      <c r="H114" s="140"/>
      <c r="I114" s="140"/>
      <c r="J114" s="140"/>
      <c r="K114" s="140">
        <f t="shared" si="14"/>
        <v>0</v>
      </c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>
        <f t="shared" si="15"/>
        <v>0</v>
      </c>
      <c r="X114" s="124"/>
      <c r="Y114" s="124"/>
      <c r="Z114" s="126" t="s">
        <v>138</v>
      </c>
      <c r="AA114" s="140"/>
      <c r="AB114" s="126" t="s">
        <v>139</v>
      </c>
      <c r="AC114" s="124"/>
      <c r="AD114" s="140"/>
      <c r="AE114" s="140"/>
      <c r="AF114" s="140"/>
      <c r="AG114" s="140"/>
      <c r="AH114" s="140"/>
      <c r="AI114" s="140"/>
      <c r="AJ114" s="127">
        <f t="shared" si="26"/>
        <v>0</v>
      </c>
      <c r="AK114" s="127"/>
      <c r="AL114" s="140"/>
      <c r="AM114" s="127"/>
      <c r="AN114" s="140"/>
      <c r="AO114" s="140"/>
      <c r="AP114" s="140"/>
      <c r="AQ114" s="140"/>
      <c r="AR114" s="140"/>
      <c r="AS114" s="140"/>
      <c r="AT114" s="127">
        <f t="shared" si="24"/>
        <v>0</v>
      </c>
      <c r="AU114" s="127"/>
      <c r="AV114" s="140">
        <v>0</v>
      </c>
      <c r="AW114" s="140"/>
      <c r="AX114" s="140">
        <v>0</v>
      </c>
      <c r="AY114" s="140"/>
      <c r="AZ114" s="140">
        <f t="shared" si="25"/>
        <v>0</v>
      </c>
      <c r="BA114" s="124"/>
      <c r="BB114" s="126" t="s">
        <v>138</v>
      </c>
      <c r="BD114" s="126" t="s">
        <v>139</v>
      </c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>
        <f t="shared" si="19"/>
        <v>0</v>
      </c>
      <c r="BO114" s="142"/>
      <c r="BS114" s="143"/>
      <c r="BT114" s="143"/>
      <c r="BU114" s="144"/>
      <c r="BV114" s="143"/>
      <c r="BW114" s="143"/>
      <c r="BX114" s="143"/>
      <c r="BY114" s="143"/>
      <c r="BZ114" s="143"/>
      <c r="CA114" s="143"/>
      <c r="CB114" s="143"/>
      <c r="CC114" s="143"/>
      <c r="CD114" s="143"/>
      <c r="CE114" s="143"/>
      <c r="CF114" s="143"/>
      <c r="CG114" s="143"/>
      <c r="CH114" s="143"/>
      <c r="CI114" s="143"/>
      <c r="CJ114" s="143"/>
      <c r="CK114" s="143"/>
      <c r="CL114" s="143"/>
      <c r="CM114" s="143"/>
      <c r="CN114" s="143"/>
      <c r="CO114" s="143"/>
      <c r="CP114" s="143"/>
      <c r="CQ114" s="143"/>
    </row>
    <row r="115" spans="1:95" s="126" customFormat="1" ht="12.75" hidden="1" customHeight="1">
      <c r="A115" s="126" t="s">
        <v>140</v>
      </c>
      <c r="B115" s="124"/>
      <c r="C115" s="126" t="s">
        <v>66</v>
      </c>
      <c r="D115" s="121"/>
      <c r="E115" s="140">
        <f t="shared" si="13"/>
        <v>0</v>
      </c>
      <c r="F115" s="140"/>
      <c r="G115" s="140"/>
      <c r="H115" s="140"/>
      <c r="I115" s="140"/>
      <c r="J115" s="140"/>
      <c r="K115" s="140">
        <f t="shared" si="14"/>
        <v>0</v>
      </c>
      <c r="L115" s="140"/>
      <c r="M115" s="140"/>
      <c r="N115" s="140"/>
      <c r="O115" s="140"/>
      <c r="P115" s="140"/>
      <c r="Q115" s="140"/>
      <c r="R115" s="140"/>
      <c r="S115" s="140">
        <v>0</v>
      </c>
      <c r="T115" s="140"/>
      <c r="U115" s="140"/>
      <c r="V115" s="140"/>
      <c r="W115" s="140">
        <f t="shared" si="15"/>
        <v>0</v>
      </c>
      <c r="X115" s="124"/>
      <c r="Y115" s="124"/>
      <c r="Z115" s="126" t="s">
        <v>140</v>
      </c>
      <c r="AA115" s="140"/>
      <c r="AB115" s="126" t="s">
        <v>66</v>
      </c>
      <c r="AC115" s="124"/>
      <c r="AD115" s="140"/>
      <c r="AE115" s="140"/>
      <c r="AF115" s="140"/>
      <c r="AG115" s="140"/>
      <c r="AH115" s="140"/>
      <c r="AI115" s="140"/>
      <c r="AJ115" s="127">
        <f t="shared" si="26"/>
        <v>0</v>
      </c>
      <c r="AK115" s="127"/>
      <c r="AL115" s="140"/>
      <c r="AM115" s="127"/>
      <c r="AN115" s="140"/>
      <c r="AO115" s="140"/>
      <c r="AP115" s="140"/>
      <c r="AQ115" s="140"/>
      <c r="AR115" s="140"/>
      <c r="AS115" s="140"/>
      <c r="AT115" s="127">
        <f t="shared" si="24"/>
        <v>0</v>
      </c>
      <c r="AU115" s="127"/>
      <c r="AV115" s="140">
        <v>0</v>
      </c>
      <c r="AW115" s="140"/>
      <c r="AX115" s="140">
        <v>0</v>
      </c>
      <c r="AY115" s="140"/>
      <c r="AZ115" s="140">
        <f t="shared" si="25"/>
        <v>0</v>
      </c>
      <c r="BA115" s="124"/>
      <c r="BB115" s="126" t="s">
        <v>140</v>
      </c>
      <c r="BD115" s="126" t="s">
        <v>66</v>
      </c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>
        <f t="shared" si="19"/>
        <v>0</v>
      </c>
      <c r="BO115" s="142"/>
      <c r="BS115" s="143"/>
      <c r="BT115" s="143"/>
      <c r="BU115" s="144"/>
      <c r="BV115" s="143"/>
      <c r="BW115" s="143"/>
      <c r="BX115" s="143"/>
      <c r="BY115" s="143"/>
      <c r="BZ115" s="143"/>
      <c r="CA115" s="143"/>
      <c r="CB115" s="143"/>
      <c r="CC115" s="143"/>
      <c r="CD115" s="143"/>
      <c r="CE115" s="143"/>
      <c r="CF115" s="143"/>
      <c r="CG115" s="143"/>
      <c r="CH115" s="143"/>
      <c r="CI115" s="143"/>
      <c r="CJ115" s="143"/>
      <c r="CK115" s="143"/>
      <c r="CL115" s="143"/>
      <c r="CM115" s="143"/>
      <c r="CN115" s="143"/>
      <c r="CO115" s="143"/>
      <c r="CP115" s="143"/>
      <c r="CQ115" s="143"/>
    </row>
    <row r="116" spans="1:95" s="35" customFormat="1" ht="12.75" customHeight="1">
      <c r="A116" s="35" t="s">
        <v>478</v>
      </c>
      <c r="B116" s="51"/>
      <c r="C116" s="35" t="s">
        <v>92</v>
      </c>
      <c r="D116" s="44"/>
      <c r="E116" s="53">
        <f t="shared" si="13"/>
        <v>627105</v>
      </c>
      <c r="F116" s="53"/>
      <c r="G116" s="53">
        <v>1359574</v>
      </c>
      <c r="H116" s="53"/>
      <c r="I116" s="53">
        <v>1986679</v>
      </c>
      <c r="J116" s="53"/>
      <c r="K116" s="53">
        <f t="shared" si="14"/>
        <v>789751</v>
      </c>
      <c r="L116" s="53"/>
      <c r="M116" s="53">
        <v>612756</v>
      </c>
      <c r="N116" s="53"/>
      <c r="O116" s="53">
        <v>1402507</v>
      </c>
      <c r="P116" s="53"/>
      <c r="Q116" s="53">
        <v>236459</v>
      </c>
      <c r="R116" s="53"/>
      <c r="S116" s="53">
        <v>0</v>
      </c>
      <c r="T116" s="53"/>
      <c r="U116" s="53">
        <v>347713</v>
      </c>
      <c r="V116" s="53"/>
      <c r="W116" s="53">
        <f t="shared" si="15"/>
        <v>584172</v>
      </c>
      <c r="X116" s="51"/>
      <c r="Y116" s="51"/>
      <c r="Z116" s="35" t="s">
        <v>478</v>
      </c>
      <c r="AA116" s="53"/>
      <c r="AB116" s="35" t="s">
        <v>92</v>
      </c>
      <c r="AC116" s="51"/>
      <c r="AD116" s="53">
        <v>67429</v>
      </c>
      <c r="AE116" s="53"/>
      <c r="AF116" s="53">
        <f>86415-14645</f>
        <v>71770</v>
      </c>
      <c r="AG116" s="53"/>
      <c r="AH116" s="53">
        <v>14645</v>
      </c>
      <c r="AI116" s="53"/>
      <c r="AJ116" s="45">
        <f t="shared" si="26"/>
        <v>-18986</v>
      </c>
      <c r="AK116" s="45"/>
      <c r="AL116" s="53">
        <v>-16359</v>
      </c>
      <c r="AM116" s="45"/>
      <c r="AN116" s="53">
        <v>22648</v>
      </c>
      <c r="AO116" s="53"/>
      <c r="AP116" s="53">
        <v>0</v>
      </c>
      <c r="AQ116" s="53"/>
      <c r="AR116" s="53">
        <v>0</v>
      </c>
      <c r="AS116" s="53"/>
      <c r="AT116" s="45">
        <f t="shared" si="24"/>
        <v>-12697</v>
      </c>
      <c r="AU116" s="45"/>
      <c r="AV116" s="53"/>
      <c r="AW116" s="53"/>
      <c r="AX116" s="53"/>
      <c r="AY116" s="53"/>
      <c r="AZ116" s="53">
        <f t="shared" si="25"/>
        <v>-162646</v>
      </c>
      <c r="BA116" s="51"/>
      <c r="BB116" s="35" t="s">
        <v>480</v>
      </c>
      <c r="BD116" s="35" t="s">
        <v>92</v>
      </c>
      <c r="BE116" s="53"/>
      <c r="BF116" s="53">
        <v>384008</v>
      </c>
      <c r="BG116" s="53"/>
      <c r="BH116" s="53">
        <v>0</v>
      </c>
      <c r="BI116" s="53"/>
      <c r="BJ116" s="53">
        <v>255523</v>
      </c>
      <c r="BK116" s="53"/>
      <c r="BL116" s="53">
        <v>0</v>
      </c>
      <c r="BM116" s="53"/>
      <c r="BN116" s="53">
        <f>SUM(BF116:BL116)</f>
        <v>639531</v>
      </c>
      <c r="BO116" s="54"/>
      <c r="BS116" s="55"/>
      <c r="BT116" s="55"/>
      <c r="BU116" s="84"/>
      <c r="BV116" s="55"/>
      <c r="BW116" s="55"/>
      <c r="BX116" s="55"/>
      <c r="BY116" s="55"/>
      <c r="BZ116" s="55"/>
      <c r="CA116" s="55"/>
      <c r="CB116" s="55"/>
      <c r="CC116" s="55"/>
      <c r="CD116" s="55"/>
      <c r="CE116" s="55"/>
      <c r="CF116" s="55"/>
      <c r="CG116" s="55"/>
      <c r="CH116" s="55"/>
      <c r="CI116" s="55"/>
      <c r="CJ116" s="55"/>
      <c r="CK116" s="55"/>
      <c r="CL116" s="55"/>
      <c r="CM116" s="55"/>
      <c r="CN116" s="55"/>
      <c r="CO116" s="55"/>
      <c r="CP116" s="55"/>
      <c r="CQ116" s="55"/>
    </row>
    <row r="117" spans="1:95" s="64" customFormat="1" ht="12.75" customHeight="1">
      <c r="A117" s="35" t="s">
        <v>141</v>
      </c>
      <c r="B117" s="35"/>
      <c r="C117" s="35" t="s">
        <v>27</v>
      </c>
      <c r="D117" s="44"/>
      <c r="E117" s="53">
        <f t="shared" si="13"/>
        <v>5069700</v>
      </c>
      <c r="F117" s="53"/>
      <c r="G117" s="53">
        <v>42240387</v>
      </c>
      <c r="H117" s="53"/>
      <c r="I117" s="53">
        <v>47310087</v>
      </c>
      <c r="J117" s="53"/>
      <c r="K117" s="53">
        <f t="shared" si="14"/>
        <v>2131948</v>
      </c>
      <c r="L117" s="53"/>
      <c r="M117" s="53">
        <v>16696660</v>
      </c>
      <c r="N117" s="53"/>
      <c r="O117" s="53">
        <v>18828608</v>
      </c>
      <c r="P117" s="53"/>
      <c r="Q117" s="53">
        <v>23551821</v>
      </c>
      <c r="R117" s="53"/>
      <c r="S117" s="53">
        <f>720882+195417</f>
        <v>916299</v>
      </c>
      <c r="T117" s="53"/>
      <c r="U117" s="53">
        <v>4013354</v>
      </c>
      <c r="V117" s="53"/>
      <c r="W117" s="53">
        <f t="shared" si="15"/>
        <v>28481474</v>
      </c>
      <c r="X117" s="51"/>
      <c r="Y117" s="51"/>
      <c r="Z117" s="35" t="s">
        <v>141</v>
      </c>
      <c r="AA117" s="53"/>
      <c r="AB117" s="35" t="s">
        <v>27</v>
      </c>
      <c r="AC117" s="35"/>
      <c r="AD117" s="53">
        <v>10302708</v>
      </c>
      <c r="AE117" s="53"/>
      <c r="AF117" s="53">
        <f>8578338-535439</f>
        <v>8042899</v>
      </c>
      <c r="AG117" s="53"/>
      <c r="AH117" s="53">
        <v>535439</v>
      </c>
      <c r="AI117" s="53"/>
      <c r="AJ117" s="45">
        <f t="shared" si="26"/>
        <v>1724370</v>
      </c>
      <c r="AK117" s="45"/>
      <c r="AL117" s="53">
        <v>-477533</v>
      </c>
      <c r="AM117" s="45"/>
      <c r="AN117" s="53">
        <v>0</v>
      </c>
      <c r="AO117" s="53"/>
      <c r="AP117" s="53">
        <v>0</v>
      </c>
      <c r="AQ117" s="53"/>
      <c r="AR117" s="53">
        <v>0</v>
      </c>
      <c r="AS117" s="53"/>
      <c r="AT117" s="45">
        <f t="shared" si="24"/>
        <v>1246837</v>
      </c>
      <c r="AU117" s="45"/>
      <c r="AV117" s="53">
        <v>0</v>
      </c>
      <c r="AW117" s="53"/>
      <c r="AX117" s="53">
        <v>0</v>
      </c>
      <c r="AY117" s="53"/>
      <c r="AZ117" s="53">
        <f t="shared" si="25"/>
        <v>2937752</v>
      </c>
      <c r="BA117" s="51"/>
      <c r="BB117" s="35" t="s">
        <v>141</v>
      </c>
      <c r="BC117" s="35"/>
      <c r="BD117" s="35" t="s">
        <v>27</v>
      </c>
      <c r="BE117" s="53"/>
      <c r="BF117" s="53">
        <v>0</v>
      </c>
      <c r="BG117" s="53"/>
      <c r="BH117" s="53">
        <f>27055258-13540000+157866-45774</f>
        <v>13627350</v>
      </c>
      <c r="BI117" s="53"/>
      <c r="BJ117" s="53">
        <v>4481897</v>
      </c>
      <c r="BK117" s="53"/>
      <c r="BL117" s="53">
        <f>444692+1535792+82280</f>
        <v>2062764</v>
      </c>
      <c r="BM117" s="53"/>
      <c r="BN117" s="53">
        <f t="shared" si="19"/>
        <v>20172011</v>
      </c>
      <c r="BO117" s="91"/>
      <c r="BS117" s="90"/>
      <c r="BT117" s="90"/>
      <c r="BU117" s="95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</row>
    <row r="118" spans="1:95" s="35" customFormat="1" ht="12.75" customHeight="1">
      <c r="A118" s="35" t="s">
        <v>142</v>
      </c>
      <c r="B118" s="51"/>
      <c r="C118" s="35" t="s">
        <v>102</v>
      </c>
      <c r="D118" s="44"/>
      <c r="E118" s="53">
        <f t="shared" si="13"/>
        <v>10125510</v>
      </c>
      <c r="F118" s="53"/>
      <c r="G118" s="53">
        <v>40693904</v>
      </c>
      <c r="H118" s="53"/>
      <c r="I118" s="53">
        <v>50819414</v>
      </c>
      <c r="J118" s="53"/>
      <c r="K118" s="53">
        <f t="shared" si="14"/>
        <v>2499443</v>
      </c>
      <c r="L118" s="53"/>
      <c r="M118" s="53">
        <v>27785962</v>
      </c>
      <c r="N118" s="53"/>
      <c r="O118" s="53">
        <v>30285405</v>
      </c>
      <c r="P118" s="53"/>
      <c r="Q118" s="53">
        <v>11367351</v>
      </c>
      <c r="R118" s="53"/>
      <c r="S118" s="53">
        <v>1945279</v>
      </c>
      <c r="T118" s="53"/>
      <c r="U118" s="53">
        <v>6415170</v>
      </c>
      <c r="V118" s="53"/>
      <c r="W118" s="53">
        <f t="shared" si="15"/>
        <v>19727800</v>
      </c>
      <c r="X118" s="51"/>
      <c r="Y118" s="51"/>
      <c r="Z118" s="35" t="s">
        <v>142</v>
      </c>
      <c r="AA118" s="53"/>
      <c r="AB118" s="35" t="s">
        <v>102</v>
      </c>
      <c r="AC118" s="51"/>
      <c r="AD118" s="53">
        <v>8401913</v>
      </c>
      <c r="AE118" s="53"/>
      <c r="AF118" s="53">
        <f>7765680-2050772</f>
        <v>5714908</v>
      </c>
      <c r="AG118" s="53"/>
      <c r="AH118" s="53">
        <v>2050772</v>
      </c>
      <c r="AI118" s="53"/>
      <c r="AJ118" s="45">
        <f t="shared" ref="AJ118" si="27">+AD118-AF118-AH118</f>
        <v>636233</v>
      </c>
      <c r="AK118" s="45"/>
      <c r="AL118" s="53">
        <v>-977013</v>
      </c>
      <c r="AM118" s="45"/>
      <c r="AN118" s="53">
        <v>0</v>
      </c>
      <c r="AO118" s="53"/>
      <c r="AP118" s="53">
        <v>1850</v>
      </c>
      <c r="AQ118" s="53"/>
      <c r="AR118" s="53">
        <v>1147758</v>
      </c>
      <c r="AS118" s="53"/>
      <c r="AT118" s="45">
        <f t="shared" si="24"/>
        <v>805128</v>
      </c>
      <c r="AU118" s="45"/>
      <c r="AV118" s="53">
        <v>0</v>
      </c>
      <c r="AW118" s="53"/>
      <c r="AX118" s="53">
        <v>0</v>
      </c>
      <c r="AY118" s="53"/>
      <c r="AZ118" s="53">
        <f t="shared" si="25"/>
        <v>7626067</v>
      </c>
      <c r="BA118" s="51"/>
      <c r="BB118" s="35" t="s">
        <v>142</v>
      </c>
      <c r="BD118" s="35" t="s">
        <v>102</v>
      </c>
      <c r="BE118" s="53"/>
      <c r="BF118" s="53">
        <v>0</v>
      </c>
      <c r="BG118" s="53"/>
      <c r="BH118" s="53">
        <v>0</v>
      </c>
      <c r="BI118" s="53"/>
      <c r="BJ118" s="53">
        <v>36365393</v>
      </c>
      <c r="BK118" s="53"/>
      <c r="BL118" s="53">
        <v>2213693</v>
      </c>
      <c r="BM118" s="53"/>
      <c r="BN118" s="53">
        <f t="shared" si="19"/>
        <v>38579086</v>
      </c>
      <c r="BO118" s="54"/>
      <c r="BS118" s="55"/>
      <c r="BT118" s="55"/>
      <c r="BU118" s="84"/>
      <c r="BV118" s="55"/>
      <c r="BW118" s="55"/>
      <c r="BX118" s="55"/>
      <c r="BY118" s="55"/>
      <c r="BZ118" s="55"/>
      <c r="CA118" s="55"/>
      <c r="CB118" s="55"/>
      <c r="CC118" s="55"/>
      <c r="CD118" s="55"/>
      <c r="CE118" s="55"/>
      <c r="CF118" s="55"/>
      <c r="CG118" s="55"/>
      <c r="CH118" s="55"/>
      <c r="CI118" s="55"/>
      <c r="CJ118" s="55"/>
      <c r="CK118" s="55"/>
      <c r="CL118" s="55"/>
      <c r="CM118" s="55"/>
      <c r="CN118" s="55"/>
      <c r="CO118" s="55"/>
      <c r="CP118" s="55"/>
      <c r="CQ118" s="55"/>
    </row>
    <row r="119" spans="1:95" s="35" customFormat="1" ht="12.75" customHeight="1">
      <c r="A119" s="35" t="s">
        <v>143</v>
      </c>
      <c r="B119" s="51"/>
      <c r="C119" s="35" t="s">
        <v>111</v>
      </c>
      <c r="D119" s="44"/>
      <c r="E119" s="53">
        <f t="shared" si="13"/>
        <v>3955404</v>
      </c>
      <c r="F119" s="53"/>
      <c r="G119" s="53">
        <v>26474894</v>
      </c>
      <c r="H119" s="53"/>
      <c r="I119" s="53">
        <v>30430298</v>
      </c>
      <c r="J119" s="53"/>
      <c r="K119" s="53">
        <f t="shared" si="14"/>
        <v>391297</v>
      </c>
      <c r="L119" s="53"/>
      <c r="M119" s="53">
        <v>6496307</v>
      </c>
      <c r="N119" s="53"/>
      <c r="O119" s="53">
        <v>6887604</v>
      </c>
      <c r="P119" s="53"/>
      <c r="Q119" s="53">
        <v>18995915</v>
      </c>
      <c r="R119" s="53"/>
      <c r="S119" s="53">
        <f>200000+796829</f>
        <v>996829</v>
      </c>
      <c r="T119" s="53"/>
      <c r="U119" s="53">
        <v>3550050</v>
      </c>
      <c r="V119" s="53"/>
      <c r="W119" s="53">
        <f t="shared" si="15"/>
        <v>23542794</v>
      </c>
      <c r="X119" s="51"/>
      <c r="Y119" s="51"/>
      <c r="Z119" s="35" t="s">
        <v>143</v>
      </c>
      <c r="AA119" s="53"/>
      <c r="AB119" s="35" t="s">
        <v>111</v>
      </c>
      <c r="AC119" s="51"/>
      <c r="AD119" s="53">
        <v>2801034</v>
      </c>
      <c r="AE119" s="53"/>
      <c r="AF119" s="53">
        <f>2166293-731708</f>
        <v>1434585</v>
      </c>
      <c r="AG119" s="53"/>
      <c r="AH119" s="53">
        <v>731708</v>
      </c>
      <c r="AI119" s="53"/>
      <c r="AJ119" s="45">
        <f t="shared" si="26"/>
        <v>634741</v>
      </c>
      <c r="AK119" s="45"/>
      <c r="AL119" s="53">
        <v>-326195</v>
      </c>
      <c r="AM119" s="45"/>
      <c r="AN119" s="53">
        <v>0</v>
      </c>
      <c r="AO119" s="53"/>
      <c r="AP119" s="53">
        <v>2304</v>
      </c>
      <c r="AQ119" s="53"/>
      <c r="AR119" s="53">
        <v>50008</v>
      </c>
      <c r="AS119" s="53"/>
      <c r="AT119" s="45">
        <f t="shared" si="24"/>
        <v>356250</v>
      </c>
      <c r="AU119" s="45"/>
      <c r="AV119" s="53">
        <v>0</v>
      </c>
      <c r="AW119" s="53"/>
      <c r="AX119" s="53">
        <v>0</v>
      </c>
      <c r="AY119" s="53"/>
      <c r="AZ119" s="53">
        <f t="shared" si="25"/>
        <v>3564107</v>
      </c>
      <c r="BA119" s="51"/>
      <c r="BB119" s="35" t="s">
        <v>143</v>
      </c>
      <c r="BD119" s="35" t="s">
        <v>111</v>
      </c>
      <c r="BE119" s="53"/>
      <c r="BF119" s="53">
        <v>6730000</v>
      </c>
      <c r="BG119" s="53"/>
      <c r="BH119" s="53">
        <v>0</v>
      </c>
      <c r="BI119" s="53"/>
      <c r="BJ119" s="53">
        <v>0</v>
      </c>
      <c r="BK119" s="53"/>
      <c r="BL119" s="53">
        <v>240728</v>
      </c>
      <c r="BM119" s="53"/>
      <c r="BN119" s="53">
        <f t="shared" si="19"/>
        <v>6970728</v>
      </c>
      <c r="BO119" s="54"/>
      <c r="BS119" s="55"/>
      <c r="BT119" s="55"/>
      <c r="BU119" s="84"/>
      <c r="BV119" s="55"/>
      <c r="BW119" s="55"/>
      <c r="BX119" s="55"/>
      <c r="BY119" s="55"/>
      <c r="BZ119" s="55"/>
      <c r="CA119" s="55"/>
      <c r="CB119" s="55"/>
      <c r="CC119" s="55"/>
      <c r="CD119" s="55"/>
      <c r="CE119" s="55"/>
      <c r="CF119" s="55"/>
      <c r="CG119" s="55"/>
      <c r="CH119" s="55"/>
      <c r="CI119" s="55"/>
      <c r="CJ119" s="55"/>
      <c r="CK119" s="55"/>
      <c r="CL119" s="55"/>
      <c r="CM119" s="55"/>
      <c r="CN119" s="55"/>
      <c r="CO119" s="55"/>
      <c r="CP119" s="55"/>
      <c r="CQ119" s="55"/>
    </row>
    <row r="120" spans="1:95" s="35" customFormat="1" ht="12.75" customHeight="1">
      <c r="A120" s="35" t="s">
        <v>144</v>
      </c>
      <c r="B120" s="51"/>
      <c r="C120" s="35" t="s">
        <v>88</v>
      </c>
      <c r="D120" s="44"/>
      <c r="E120" s="53">
        <f t="shared" si="13"/>
        <v>6946343</v>
      </c>
      <c r="F120" s="53"/>
      <c r="G120" s="53">
        <v>27798300</v>
      </c>
      <c r="H120" s="53"/>
      <c r="I120" s="53">
        <v>34744643</v>
      </c>
      <c r="J120" s="53"/>
      <c r="K120" s="53">
        <f t="shared" si="14"/>
        <v>6751149</v>
      </c>
      <c r="L120" s="53"/>
      <c r="M120" s="53">
        <v>3789280</v>
      </c>
      <c r="N120" s="53"/>
      <c r="O120" s="53">
        <v>10540429</v>
      </c>
      <c r="P120" s="53"/>
      <c r="Q120" s="53">
        <v>23418563</v>
      </c>
      <c r="R120" s="53"/>
      <c r="S120" s="53">
        <v>0</v>
      </c>
      <c r="T120" s="53"/>
      <c r="U120" s="53">
        <v>784651</v>
      </c>
      <c r="V120" s="53"/>
      <c r="W120" s="53">
        <f t="shared" si="15"/>
        <v>24203214</v>
      </c>
      <c r="X120" s="51"/>
      <c r="Y120" s="51"/>
      <c r="Z120" s="35" t="s">
        <v>144</v>
      </c>
      <c r="AA120" s="53"/>
      <c r="AB120" s="35" t="s">
        <v>88</v>
      </c>
      <c r="AC120" s="51"/>
      <c r="AD120" s="53">
        <v>9365747</v>
      </c>
      <c r="AE120" s="53"/>
      <c r="AF120" s="53">
        <f>9250260-1133394</f>
        <v>8116866</v>
      </c>
      <c r="AG120" s="53"/>
      <c r="AH120" s="53">
        <v>1133394</v>
      </c>
      <c r="AI120" s="53"/>
      <c r="AJ120" s="45">
        <f t="shared" si="26"/>
        <v>115487</v>
      </c>
      <c r="AK120" s="45"/>
      <c r="AL120" s="53">
        <v>69015</v>
      </c>
      <c r="AM120" s="45"/>
      <c r="AN120" s="53">
        <v>0</v>
      </c>
      <c r="AO120" s="53"/>
      <c r="AP120" s="53">
        <v>0</v>
      </c>
      <c r="AQ120" s="53"/>
      <c r="AR120" s="53">
        <v>0</v>
      </c>
      <c r="AS120" s="53"/>
      <c r="AT120" s="45">
        <f t="shared" si="24"/>
        <v>184502</v>
      </c>
      <c r="AU120" s="45"/>
      <c r="AV120" s="53">
        <v>0</v>
      </c>
      <c r="AW120" s="53"/>
      <c r="AX120" s="53">
        <v>0</v>
      </c>
      <c r="AY120" s="53"/>
      <c r="AZ120" s="53">
        <f t="shared" si="25"/>
        <v>195194</v>
      </c>
      <c r="BA120" s="51"/>
      <c r="BB120" s="35" t="s">
        <v>144</v>
      </c>
      <c r="BD120" s="35" t="s">
        <v>88</v>
      </c>
      <c r="BE120" s="53"/>
      <c r="BF120" s="53">
        <v>1971300</v>
      </c>
      <c r="BG120" s="53"/>
      <c r="BH120" s="53">
        <f>5000000+19500</f>
        <v>5019500</v>
      </c>
      <c r="BI120" s="53"/>
      <c r="BJ120" s="53">
        <v>0</v>
      </c>
      <c r="BK120" s="53"/>
      <c r="BL120" s="53">
        <v>7928690</v>
      </c>
      <c r="BM120" s="53"/>
      <c r="BN120" s="53">
        <f t="shared" si="19"/>
        <v>14919490</v>
      </c>
      <c r="BO120" s="54"/>
      <c r="BS120" s="55"/>
      <c r="BT120" s="55"/>
      <c r="BU120" s="84"/>
      <c r="BV120" s="55"/>
      <c r="BW120" s="55"/>
      <c r="BX120" s="55"/>
      <c r="BY120" s="55"/>
      <c r="BZ120" s="55"/>
      <c r="CA120" s="55"/>
      <c r="CB120" s="55"/>
      <c r="CC120" s="55"/>
      <c r="CD120" s="55"/>
      <c r="CE120" s="55"/>
      <c r="CF120" s="55"/>
      <c r="CG120" s="55"/>
      <c r="CH120" s="55"/>
      <c r="CI120" s="55"/>
      <c r="CJ120" s="55"/>
      <c r="CK120" s="55"/>
      <c r="CL120" s="55"/>
      <c r="CM120" s="55"/>
      <c r="CN120" s="55"/>
      <c r="CO120" s="55"/>
      <c r="CP120" s="55"/>
      <c r="CQ120" s="55"/>
    </row>
    <row r="121" spans="1:95" s="35" customFormat="1" ht="12.75" customHeight="1">
      <c r="A121" s="35" t="s">
        <v>36</v>
      </c>
      <c r="B121" s="51"/>
      <c r="C121" s="35" t="s">
        <v>145</v>
      </c>
      <c r="D121" s="44"/>
      <c r="E121" s="53">
        <f t="shared" si="13"/>
        <v>1491578</v>
      </c>
      <c r="F121" s="53"/>
      <c r="G121" s="53">
        <v>3823770</v>
      </c>
      <c r="H121" s="53"/>
      <c r="I121" s="53">
        <v>5315348</v>
      </c>
      <c r="J121" s="53"/>
      <c r="K121" s="53">
        <f t="shared" si="14"/>
        <v>437831</v>
      </c>
      <c r="L121" s="53"/>
      <c r="M121" s="53">
        <v>969236</v>
      </c>
      <c r="N121" s="53"/>
      <c r="O121" s="53">
        <v>1407067</v>
      </c>
      <c r="P121" s="53"/>
      <c r="Q121" s="53">
        <v>2595301</v>
      </c>
      <c r="R121" s="53"/>
      <c r="S121" s="53">
        <v>0</v>
      </c>
      <c r="T121" s="53"/>
      <c r="U121" s="53">
        <v>1312980</v>
      </c>
      <c r="V121" s="53"/>
      <c r="W121" s="53">
        <f t="shared" si="15"/>
        <v>3908281</v>
      </c>
      <c r="X121" s="51"/>
      <c r="Y121" s="51"/>
      <c r="Z121" s="35" t="s">
        <v>36</v>
      </c>
      <c r="AA121" s="53"/>
      <c r="AB121" s="35" t="s">
        <v>145</v>
      </c>
      <c r="AC121" s="51"/>
      <c r="AD121" s="53">
        <v>1328128</v>
      </c>
      <c r="AE121" s="53"/>
      <c r="AF121" s="53">
        <f>1302823-144593</f>
        <v>1158230</v>
      </c>
      <c r="AG121" s="53"/>
      <c r="AH121" s="53">
        <v>144593</v>
      </c>
      <c r="AI121" s="53"/>
      <c r="AJ121" s="45">
        <f t="shared" si="26"/>
        <v>25305</v>
      </c>
      <c r="AK121" s="45"/>
      <c r="AL121" s="53">
        <v>-42893</v>
      </c>
      <c r="AM121" s="45"/>
      <c r="AN121" s="53">
        <v>0</v>
      </c>
      <c r="AO121" s="53"/>
      <c r="AP121" s="53">
        <v>0</v>
      </c>
      <c r="AQ121" s="53"/>
      <c r="AR121" s="53">
        <v>0</v>
      </c>
      <c r="AS121" s="53"/>
      <c r="AT121" s="45">
        <f t="shared" si="24"/>
        <v>-17588</v>
      </c>
      <c r="AU121" s="45"/>
      <c r="AV121" s="53">
        <v>0</v>
      </c>
      <c r="AW121" s="53"/>
      <c r="AX121" s="53">
        <v>0</v>
      </c>
      <c r="AY121" s="53"/>
      <c r="AZ121" s="53">
        <f t="shared" si="25"/>
        <v>1053747</v>
      </c>
      <c r="BA121" s="51"/>
      <c r="BB121" s="35" t="s">
        <v>36</v>
      </c>
      <c r="BD121" s="35" t="s">
        <v>145</v>
      </c>
      <c r="BE121" s="53"/>
      <c r="BF121" s="53">
        <f>814500+458911</f>
        <v>1273411</v>
      </c>
      <c r="BG121" s="53"/>
      <c r="BH121" s="53">
        <v>0</v>
      </c>
      <c r="BI121" s="53"/>
      <c r="BJ121" s="53">
        <v>0</v>
      </c>
      <c r="BK121" s="53"/>
      <c r="BL121" s="53">
        <v>132600</v>
      </c>
      <c r="BM121" s="53"/>
      <c r="BN121" s="53">
        <f t="shared" si="19"/>
        <v>1406011</v>
      </c>
      <c r="BO121" s="54"/>
      <c r="BS121" s="55"/>
      <c r="BT121" s="55"/>
      <c r="BU121" s="84"/>
      <c r="BV121" s="55"/>
      <c r="BW121" s="55"/>
      <c r="BX121" s="55"/>
      <c r="BY121" s="55"/>
      <c r="BZ121" s="55"/>
      <c r="CA121" s="55"/>
      <c r="CB121" s="55"/>
      <c r="CC121" s="55"/>
      <c r="CD121" s="55"/>
      <c r="CE121" s="55"/>
      <c r="CF121" s="55"/>
      <c r="CG121" s="55"/>
      <c r="CH121" s="55"/>
      <c r="CI121" s="55"/>
      <c r="CJ121" s="55"/>
      <c r="CK121" s="55"/>
      <c r="CL121" s="55"/>
      <c r="CM121" s="55"/>
      <c r="CN121" s="55"/>
      <c r="CO121" s="55"/>
      <c r="CP121" s="55"/>
      <c r="CQ121" s="55"/>
    </row>
    <row r="122" spans="1:95" s="35" customFormat="1" ht="12.75" customHeight="1">
      <c r="A122" s="35" t="s">
        <v>146</v>
      </c>
      <c r="C122" s="35" t="s">
        <v>147</v>
      </c>
      <c r="D122" s="44"/>
      <c r="E122" s="53">
        <f t="shared" si="13"/>
        <v>1371173</v>
      </c>
      <c r="F122" s="53"/>
      <c r="G122" s="53">
        <v>3469305</v>
      </c>
      <c r="H122" s="53"/>
      <c r="I122" s="53">
        <v>4840478</v>
      </c>
      <c r="J122" s="53"/>
      <c r="K122" s="53">
        <f t="shared" si="14"/>
        <v>280174</v>
      </c>
      <c r="L122" s="53"/>
      <c r="M122" s="53">
        <v>1155916</v>
      </c>
      <c r="N122" s="53"/>
      <c r="O122" s="53">
        <v>1436090</v>
      </c>
      <c r="P122" s="53"/>
      <c r="Q122" s="53">
        <v>2191544</v>
      </c>
      <c r="R122" s="53"/>
      <c r="S122" s="53">
        <v>0</v>
      </c>
      <c r="T122" s="53"/>
      <c r="U122" s="53">
        <v>1212844</v>
      </c>
      <c r="V122" s="53"/>
      <c r="W122" s="53">
        <f t="shared" si="15"/>
        <v>3404388</v>
      </c>
      <c r="Z122" s="35" t="s">
        <v>146</v>
      </c>
      <c r="AA122" s="53"/>
      <c r="AB122" s="35" t="s">
        <v>147</v>
      </c>
      <c r="AD122" s="53">
        <v>1284966</v>
      </c>
      <c r="AE122" s="53"/>
      <c r="AF122" s="53">
        <f>1324179-158961</f>
        <v>1165218</v>
      </c>
      <c r="AG122" s="53"/>
      <c r="AH122" s="53">
        <v>158961</v>
      </c>
      <c r="AI122" s="53"/>
      <c r="AJ122" s="45">
        <f t="shared" si="26"/>
        <v>-39213</v>
      </c>
      <c r="AK122" s="45"/>
      <c r="AL122" s="53">
        <v>-46470</v>
      </c>
      <c r="AM122" s="45"/>
      <c r="AN122" s="53">
        <v>157000</v>
      </c>
      <c r="AO122" s="53"/>
      <c r="AP122" s="53">
        <v>25000</v>
      </c>
      <c r="AQ122" s="53"/>
      <c r="AR122" s="53">
        <v>244003</v>
      </c>
      <c r="AS122" s="53"/>
      <c r="AT122" s="45">
        <f t="shared" si="24"/>
        <v>290320</v>
      </c>
      <c r="AU122" s="45"/>
      <c r="AV122" s="53">
        <v>0</v>
      </c>
      <c r="AW122" s="53"/>
      <c r="AX122" s="53">
        <v>0</v>
      </c>
      <c r="AY122" s="53"/>
      <c r="AZ122" s="53">
        <f t="shared" si="25"/>
        <v>1090999</v>
      </c>
      <c r="BA122" s="51"/>
      <c r="BB122" s="35" t="s">
        <v>146</v>
      </c>
      <c r="BD122" s="35" t="s">
        <v>147</v>
      </c>
      <c r="BE122" s="53"/>
      <c r="BF122" s="53">
        <v>1154189</v>
      </c>
      <c r="BG122" s="53"/>
      <c r="BH122" s="53">
        <v>0</v>
      </c>
      <c r="BI122" s="53"/>
      <c r="BJ122" s="53">
        <v>0</v>
      </c>
      <c r="BK122" s="53"/>
      <c r="BL122" s="53">
        <f>89698+136664</f>
        <v>226362</v>
      </c>
      <c r="BM122" s="53"/>
      <c r="BN122" s="53">
        <f t="shared" si="19"/>
        <v>1380551</v>
      </c>
      <c r="BO122" s="54"/>
      <c r="BS122" s="55"/>
      <c r="BT122" s="55"/>
      <c r="BU122" s="84"/>
      <c r="BV122" s="55"/>
      <c r="BW122" s="55"/>
      <c r="BX122" s="55"/>
      <c r="BY122" s="55"/>
      <c r="BZ122" s="55"/>
      <c r="CA122" s="55"/>
      <c r="CB122" s="55"/>
      <c r="CC122" s="55"/>
      <c r="CD122" s="55"/>
      <c r="CE122" s="55"/>
      <c r="CF122" s="55"/>
      <c r="CG122" s="55"/>
      <c r="CH122" s="55"/>
      <c r="CI122" s="55"/>
      <c r="CJ122" s="55"/>
      <c r="CK122" s="55"/>
      <c r="CL122" s="55"/>
      <c r="CM122" s="55"/>
      <c r="CN122" s="55"/>
      <c r="CO122" s="55"/>
      <c r="CP122" s="55"/>
      <c r="CQ122" s="55"/>
    </row>
    <row r="123" spans="1:95" s="35" customFormat="1" ht="12.75" customHeight="1">
      <c r="A123" s="35" t="s">
        <v>17</v>
      </c>
      <c r="C123" s="35" t="s">
        <v>17</v>
      </c>
      <c r="D123" s="44"/>
      <c r="E123" s="53">
        <f t="shared" si="13"/>
        <v>3469997</v>
      </c>
      <c r="F123" s="53"/>
      <c r="G123" s="53">
        <v>26403761</v>
      </c>
      <c r="H123" s="53"/>
      <c r="I123" s="53">
        <v>29873758</v>
      </c>
      <c r="J123" s="53"/>
      <c r="K123" s="53">
        <f t="shared" si="14"/>
        <v>1806967</v>
      </c>
      <c r="L123" s="53"/>
      <c r="M123" s="53">
        <v>14885008</v>
      </c>
      <c r="N123" s="53"/>
      <c r="O123" s="53">
        <v>16691975</v>
      </c>
      <c r="P123" s="53"/>
      <c r="Q123" s="53">
        <v>9575803</v>
      </c>
      <c r="R123" s="53"/>
      <c r="S123" s="53">
        <v>0</v>
      </c>
      <c r="T123" s="53"/>
      <c r="U123" s="53">
        <v>1901037</v>
      </c>
      <c r="V123" s="53"/>
      <c r="W123" s="53">
        <f t="shared" si="15"/>
        <v>11476840</v>
      </c>
      <c r="X123" s="51"/>
      <c r="Y123" s="51"/>
      <c r="Z123" s="35" t="s">
        <v>17</v>
      </c>
      <c r="AA123" s="53"/>
      <c r="AB123" s="35" t="s">
        <v>17</v>
      </c>
      <c r="AD123" s="53">
        <v>8271992</v>
      </c>
      <c r="AE123" s="53"/>
      <c r="AF123" s="53">
        <f>6824336-725432</f>
        <v>6098904</v>
      </c>
      <c r="AG123" s="53"/>
      <c r="AH123" s="53">
        <v>725432</v>
      </c>
      <c r="AI123" s="53"/>
      <c r="AJ123" s="45">
        <f t="shared" si="26"/>
        <v>1447656</v>
      </c>
      <c r="AK123" s="45"/>
      <c r="AL123" s="53">
        <v>-818375</v>
      </c>
      <c r="AM123" s="45"/>
      <c r="AN123" s="53">
        <v>0</v>
      </c>
      <c r="AO123" s="53"/>
      <c r="AP123" s="53">
        <v>0</v>
      </c>
      <c r="AQ123" s="53"/>
      <c r="AR123" s="53">
        <v>0</v>
      </c>
      <c r="AS123" s="53"/>
      <c r="AT123" s="45">
        <f t="shared" si="24"/>
        <v>629281</v>
      </c>
      <c r="AU123" s="45"/>
      <c r="AV123" s="53">
        <v>0</v>
      </c>
      <c r="AW123" s="53"/>
      <c r="AX123" s="53">
        <v>0</v>
      </c>
      <c r="AY123" s="53"/>
      <c r="AZ123" s="53">
        <f t="shared" si="25"/>
        <v>1663030</v>
      </c>
      <c r="BA123" s="51"/>
      <c r="BB123" s="35" t="s">
        <v>17</v>
      </c>
      <c r="BD123" s="35" t="s">
        <v>17</v>
      </c>
      <c r="BE123" s="53"/>
      <c r="BF123" s="53">
        <v>1041120</v>
      </c>
      <c r="BG123" s="53"/>
      <c r="BH123" s="53">
        <v>7074036</v>
      </c>
      <c r="BI123" s="53"/>
      <c r="BJ123" s="53">
        <v>48074819</v>
      </c>
      <c r="BK123" s="53"/>
      <c r="BL123" s="53">
        <f>208364+1221075</f>
        <v>1429439</v>
      </c>
      <c r="BM123" s="53"/>
      <c r="BN123" s="53">
        <f t="shared" si="19"/>
        <v>57619414</v>
      </c>
      <c r="BO123" s="54"/>
      <c r="BS123" s="55"/>
      <c r="BT123" s="55"/>
      <c r="BU123" s="84"/>
      <c r="BV123" s="55"/>
      <c r="BW123" s="55"/>
      <c r="BX123" s="55"/>
      <c r="BY123" s="55"/>
      <c r="BZ123" s="55"/>
      <c r="CA123" s="55"/>
      <c r="CB123" s="55"/>
      <c r="CC123" s="55"/>
      <c r="CD123" s="55"/>
      <c r="CE123" s="55"/>
      <c r="CF123" s="55"/>
      <c r="CG123" s="55"/>
      <c r="CH123" s="55"/>
      <c r="CI123" s="55"/>
      <c r="CJ123" s="55"/>
      <c r="CK123" s="55"/>
      <c r="CL123" s="55"/>
      <c r="CM123" s="55"/>
      <c r="CN123" s="55"/>
      <c r="CO123" s="55"/>
      <c r="CP123" s="55"/>
      <c r="CQ123" s="55"/>
    </row>
    <row r="124" spans="1:95" s="35" customFormat="1" ht="12.75" customHeight="1">
      <c r="A124" s="35" t="s">
        <v>148</v>
      </c>
      <c r="C124" s="35" t="s">
        <v>15</v>
      </c>
      <c r="D124" s="44"/>
      <c r="E124" s="53">
        <f t="shared" si="13"/>
        <v>961026</v>
      </c>
      <c r="F124" s="53"/>
      <c r="G124" s="53">
        <v>6010593</v>
      </c>
      <c r="H124" s="53"/>
      <c r="I124" s="53">
        <v>6971619</v>
      </c>
      <c r="J124" s="53"/>
      <c r="K124" s="53">
        <f t="shared" si="14"/>
        <v>220444</v>
      </c>
      <c r="L124" s="53"/>
      <c r="M124" s="53">
        <v>1762007</v>
      </c>
      <c r="N124" s="53"/>
      <c r="O124" s="53">
        <v>1982451</v>
      </c>
      <c r="P124" s="53"/>
      <c r="Q124" s="53">
        <v>4101980</v>
      </c>
      <c r="R124" s="53"/>
      <c r="S124" s="53">
        <v>0</v>
      </c>
      <c r="T124" s="53"/>
      <c r="U124" s="53">
        <v>887188</v>
      </c>
      <c r="V124" s="53"/>
      <c r="W124" s="53">
        <f t="shared" si="15"/>
        <v>4989168</v>
      </c>
      <c r="Z124" s="35" t="s">
        <v>148</v>
      </c>
      <c r="AA124" s="53"/>
      <c r="AB124" s="35" t="s">
        <v>15</v>
      </c>
      <c r="AD124" s="53">
        <v>756040</v>
      </c>
      <c r="AE124" s="53"/>
      <c r="AF124" s="53">
        <f>897126-205462</f>
        <v>691664</v>
      </c>
      <c r="AG124" s="53"/>
      <c r="AH124" s="53">
        <v>205462</v>
      </c>
      <c r="AI124" s="53"/>
      <c r="AJ124" s="45">
        <f t="shared" si="26"/>
        <v>-141086</v>
      </c>
      <c r="AK124" s="45"/>
      <c r="AL124" s="53">
        <v>355590</v>
      </c>
      <c r="AM124" s="45"/>
      <c r="AN124" s="53">
        <v>0</v>
      </c>
      <c r="AO124" s="53"/>
      <c r="AP124" s="53">
        <v>30217</v>
      </c>
      <c r="AQ124" s="53"/>
      <c r="AR124" s="53">
        <v>0</v>
      </c>
      <c r="AS124" s="53"/>
      <c r="AT124" s="45">
        <f t="shared" si="24"/>
        <v>184287</v>
      </c>
      <c r="AU124" s="45"/>
      <c r="AV124" s="53">
        <v>0</v>
      </c>
      <c r="AW124" s="53"/>
      <c r="AX124" s="53">
        <v>0</v>
      </c>
      <c r="AY124" s="53"/>
      <c r="AZ124" s="53">
        <f t="shared" si="25"/>
        <v>740582</v>
      </c>
      <c r="BA124" s="51"/>
      <c r="BB124" s="35" t="s">
        <v>148</v>
      </c>
      <c r="BD124" s="35" t="s">
        <v>15</v>
      </c>
      <c r="BE124" s="53"/>
      <c r="BF124" s="53">
        <f>-51657+5134+1212000</f>
        <v>1165477</v>
      </c>
      <c r="BG124" s="53"/>
      <c r="BH124" s="53">
        <v>0</v>
      </c>
      <c r="BI124" s="53"/>
      <c r="BJ124" s="53">
        <v>0</v>
      </c>
      <c r="BK124" s="53"/>
      <c r="BL124" s="53">
        <v>896418</v>
      </c>
      <c r="BM124" s="53"/>
      <c r="BN124" s="53">
        <f t="shared" si="19"/>
        <v>2061895</v>
      </c>
      <c r="BO124" s="54"/>
      <c r="BS124" s="55"/>
      <c r="BT124" s="55"/>
      <c r="BU124" s="84"/>
      <c r="BV124" s="55"/>
      <c r="BW124" s="55"/>
      <c r="BX124" s="55"/>
      <c r="BY124" s="55"/>
      <c r="BZ124" s="55"/>
      <c r="CA124" s="55"/>
      <c r="CB124" s="55"/>
      <c r="CC124" s="55"/>
      <c r="CD124" s="55"/>
      <c r="CE124" s="55"/>
      <c r="CF124" s="55"/>
      <c r="CG124" s="55"/>
      <c r="CH124" s="55"/>
      <c r="CI124" s="55"/>
      <c r="CJ124" s="55"/>
      <c r="CK124" s="55"/>
      <c r="CL124" s="55"/>
      <c r="CM124" s="55"/>
      <c r="CN124" s="55"/>
      <c r="CO124" s="55"/>
      <c r="CP124" s="55"/>
      <c r="CQ124" s="55"/>
    </row>
    <row r="125" spans="1:95" s="35" customFormat="1" ht="12.75" customHeight="1">
      <c r="A125" s="35" t="s">
        <v>149</v>
      </c>
      <c r="B125" s="51"/>
      <c r="C125" s="35" t="s">
        <v>45</v>
      </c>
      <c r="D125" s="44"/>
      <c r="E125" s="53">
        <f t="shared" si="13"/>
        <v>2104980</v>
      </c>
      <c r="F125" s="53"/>
      <c r="G125" s="53">
        <f>183050+9619544</f>
        <v>9802594</v>
      </c>
      <c r="H125" s="53"/>
      <c r="I125" s="53">
        <v>11907574</v>
      </c>
      <c r="J125" s="53"/>
      <c r="K125" s="53">
        <f t="shared" si="14"/>
        <v>69112</v>
      </c>
      <c r="L125" s="53"/>
      <c r="M125" s="53">
        <f>1510000+134814</f>
        <v>1644814</v>
      </c>
      <c r="N125" s="53"/>
      <c r="O125" s="53">
        <v>1713926</v>
      </c>
      <c r="P125" s="53"/>
      <c r="Q125" s="53">
        <v>8292594</v>
      </c>
      <c r="R125" s="53"/>
      <c r="S125" s="53">
        <v>0</v>
      </c>
      <c r="T125" s="53"/>
      <c r="U125" s="53">
        <v>1901054</v>
      </c>
      <c r="V125" s="53"/>
      <c r="W125" s="53">
        <f t="shared" si="15"/>
        <v>10193648</v>
      </c>
      <c r="X125" s="51"/>
      <c r="Y125" s="51"/>
      <c r="Z125" s="35" t="s">
        <v>149</v>
      </c>
      <c r="AA125" s="53"/>
      <c r="AB125" s="35" t="s">
        <v>45</v>
      </c>
      <c r="AC125" s="51"/>
      <c r="AD125" s="53">
        <v>1264709</v>
      </c>
      <c r="AE125" s="53"/>
      <c r="AF125" s="53">
        <f>1352163-286807</f>
        <v>1065356</v>
      </c>
      <c r="AG125" s="53"/>
      <c r="AH125" s="53">
        <v>286807</v>
      </c>
      <c r="AI125" s="53"/>
      <c r="AJ125" s="45">
        <f t="shared" si="26"/>
        <v>-87454</v>
      </c>
      <c r="AK125" s="45"/>
      <c r="AL125" s="53">
        <v>44593</v>
      </c>
      <c r="AM125" s="45"/>
      <c r="AN125" s="53">
        <v>0</v>
      </c>
      <c r="AO125" s="53"/>
      <c r="AP125" s="53">
        <v>273158</v>
      </c>
      <c r="AQ125" s="53"/>
      <c r="AR125" s="53">
        <v>0</v>
      </c>
      <c r="AS125" s="53"/>
      <c r="AT125" s="45">
        <f t="shared" si="24"/>
        <v>-316019</v>
      </c>
      <c r="AU125" s="45"/>
      <c r="AV125" s="53">
        <v>0</v>
      </c>
      <c r="AW125" s="53"/>
      <c r="AX125" s="53">
        <v>0</v>
      </c>
      <c r="AY125" s="53"/>
      <c r="AZ125" s="53">
        <f t="shared" si="25"/>
        <v>2035868</v>
      </c>
      <c r="BA125" s="51"/>
      <c r="BB125" s="35" t="s">
        <v>149</v>
      </c>
      <c r="BD125" s="35" t="s">
        <v>45</v>
      </c>
      <c r="BE125" s="53"/>
      <c r="BF125" s="53">
        <v>1510000</v>
      </c>
      <c r="BG125" s="53"/>
      <c r="BH125" s="53">
        <v>0</v>
      </c>
      <c r="BI125" s="53"/>
      <c r="BJ125" s="53">
        <v>0</v>
      </c>
      <c r="BK125" s="53"/>
      <c r="BL125" s="53">
        <v>199179</v>
      </c>
      <c r="BM125" s="53"/>
      <c r="BN125" s="53">
        <f t="shared" si="19"/>
        <v>1709179</v>
      </c>
      <c r="BO125" s="54"/>
      <c r="BS125" s="55"/>
      <c r="BT125" s="55"/>
      <c r="BU125" s="84"/>
      <c r="BV125" s="55"/>
      <c r="BW125" s="55"/>
      <c r="BX125" s="55"/>
      <c r="BY125" s="55"/>
      <c r="BZ125" s="55"/>
      <c r="CA125" s="55"/>
      <c r="CB125" s="55"/>
      <c r="CC125" s="55"/>
      <c r="CD125" s="55"/>
      <c r="CE125" s="55"/>
      <c r="CF125" s="55"/>
      <c r="CG125" s="55"/>
      <c r="CH125" s="55"/>
      <c r="CI125" s="55"/>
      <c r="CJ125" s="55"/>
      <c r="CK125" s="55"/>
      <c r="CL125" s="55"/>
      <c r="CM125" s="55"/>
      <c r="CN125" s="55"/>
      <c r="CO125" s="55"/>
      <c r="CP125" s="55"/>
      <c r="CQ125" s="55"/>
    </row>
    <row r="126" spans="1:95" s="126" customFormat="1" ht="12.75" hidden="1" customHeight="1">
      <c r="A126" s="126" t="s">
        <v>150</v>
      </c>
      <c r="B126" s="124"/>
      <c r="C126" s="126" t="s">
        <v>27</v>
      </c>
      <c r="D126" s="121"/>
      <c r="E126" s="140">
        <f t="shared" si="13"/>
        <v>0</v>
      </c>
      <c r="F126" s="140"/>
      <c r="G126" s="140"/>
      <c r="H126" s="140"/>
      <c r="I126" s="140"/>
      <c r="J126" s="140"/>
      <c r="K126" s="140">
        <f t="shared" si="14"/>
        <v>0</v>
      </c>
      <c r="L126" s="140"/>
      <c r="M126" s="140"/>
      <c r="N126" s="140"/>
      <c r="O126" s="140"/>
      <c r="P126" s="140"/>
      <c r="Q126" s="140"/>
      <c r="R126" s="140"/>
      <c r="S126" s="140">
        <v>0</v>
      </c>
      <c r="T126" s="140"/>
      <c r="U126" s="140"/>
      <c r="V126" s="140"/>
      <c r="W126" s="140">
        <f t="shared" si="15"/>
        <v>0</v>
      </c>
      <c r="X126" s="124"/>
      <c r="Y126" s="124"/>
      <c r="Z126" s="126" t="s">
        <v>150</v>
      </c>
      <c r="AA126" s="140"/>
      <c r="AB126" s="126" t="s">
        <v>27</v>
      </c>
      <c r="AC126" s="124"/>
      <c r="AD126" s="140"/>
      <c r="AE126" s="140"/>
      <c r="AF126" s="140"/>
      <c r="AG126" s="140"/>
      <c r="AH126" s="140"/>
      <c r="AI126" s="140"/>
      <c r="AJ126" s="127">
        <f t="shared" si="26"/>
        <v>0</v>
      </c>
      <c r="AK126" s="127"/>
      <c r="AL126" s="140"/>
      <c r="AM126" s="127"/>
      <c r="AN126" s="140"/>
      <c r="AO126" s="140"/>
      <c r="AP126" s="140"/>
      <c r="AQ126" s="140"/>
      <c r="AR126" s="140"/>
      <c r="AS126" s="140"/>
      <c r="AT126" s="127">
        <f t="shared" si="24"/>
        <v>0</v>
      </c>
      <c r="AU126" s="127"/>
      <c r="AV126" s="140">
        <v>0</v>
      </c>
      <c r="AW126" s="140"/>
      <c r="AX126" s="140">
        <v>0</v>
      </c>
      <c r="AY126" s="140"/>
      <c r="AZ126" s="140">
        <f t="shared" si="25"/>
        <v>0</v>
      </c>
      <c r="BA126" s="124"/>
      <c r="BB126" s="126" t="s">
        <v>150</v>
      </c>
      <c r="BD126" s="126" t="s">
        <v>27</v>
      </c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>
        <f t="shared" si="19"/>
        <v>0</v>
      </c>
      <c r="BO126" s="142"/>
      <c r="BS126" s="143"/>
      <c r="BT126" s="143"/>
      <c r="BU126" s="144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</row>
    <row r="127" spans="1:95" s="126" customFormat="1" ht="12.75" hidden="1" customHeight="1">
      <c r="A127" s="126" t="s">
        <v>151</v>
      </c>
      <c r="B127" s="124"/>
      <c r="C127" s="126" t="s">
        <v>13</v>
      </c>
      <c r="D127" s="121"/>
      <c r="E127" s="140">
        <f t="shared" si="13"/>
        <v>0</v>
      </c>
      <c r="F127" s="140"/>
      <c r="G127" s="140"/>
      <c r="H127" s="140"/>
      <c r="I127" s="140"/>
      <c r="J127" s="140"/>
      <c r="K127" s="140">
        <f t="shared" si="14"/>
        <v>0</v>
      </c>
      <c r="L127" s="140"/>
      <c r="M127" s="140"/>
      <c r="N127" s="140"/>
      <c r="O127" s="140"/>
      <c r="P127" s="140"/>
      <c r="Q127" s="140"/>
      <c r="R127" s="140"/>
      <c r="S127" s="140">
        <v>0</v>
      </c>
      <c r="T127" s="140"/>
      <c r="U127" s="140"/>
      <c r="V127" s="140"/>
      <c r="W127" s="140">
        <f t="shared" si="15"/>
        <v>0</v>
      </c>
      <c r="X127" s="124"/>
      <c r="Y127" s="124"/>
      <c r="Z127" s="126" t="s">
        <v>151</v>
      </c>
      <c r="AA127" s="140"/>
      <c r="AB127" s="126" t="s">
        <v>13</v>
      </c>
      <c r="AC127" s="124"/>
      <c r="AD127" s="140"/>
      <c r="AE127" s="140"/>
      <c r="AF127" s="140"/>
      <c r="AG127" s="140"/>
      <c r="AH127" s="140"/>
      <c r="AI127" s="140"/>
      <c r="AJ127" s="127">
        <f t="shared" si="26"/>
        <v>0</v>
      </c>
      <c r="AK127" s="127"/>
      <c r="AL127" s="140"/>
      <c r="AM127" s="127"/>
      <c r="AN127" s="140"/>
      <c r="AO127" s="140"/>
      <c r="AP127" s="140"/>
      <c r="AQ127" s="140"/>
      <c r="AR127" s="140"/>
      <c r="AS127" s="140"/>
      <c r="AT127" s="127">
        <f t="shared" si="24"/>
        <v>0</v>
      </c>
      <c r="AU127" s="127"/>
      <c r="AV127" s="140">
        <v>0</v>
      </c>
      <c r="AW127" s="140"/>
      <c r="AX127" s="140">
        <v>0</v>
      </c>
      <c r="AY127" s="140"/>
      <c r="AZ127" s="140">
        <f t="shared" si="25"/>
        <v>0</v>
      </c>
      <c r="BA127" s="124"/>
      <c r="BB127" s="126" t="s">
        <v>151</v>
      </c>
      <c r="BD127" s="126" t="s">
        <v>13</v>
      </c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>
        <f t="shared" si="19"/>
        <v>0</v>
      </c>
      <c r="BO127" s="142"/>
      <c r="BS127" s="143"/>
      <c r="BT127" s="143"/>
      <c r="BU127" s="144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</row>
    <row r="128" spans="1:95" s="35" customFormat="1" ht="12.75" customHeight="1">
      <c r="A128" s="35" t="s">
        <v>152</v>
      </c>
      <c r="B128" s="51"/>
      <c r="C128" s="35" t="s">
        <v>153</v>
      </c>
      <c r="D128" s="44"/>
      <c r="E128" s="53">
        <f t="shared" si="13"/>
        <v>3997668</v>
      </c>
      <c r="F128" s="53"/>
      <c r="G128" s="53">
        <v>10390374</v>
      </c>
      <c r="H128" s="53"/>
      <c r="I128" s="53">
        <v>14388042</v>
      </c>
      <c r="J128" s="53"/>
      <c r="K128" s="53">
        <f t="shared" si="14"/>
        <v>930730</v>
      </c>
      <c r="L128" s="53"/>
      <c r="M128" s="53">
        <v>2703421</v>
      </c>
      <c r="N128" s="53"/>
      <c r="O128" s="53">
        <v>3634151</v>
      </c>
      <c r="P128" s="53"/>
      <c r="Q128" s="53">
        <v>8136254</v>
      </c>
      <c r="R128" s="53"/>
      <c r="S128" s="53">
        <v>0</v>
      </c>
      <c r="T128" s="53"/>
      <c r="U128" s="53">
        <v>2617637</v>
      </c>
      <c r="V128" s="53"/>
      <c r="W128" s="53">
        <f t="shared" si="15"/>
        <v>10753891</v>
      </c>
      <c r="X128" s="51"/>
      <c r="Y128" s="51"/>
      <c r="Z128" s="35" t="s">
        <v>152</v>
      </c>
      <c r="AA128" s="53"/>
      <c r="AB128" s="35" t="s">
        <v>153</v>
      </c>
      <c r="AC128" s="51"/>
      <c r="AD128" s="53">
        <v>7978921</v>
      </c>
      <c r="AE128" s="53"/>
      <c r="AF128" s="53">
        <f>8760661-608214</f>
        <v>8152447</v>
      </c>
      <c r="AG128" s="53"/>
      <c r="AH128" s="53">
        <v>608214</v>
      </c>
      <c r="AI128" s="53"/>
      <c r="AJ128" s="45">
        <f t="shared" si="26"/>
        <v>-781740</v>
      </c>
      <c r="AK128" s="45"/>
      <c r="AL128" s="53">
        <v>-124508</v>
      </c>
      <c r="AM128" s="45"/>
      <c r="AN128" s="53">
        <v>0</v>
      </c>
      <c r="AO128" s="53"/>
      <c r="AP128" s="53">
        <v>0</v>
      </c>
      <c r="AQ128" s="53"/>
      <c r="AR128" s="53">
        <v>381520</v>
      </c>
      <c r="AS128" s="53"/>
      <c r="AT128" s="45">
        <f t="shared" si="24"/>
        <v>-524728</v>
      </c>
      <c r="AU128" s="45"/>
      <c r="AV128" s="53">
        <v>0</v>
      </c>
      <c r="AW128" s="53"/>
      <c r="AX128" s="53">
        <v>0</v>
      </c>
      <c r="AY128" s="53"/>
      <c r="AZ128" s="53">
        <f t="shared" si="25"/>
        <v>3066938</v>
      </c>
      <c r="BA128" s="51"/>
      <c r="BB128" s="35" t="s">
        <v>152</v>
      </c>
      <c r="BD128" s="35" t="s">
        <v>153</v>
      </c>
      <c r="BE128" s="53"/>
      <c r="BF128" s="53">
        <v>1865000</v>
      </c>
      <c r="BG128" s="53"/>
      <c r="BH128" s="53">
        <v>0</v>
      </c>
      <c r="BI128" s="53"/>
      <c r="BJ128" s="53">
        <v>0</v>
      </c>
      <c r="BK128" s="53"/>
      <c r="BL128" s="53">
        <v>0</v>
      </c>
      <c r="BM128" s="53"/>
      <c r="BN128" s="53">
        <f t="shared" si="19"/>
        <v>1865000</v>
      </c>
      <c r="BO128" s="54"/>
      <c r="BS128" s="55"/>
      <c r="BT128" s="55"/>
      <c r="BU128" s="84"/>
      <c r="BV128" s="55"/>
      <c r="BW128" s="55"/>
      <c r="BX128" s="55"/>
      <c r="BY128" s="55"/>
      <c r="BZ128" s="55"/>
      <c r="CA128" s="55"/>
      <c r="CB128" s="55"/>
      <c r="CC128" s="55"/>
      <c r="CD128" s="55"/>
      <c r="CE128" s="55"/>
      <c r="CF128" s="55"/>
      <c r="CG128" s="55"/>
      <c r="CH128" s="55"/>
      <c r="CI128" s="55"/>
      <c r="CJ128" s="55"/>
      <c r="CK128" s="55"/>
      <c r="CL128" s="55"/>
      <c r="CM128" s="55"/>
      <c r="CN128" s="55"/>
      <c r="CO128" s="55"/>
      <c r="CP128" s="55"/>
      <c r="CQ128" s="55"/>
    </row>
    <row r="129" spans="1:95" s="126" customFormat="1" ht="12.75" hidden="1" customHeight="1">
      <c r="A129" s="126" t="s">
        <v>154</v>
      </c>
      <c r="B129" s="124"/>
      <c r="C129" s="126" t="s">
        <v>27</v>
      </c>
      <c r="D129" s="121"/>
      <c r="E129" s="140">
        <f t="shared" si="13"/>
        <v>0</v>
      </c>
      <c r="F129" s="140"/>
      <c r="G129" s="140"/>
      <c r="H129" s="140"/>
      <c r="I129" s="140"/>
      <c r="J129" s="140"/>
      <c r="K129" s="140">
        <f t="shared" si="14"/>
        <v>0</v>
      </c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>
        <f t="shared" si="15"/>
        <v>0</v>
      </c>
      <c r="X129" s="124"/>
      <c r="Y129" s="124"/>
      <c r="Z129" s="126" t="s">
        <v>154</v>
      </c>
      <c r="AA129" s="140"/>
      <c r="AB129" s="126" t="s">
        <v>27</v>
      </c>
      <c r="AC129" s="124"/>
      <c r="AD129" s="140"/>
      <c r="AE129" s="140"/>
      <c r="AF129" s="140"/>
      <c r="AG129" s="140"/>
      <c r="AH129" s="140"/>
      <c r="AI129" s="140"/>
      <c r="AJ129" s="127">
        <f t="shared" si="26"/>
        <v>0</v>
      </c>
      <c r="AK129" s="127"/>
      <c r="AL129" s="140"/>
      <c r="AM129" s="127"/>
      <c r="AN129" s="140"/>
      <c r="AO129" s="140"/>
      <c r="AP129" s="140"/>
      <c r="AQ129" s="140"/>
      <c r="AR129" s="140"/>
      <c r="AS129" s="140"/>
      <c r="AT129" s="127">
        <f t="shared" ref="AT129:AT192" si="28">+AJ129+AL129+AN129-AP129+AR129</f>
        <v>0</v>
      </c>
      <c r="AU129" s="127"/>
      <c r="AV129" s="140">
        <v>0</v>
      </c>
      <c r="AW129" s="140"/>
      <c r="AX129" s="140">
        <v>0</v>
      </c>
      <c r="AY129" s="140"/>
      <c r="AZ129" s="140">
        <f t="shared" ref="AZ129:AZ192" si="29">E129-K129</f>
        <v>0</v>
      </c>
      <c r="BA129" s="124"/>
      <c r="BB129" s="126" t="s">
        <v>154</v>
      </c>
      <c r="BD129" s="126" t="s">
        <v>27</v>
      </c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>
        <f t="shared" si="19"/>
        <v>0</v>
      </c>
      <c r="BO129" s="142"/>
      <c r="BS129" s="143"/>
      <c r="BT129" s="143"/>
      <c r="BU129" s="144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</row>
    <row r="130" spans="1:95" s="35" customFormat="1" ht="12.75" customHeight="1">
      <c r="A130" s="35" t="s">
        <v>155</v>
      </c>
      <c r="C130" s="35" t="s">
        <v>40</v>
      </c>
      <c r="D130" s="44"/>
      <c r="E130" s="53">
        <f t="shared" si="13"/>
        <v>3277627</v>
      </c>
      <c r="F130" s="53"/>
      <c r="G130" s="53">
        <v>6978099</v>
      </c>
      <c r="H130" s="53"/>
      <c r="I130" s="53">
        <v>10255726</v>
      </c>
      <c r="J130" s="53"/>
      <c r="K130" s="53">
        <f t="shared" si="14"/>
        <v>203575</v>
      </c>
      <c r="L130" s="53"/>
      <c r="M130" s="53">
        <v>1204023</v>
      </c>
      <c r="N130" s="53"/>
      <c r="O130" s="53">
        <v>1407598</v>
      </c>
      <c r="P130" s="53"/>
      <c r="Q130" s="53">
        <v>5892834</v>
      </c>
      <c r="R130" s="53"/>
      <c r="S130" s="53">
        <v>25423</v>
      </c>
      <c r="T130" s="53"/>
      <c r="U130" s="53">
        <v>2955294</v>
      </c>
      <c r="V130" s="53"/>
      <c r="W130" s="53">
        <f t="shared" si="15"/>
        <v>8873551</v>
      </c>
      <c r="Z130" s="35" t="s">
        <v>155</v>
      </c>
      <c r="AA130" s="53"/>
      <c r="AB130" s="35" t="s">
        <v>40</v>
      </c>
      <c r="AD130" s="53">
        <v>2621797</v>
      </c>
      <c r="AE130" s="53"/>
      <c r="AF130" s="53">
        <f>2444292-522398</f>
        <v>1921894</v>
      </c>
      <c r="AG130" s="53"/>
      <c r="AH130" s="53">
        <v>522398</v>
      </c>
      <c r="AI130" s="53"/>
      <c r="AJ130" s="45">
        <f t="shared" si="26"/>
        <v>177505</v>
      </c>
      <c r="AK130" s="45"/>
      <c r="AL130" s="53">
        <v>-22766</v>
      </c>
      <c r="AM130" s="45"/>
      <c r="AN130" s="53">
        <v>0</v>
      </c>
      <c r="AO130" s="53"/>
      <c r="AP130" s="53">
        <v>0</v>
      </c>
      <c r="AQ130" s="53"/>
      <c r="AR130" s="53">
        <v>0</v>
      </c>
      <c r="AS130" s="53"/>
      <c r="AT130" s="45">
        <f t="shared" si="28"/>
        <v>154739</v>
      </c>
      <c r="AU130" s="45"/>
      <c r="AV130" s="53">
        <v>0</v>
      </c>
      <c r="AW130" s="53"/>
      <c r="AX130" s="53">
        <v>0</v>
      </c>
      <c r="AY130" s="53"/>
      <c r="AZ130" s="53">
        <f t="shared" si="29"/>
        <v>3074052</v>
      </c>
      <c r="BA130" s="65"/>
      <c r="BB130" s="35" t="s">
        <v>155</v>
      </c>
      <c r="BD130" s="35" t="s">
        <v>40</v>
      </c>
      <c r="BE130" s="53"/>
      <c r="BF130" s="53">
        <v>3993393</v>
      </c>
      <c r="BG130" s="53"/>
      <c r="BH130" s="53">
        <v>0</v>
      </c>
      <c r="BI130" s="53"/>
      <c r="BJ130" s="53">
        <f>180000+409118</f>
        <v>589118</v>
      </c>
      <c r="BK130" s="53"/>
      <c r="BL130" s="53">
        <v>236607</v>
      </c>
      <c r="BM130" s="53"/>
      <c r="BN130" s="53">
        <f t="shared" si="19"/>
        <v>4819118</v>
      </c>
      <c r="BO130" s="54"/>
      <c r="BS130" s="55"/>
      <c r="BT130" s="55"/>
      <c r="BU130" s="84"/>
      <c r="BV130" s="55"/>
      <c r="BW130" s="55"/>
      <c r="BX130" s="55"/>
      <c r="BY130" s="55"/>
      <c r="BZ130" s="55"/>
      <c r="CA130" s="55"/>
      <c r="CB130" s="55"/>
      <c r="CC130" s="55"/>
      <c r="CD130" s="55"/>
      <c r="CE130" s="55"/>
      <c r="CF130" s="55"/>
      <c r="CG130" s="55"/>
      <c r="CH130" s="55"/>
      <c r="CI130" s="55"/>
      <c r="CJ130" s="55"/>
      <c r="CK130" s="55"/>
      <c r="CL130" s="55"/>
      <c r="CM130" s="55"/>
      <c r="CN130" s="55"/>
      <c r="CO130" s="55"/>
      <c r="CP130" s="55"/>
      <c r="CQ130" s="55"/>
    </row>
    <row r="131" spans="1:95" s="126" customFormat="1" ht="12.75" hidden="1" customHeight="1">
      <c r="A131" s="126" t="s">
        <v>156</v>
      </c>
      <c r="B131" s="124"/>
      <c r="C131" s="126" t="s">
        <v>156</v>
      </c>
      <c r="D131" s="121"/>
      <c r="E131" s="140">
        <f t="shared" si="13"/>
        <v>0</v>
      </c>
      <c r="F131" s="140"/>
      <c r="G131" s="140"/>
      <c r="H131" s="140"/>
      <c r="I131" s="140"/>
      <c r="J131" s="140"/>
      <c r="K131" s="140">
        <f t="shared" si="14"/>
        <v>0</v>
      </c>
      <c r="L131" s="140"/>
      <c r="M131" s="140"/>
      <c r="N131" s="140"/>
      <c r="O131" s="140"/>
      <c r="P131" s="140"/>
      <c r="Q131" s="140"/>
      <c r="R131" s="140"/>
      <c r="S131" s="140">
        <v>0</v>
      </c>
      <c r="T131" s="140"/>
      <c r="U131" s="140"/>
      <c r="V131" s="140"/>
      <c r="W131" s="140">
        <f t="shared" si="15"/>
        <v>0</v>
      </c>
      <c r="X131" s="124"/>
      <c r="Y131" s="124"/>
      <c r="Z131" s="126" t="s">
        <v>156</v>
      </c>
      <c r="AA131" s="140"/>
      <c r="AB131" s="126" t="s">
        <v>156</v>
      </c>
      <c r="AC131" s="124"/>
      <c r="AD131" s="140"/>
      <c r="AE131" s="140"/>
      <c r="AF131" s="140"/>
      <c r="AG131" s="140"/>
      <c r="AH131" s="140"/>
      <c r="AI131" s="140"/>
      <c r="AJ131" s="127">
        <f t="shared" si="26"/>
        <v>0</v>
      </c>
      <c r="AK131" s="127"/>
      <c r="AL131" s="140"/>
      <c r="AM131" s="127"/>
      <c r="AN131" s="140"/>
      <c r="AO131" s="140"/>
      <c r="AP131" s="140"/>
      <c r="AQ131" s="140"/>
      <c r="AR131" s="140"/>
      <c r="AS131" s="140"/>
      <c r="AT131" s="127">
        <f t="shared" si="28"/>
        <v>0</v>
      </c>
      <c r="AU131" s="127"/>
      <c r="AV131" s="140">
        <v>0</v>
      </c>
      <c r="AW131" s="140"/>
      <c r="AX131" s="140">
        <v>0</v>
      </c>
      <c r="AY131" s="140"/>
      <c r="AZ131" s="140">
        <f t="shared" si="29"/>
        <v>0</v>
      </c>
      <c r="BA131" s="124"/>
      <c r="BB131" s="126" t="s">
        <v>156</v>
      </c>
      <c r="BD131" s="126" t="s">
        <v>156</v>
      </c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>
        <f t="shared" si="19"/>
        <v>0</v>
      </c>
      <c r="BO131" s="142"/>
      <c r="BS131" s="143"/>
      <c r="BT131" s="143"/>
      <c r="BU131" s="144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</row>
    <row r="132" spans="1:95" s="35" customFormat="1" ht="12.75" customHeight="1">
      <c r="A132" s="35" t="s">
        <v>157</v>
      </c>
      <c r="B132" s="51"/>
      <c r="C132" s="35" t="s">
        <v>33</v>
      </c>
      <c r="D132" s="44"/>
      <c r="E132" s="53">
        <f t="shared" si="13"/>
        <v>348422</v>
      </c>
      <c r="F132" s="53"/>
      <c r="G132" s="53">
        <v>13374322</v>
      </c>
      <c r="H132" s="53"/>
      <c r="I132" s="53">
        <v>13722744</v>
      </c>
      <c r="J132" s="53"/>
      <c r="K132" s="53">
        <f t="shared" si="14"/>
        <v>798784</v>
      </c>
      <c r="L132" s="53"/>
      <c r="M132" s="53">
        <v>8665733</v>
      </c>
      <c r="N132" s="53"/>
      <c r="O132" s="53">
        <v>9464517</v>
      </c>
      <c r="P132" s="53"/>
      <c r="Q132" s="53">
        <v>4068711</v>
      </c>
      <c r="R132" s="53"/>
      <c r="S132" s="53">
        <v>0</v>
      </c>
      <c r="T132" s="53"/>
      <c r="U132" s="53">
        <v>189516</v>
      </c>
      <c r="V132" s="53"/>
      <c r="W132" s="53">
        <f t="shared" si="15"/>
        <v>4258227</v>
      </c>
      <c r="X132" s="51"/>
      <c r="Y132" s="51"/>
      <c r="Z132" s="35" t="s">
        <v>157</v>
      </c>
      <c r="AA132" s="53"/>
      <c r="AB132" s="35" t="s">
        <v>33</v>
      </c>
      <c r="AC132" s="51"/>
      <c r="AD132" s="53">
        <v>2700065</v>
      </c>
      <c r="AE132" s="53"/>
      <c r="AF132" s="53">
        <f>2659713-607003</f>
        <v>2052710</v>
      </c>
      <c r="AG132" s="53"/>
      <c r="AH132" s="53">
        <v>607003</v>
      </c>
      <c r="AI132" s="53"/>
      <c r="AJ132" s="45">
        <f t="shared" si="26"/>
        <v>40352</v>
      </c>
      <c r="AK132" s="45"/>
      <c r="AL132" s="53">
        <v>-198918</v>
      </c>
      <c r="AM132" s="45"/>
      <c r="AN132" s="53">
        <v>0</v>
      </c>
      <c r="AO132" s="53"/>
      <c r="AP132" s="53">
        <v>0</v>
      </c>
      <c r="AQ132" s="53"/>
      <c r="AR132" s="53">
        <v>89977</v>
      </c>
      <c r="AS132" s="53"/>
      <c r="AT132" s="45">
        <f t="shared" si="28"/>
        <v>-68589</v>
      </c>
      <c r="AU132" s="45"/>
      <c r="AV132" s="53">
        <v>0</v>
      </c>
      <c r="AW132" s="53"/>
      <c r="AX132" s="53">
        <v>0</v>
      </c>
      <c r="AY132" s="53"/>
      <c r="AZ132" s="53">
        <f t="shared" si="29"/>
        <v>-450362</v>
      </c>
      <c r="BA132" s="51"/>
      <c r="BB132" s="35" t="s">
        <v>157</v>
      </c>
      <c r="BD132" s="35" t="s">
        <v>33</v>
      </c>
      <c r="BE132" s="53"/>
      <c r="BF132" s="53">
        <v>50000</v>
      </c>
      <c r="BG132" s="53"/>
      <c r="BH132" s="53">
        <v>0</v>
      </c>
      <c r="BI132" s="53"/>
      <c r="BJ132" s="53">
        <f>8771455+479433</f>
        <v>9250888</v>
      </c>
      <c r="BK132" s="53"/>
      <c r="BL132" s="53">
        <v>107256</v>
      </c>
      <c r="BM132" s="53"/>
      <c r="BN132" s="53">
        <f t="shared" si="19"/>
        <v>9408144</v>
      </c>
      <c r="BO132" s="54"/>
      <c r="BS132" s="55"/>
      <c r="BT132" s="55"/>
      <c r="BU132" s="84"/>
      <c r="BV132" s="55"/>
      <c r="BW132" s="55"/>
      <c r="BX132" s="55"/>
      <c r="BY132" s="55"/>
      <c r="BZ132" s="55"/>
      <c r="CA132" s="55"/>
      <c r="CB132" s="55"/>
      <c r="CC132" s="55"/>
      <c r="CD132" s="55"/>
      <c r="CE132" s="55"/>
      <c r="CF132" s="55"/>
      <c r="CG132" s="55"/>
      <c r="CH132" s="55"/>
      <c r="CI132" s="55"/>
      <c r="CJ132" s="55"/>
      <c r="CK132" s="55"/>
      <c r="CL132" s="55"/>
      <c r="CM132" s="55"/>
      <c r="CN132" s="55"/>
      <c r="CO132" s="55"/>
      <c r="CP132" s="55"/>
      <c r="CQ132" s="55"/>
    </row>
    <row r="133" spans="1:95" s="35" customFormat="1" ht="12.75" customHeight="1">
      <c r="A133" s="35" t="s">
        <v>158</v>
      </c>
      <c r="B133" s="51"/>
      <c r="C133" s="35" t="s">
        <v>159</v>
      </c>
      <c r="D133" s="44"/>
      <c r="E133" s="53">
        <f t="shared" si="13"/>
        <v>22987318</v>
      </c>
      <c r="F133" s="53"/>
      <c r="G133" s="53">
        <v>33885106</v>
      </c>
      <c r="H133" s="53"/>
      <c r="I133" s="53">
        <v>56872424</v>
      </c>
      <c r="J133" s="53"/>
      <c r="K133" s="53">
        <f t="shared" si="14"/>
        <v>3722485</v>
      </c>
      <c r="L133" s="53"/>
      <c r="M133" s="53">
        <v>31836244</v>
      </c>
      <c r="N133" s="53"/>
      <c r="O133" s="53">
        <v>35558729</v>
      </c>
      <c r="P133" s="53"/>
      <c r="Q133" s="53">
        <v>9440822</v>
      </c>
      <c r="R133" s="53"/>
      <c r="S133" s="53">
        <v>16235326</v>
      </c>
      <c r="T133" s="53"/>
      <c r="U133" s="53">
        <v>-4362453</v>
      </c>
      <c r="V133" s="53"/>
      <c r="W133" s="53">
        <f t="shared" si="15"/>
        <v>21313695</v>
      </c>
      <c r="X133" s="51"/>
      <c r="Y133" s="51"/>
      <c r="Z133" s="35" t="s">
        <v>158</v>
      </c>
      <c r="AA133" s="53"/>
      <c r="AB133" s="35" t="s">
        <v>159</v>
      </c>
      <c r="AC133" s="51"/>
      <c r="AD133" s="53">
        <v>6312969</v>
      </c>
      <c r="AE133" s="53"/>
      <c r="AF133" s="53">
        <f>3286764-750077</f>
        <v>2536687</v>
      </c>
      <c r="AG133" s="53"/>
      <c r="AH133" s="53">
        <v>750077</v>
      </c>
      <c r="AI133" s="53"/>
      <c r="AJ133" s="45">
        <f t="shared" si="26"/>
        <v>3026205</v>
      </c>
      <c r="AK133" s="45"/>
      <c r="AL133" s="53">
        <v>-1230726</v>
      </c>
      <c r="AM133" s="45"/>
      <c r="AN133" s="53">
        <v>0</v>
      </c>
      <c r="AO133" s="53"/>
      <c r="AP133" s="53">
        <v>0</v>
      </c>
      <c r="AQ133" s="53"/>
      <c r="AR133" s="53">
        <v>0</v>
      </c>
      <c r="AS133" s="53"/>
      <c r="AT133" s="45">
        <f t="shared" si="28"/>
        <v>1795479</v>
      </c>
      <c r="AU133" s="45"/>
      <c r="AV133" s="53">
        <v>0</v>
      </c>
      <c r="AW133" s="53"/>
      <c r="AX133" s="53">
        <v>0</v>
      </c>
      <c r="AY133" s="53"/>
      <c r="AZ133" s="53">
        <f t="shared" si="29"/>
        <v>19264833</v>
      </c>
      <c r="BA133" s="51"/>
      <c r="BB133" s="35" t="s">
        <v>158</v>
      </c>
      <c r="BD133" s="35" t="s">
        <v>159</v>
      </c>
      <c r="BE133" s="53"/>
      <c r="BF133" s="53">
        <v>1934077</v>
      </c>
      <c r="BG133" s="53"/>
      <c r="BH133" s="53">
        <f>2994583-38975+31555000+538806+21285000-21139</f>
        <v>56313275</v>
      </c>
      <c r="BI133" s="53"/>
      <c r="BJ133" s="53">
        <v>49566</v>
      </c>
      <c r="BK133" s="53"/>
      <c r="BL133" s="53">
        <v>244916</v>
      </c>
      <c r="BM133" s="53"/>
      <c r="BN133" s="53">
        <f t="shared" si="19"/>
        <v>58541834</v>
      </c>
      <c r="BO133" s="54"/>
      <c r="BS133" s="55"/>
      <c r="BT133" s="55"/>
      <c r="BU133" s="84"/>
      <c r="BV133" s="55"/>
      <c r="BW133" s="55"/>
      <c r="BX133" s="55"/>
      <c r="BY133" s="55"/>
      <c r="BZ133" s="55"/>
      <c r="CA133" s="55"/>
      <c r="CB133" s="55"/>
      <c r="CC133" s="55"/>
      <c r="CD133" s="55"/>
      <c r="CE133" s="55"/>
      <c r="CF133" s="55"/>
      <c r="CG133" s="55"/>
      <c r="CH133" s="55"/>
      <c r="CI133" s="55"/>
      <c r="CJ133" s="55"/>
      <c r="CK133" s="55"/>
      <c r="CL133" s="55"/>
      <c r="CM133" s="55"/>
      <c r="CN133" s="55"/>
      <c r="CO133" s="55"/>
      <c r="CP133" s="55"/>
      <c r="CQ133" s="55"/>
    </row>
    <row r="134" spans="1:95" s="35" customFormat="1" ht="12.75" hidden="1" customHeight="1">
      <c r="A134" s="35" t="s">
        <v>160</v>
      </c>
      <c r="B134" s="51"/>
      <c r="C134" s="35" t="s">
        <v>111</v>
      </c>
      <c r="D134" s="44"/>
      <c r="E134" s="53">
        <f t="shared" si="13"/>
        <v>0</v>
      </c>
      <c r="F134" s="53"/>
      <c r="G134" s="53"/>
      <c r="H134" s="53"/>
      <c r="I134" s="53"/>
      <c r="J134" s="53"/>
      <c r="K134" s="53">
        <f t="shared" si="14"/>
        <v>0</v>
      </c>
      <c r="L134" s="53"/>
      <c r="M134" s="53"/>
      <c r="N134" s="53"/>
      <c r="O134" s="53"/>
      <c r="P134" s="53"/>
      <c r="Q134" s="53"/>
      <c r="R134" s="53"/>
      <c r="S134" s="53">
        <v>0</v>
      </c>
      <c r="T134" s="53"/>
      <c r="U134" s="53"/>
      <c r="V134" s="53"/>
      <c r="W134" s="53">
        <f t="shared" si="15"/>
        <v>0</v>
      </c>
      <c r="X134" s="51"/>
      <c r="Y134" s="51"/>
      <c r="Z134" s="35" t="s">
        <v>160</v>
      </c>
      <c r="AA134" s="53"/>
      <c r="AB134" s="35" t="s">
        <v>111</v>
      </c>
      <c r="AC134" s="51"/>
      <c r="AD134" s="53"/>
      <c r="AE134" s="53"/>
      <c r="AF134" s="53"/>
      <c r="AG134" s="53"/>
      <c r="AH134" s="53"/>
      <c r="AI134" s="53"/>
      <c r="AJ134" s="45">
        <f t="shared" si="26"/>
        <v>0</v>
      </c>
      <c r="AK134" s="45"/>
      <c r="AL134" s="53"/>
      <c r="AM134" s="45"/>
      <c r="AN134" s="53"/>
      <c r="AO134" s="53"/>
      <c r="AP134" s="53"/>
      <c r="AQ134" s="53"/>
      <c r="AR134" s="53"/>
      <c r="AS134" s="53"/>
      <c r="AT134" s="45">
        <f t="shared" si="28"/>
        <v>0</v>
      </c>
      <c r="AU134" s="45"/>
      <c r="AV134" s="53">
        <v>0</v>
      </c>
      <c r="AW134" s="53"/>
      <c r="AX134" s="53">
        <v>0</v>
      </c>
      <c r="AY134" s="53"/>
      <c r="AZ134" s="53">
        <f t="shared" si="29"/>
        <v>0</v>
      </c>
      <c r="BA134" s="51"/>
      <c r="BB134" s="35" t="s">
        <v>160</v>
      </c>
      <c r="BD134" s="35" t="s">
        <v>111</v>
      </c>
      <c r="BE134" s="53"/>
      <c r="BF134" s="53"/>
      <c r="BG134" s="53"/>
      <c r="BH134" s="53"/>
      <c r="BI134" s="53"/>
      <c r="BJ134" s="53"/>
      <c r="BK134" s="53"/>
      <c r="BL134" s="53"/>
      <c r="BM134" s="53"/>
      <c r="BN134" s="53">
        <f t="shared" si="19"/>
        <v>0</v>
      </c>
      <c r="BO134" s="54"/>
      <c r="BS134" s="55"/>
      <c r="BT134" s="55"/>
      <c r="BU134" s="84"/>
      <c r="BV134" s="55"/>
      <c r="BW134" s="55"/>
      <c r="BX134" s="55"/>
      <c r="BY134" s="55"/>
      <c r="BZ134" s="55"/>
      <c r="CA134" s="55"/>
      <c r="CB134" s="55"/>
      <c r="CC134" s="55"/>
      <c r="CD134" s="55"/>
      <c r="CE134" s="55"/>
      <c r="CF134" s="55"/>
      <c r="CG134" s="55"/>
      <c r="CH134" s="55"/>
      <c r="CI134" s="55"/>
      <c r="CJ134" s="55"/>
      <c r="CK134" s="55"/>
      <c r="CL134" s="55"/>
      <c r="CM134" s="55"/>
      <c r="CN134" s="55"/>
      <c r="CO134" s="55"/>
      <c r="CP134" s="55"/>
      <c r="CQ134" s="55"/>
    </row>
    <row r="135" spans="1:95" s="126" customFormat="1" ht="12.75" hidden="1" customHeight="1">
      <c r="A135" s="126" t="s">
        <v>161</v>
      </c>
      <c r="B135" s="124"/>
      <c r="C135" s="126" t="s">
        <v>15</v>
      </c>
      <c r="D135" s="121"/>
      <c r="E135" s="140">
        <f t="shared" si="13"/>
        <v>0</v>
      </c>
      <c r="F135" s="140"/>
      <c r="G135" s="140"/>
      <c r="H135" s="140"/>
      <c r="I135" s="140"/>
      <c r="J135" s="140"/>
      <c r="K135" s="140">
        <f t="shared" si="14"/>
        <v>0</v>
      </c>
      <c r="L135" s="140"/>
      <c r="M135" s="140"/>
      <c r="N135" s="140"/>
      <c r="O135" s="140"/>
      <c r="P135" s="140"/>
      <c r="Q135" s="140"/>
      <c r="R135" s="140"/>
      <c r="S135" s="140">
        <v>0</v>
      </c>
      <c r="T135" s="140"/>
      <c r="U135" s="140"/>
      <c r="V135" s="140"/>
      <c r="W135" s="140">
        <f t="shared" si="15"/>
        <v>0</v>
      </c>
      <c r="X135" s="124"/>
      <c r="Y135" s="124"/>
      <c r="Z135" s="126" t="s">
        <v>161</v>
      </c>
      <c r="AA135" s="140"/>
      <c r="AB135" s="126" t="s">
        <v>15</v>
      </c>
      <c r="AC135" s="124"/>
      <c r="AD135" s="140"/>
      <c r="AE135" s="140"/>
      <c r="AF135" s="140"/>
      <c r="AG135" s="140"/>
      <c r="AH135" s="140"/>
      <c r="AI135" s="140"/>
      <c r="AJ135" s="127">
        <f t="shared" si="26"/>
        <v>0</v>
      </c>
      <c r="AK135" s="127"/>
      <c r="AL135" s="140"/>
      <c r="AM135" s="127"/>
      <c r="AN135" s="140"/>
      <c r="AO135" s="140"/>
      <c r="AP135" s="140"/>
      <c r="AQ135" s="140"/>
      <c r="AR135" s="140"/>
      <c r="AS135" s="140"/>
      <c r="AT135" s="127">
        <f t="shared" si="28"/>
        <v>0</v>
      </c>
      <c r="AU135" s="127"/>
      <c r="AV135" s="140">
        <v>0</v>
      </c>
      <c r="AW135" s="140"/>
      <c r="AX135" s="140">
        <v>0</v>
      </c>
      <c r="AY135" s="140"/>
      <c r="AZ135" s="140">
        <f t="shared" si="29"/>
        <v>0</v>
      </c>
      <c r="BA135" s="124"/>
      <c r="BB135" s="126" t="s">
        <v>161</v>
      </c>
      <c r="BD135" s="126" t="s">
        <v>15</v>
      </c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>
        <f t="shared" si="19"/>
        <v>0</v>
      </c>
      <c r="BO135" s="142"/>
      <c r="BS135" s="143"/>
      <c r="BT135" s="143"/>
      <c r="BU135" s="144"/>
      <c r="BV135" s="143"/>
      <c r="BW135" s="143"/>
      <c r="BX135" s="143"/>
      <c r="BY135" s="143"/>
      <c r="BZ135" s="143"/>
      <c r="CA135" s="143"/>
      <c r="CB135" s="143"/>
      <c r="CC135" s="143"/>
      <c r="CD135" s="143"/>
      <c r="CE135" s="143"/>
      <c r="CF135" s="143"/>
      <c r="CG135" s="143"/>
      <c r="CH135" s="143"/>
      <c r="CI135" s="143"/>
      <c r="CJ135" s="143"/>
      <c r="CK135" s="143"/>
      <c r="CL135" s="143"/>
      <c r="CM135" s="143"/>
      <c r="CN135" s="143"/>
      <c r="CO135" s="143"/>
      <c r="CP135" s="143"/>
      <c r="CQ135" s="143"/>
    </row>
    <row r="136" spans="1:95" s="35" customFormat="1" ht="12.75" customHeight="1">
      <c r="A136" s="35" t="s">
        <v>162</v>
      </c>
      <c r="B136" s="51"/>
      <c r="C136" s="35" t="s">
        <v>163</v>
      </c>
      <c r="D136" s="44"/>
      <c r="E136" s="53">
        <f t="shared" si="13"/>
        <v>1450035</v>
      </c>
      <c r="F136" s="53"/>
      <c r="G136" s="53">
        <v>3716985</v>
      </c>
      <c r="H136" s="53"/>
      <c r="I136" s="53">
        <v>5167020</v>
      </c>
      <c r="J136" s="53"/>
      <c r="K136" s="53">
        <f t="shared" si="14"/>
        <v>137549</v>
      </c>
      <c r="L136" s="53"/>
      <c r="M136" s="53">
        <v>178633</v>
      </c>
      <c r="N136" s="53"/>
      <c r="O136" s="53">
        <v>316182</v>
      </c>
      <c r="P136" s="53"/>
      <c r="Q136" s="53">
        <v>3716985</v>
      </c>
      <c r="R136" s="53"/>
      <c r="S136" s="53">
        <v>0</v>
      </c>
      <c r="T136" s="53"/>
      <c r="U136" s="53">
        <v>1133853</v>
      </c>
      <c r="V136" s="53"/>
      <c r="W136" s="53">
        <f t="shared" si="15"/>
        <v>4850838</v>
      </c>
      <c r="Z136" s="35" t="s">
        <v>162</v>
      </c>
      <c r="AA136" s="53"/>
      <c r="AB136" s="35" t="s">
        <v>163</v>
      </c>
      <c r="AC136" s="51"/>
      <c r="AD136" s="53">
        <v>2046142</v>
      </c>
      <c r="AE136" s="53"/>
      <c r="AF136" s="53">
        <f>2190883-232056</f>
        <v>1958827</v>
      </c>
      <c r="AG136" s="53"/>
      <c r="AH136" s="53">
        <v>232056</v>
      </c>
      <c r="AI136" s="53"/>
      <c r="AJ136" s="45">
        <f t="shared" si="26"/>
        <v>-144741</v>
      </c>
      <c r="AK136" s="45"/>
      <c r="AL136" s="53">
        <v>-143840</v>
      </c>
      <c r="AM136" s="45"/>
      <c r="AN136" s="53">
        <v>5000</v>
      </c>
      <c r="AO136" s="53"/>
      <c r="AP136" s="53">
        <v>0</v>
      </c>
      <c r="AQ136" s="53"/>
      <c r="AR136" s="53">
        <v>0</v>
      </c>
      <c r="AS136" s="53"/>
      <c r="AT136" s="45">
        <f t="shared" si="28"/>
        <v>-283581</v>
      </c>
      <c r="AU136" s="45"/>
      <c r="AV136" s="53">
        <v>0</v>
      </c>
      <c r="AW136" s="53"/>
      <c r="AX136" s="53">
        <v>0</v>
      </c>
      <c r="AY136" s="53"/>
      <c r="AZ136" s="53">
        <f t="shared" si="29"/>
        <v>1312486</v>
      </c>
      <c r="BA136" s="51"/>
      <c r="BB136" s="35" t="s">
        <v>162</v>
      </c>
      <c r="BD136" s="35" t="s">
        <v>163</v>
      </c>
      <c r="BE136" s="53"/>
      <c r="BF136" s="53">
        <v>0</v>
      </c>
      <c r="BG136" s="53"/>
      <c r="BH136" s="53">
        <v>0</v>
      </c>
      <c r="BI136" s="53"/>
      <c r="BJ136" s="53">
        <v>0</v>
      </c>
      <c r="BK136" s="53"/>
      <c r="BL136" s="53">
        <v>327926</v>
      </c>
      <c r="BM136" s="53"/>
      <c r="BN136" s="53">
        <f t="shared" si="19"/>
        <v>327926</v>
      </c>
      <c r="BO136" s="54"/>
      <c r="BS136" s="55"/>
      <c r="BT136" s="55"/>
      <c r="BU136" s="84"/>
      <c r="BV136" s="55"/>
      <c r="BW136" s="55"/>
      <c r="BX136" s="55"/>
      <c r="BY136" s="55"/>
      <c r="BZ136" s="55"/>
      <c r="CA136" s="55"/>
      <c r="CB136" s="55"/>
      <c r="CC136" s="55"/>
      <c r="CD136" s="55"/>
      <c r="CE136" s="55"/>
      <c r="CF136" s="55"/>
      <c r="CG136" s="55"/>
      <c r="CH136" s="55"/>
      <c r="CI136" s="55"/>
      <c r="CJ136" s="55"/>
      <c r="CK136" s="55"/>
      <c r="CL136" s="55"/>
      <c r="CM136" s="55"/>
      <c r="CN136" s="55"/>
      <c r="CO136" s="55"/>
      <c r="CP136" s="55"/>
      <c r="CQ136" s="55"/>
    </row>
    <row r="137" spans="1:95" s="126" customFormat="1" ht="12.75" hidden="1" customHeight="1">
      <c r="A137" s="126" t="s">
        <v>164</v>
      </c>
      <c r="B137" s="124"/>
      <c r="C137" s="126" t="s">
        <v>27</v>
      </c>
      <c r="D137" s="121"/>
      <c r="E137" s="140">
        <f t="shared" si="13"/>
        <v>0</v>
      </c>
      <c r="F137" s="140"/>
      <c r="G137" s="140"/>
      <c r="H137" s="140"/>
      <c r="I137" s="140"/>
      <c r="J137" s="140"/>
      <c r="K137" s="140">
        <f t="shared" si="14"/>
        <v>0</v>
      </c>
      <c r="L137" s="140"/>
      <c r="M137" s="140"/>
      <c r="N137" s="140"/>
      <c r="O137" s="140"/>
      <c r="P137" s="140"/>
      <c r="Q137" s="140"/>
      <c r="R137" s="140"/>
      <c r="S137" s="140">
        <v>0</v>
      </c>
      <c r="T137" s="140"/>
      <c r="U137" s="140"/>
      <c r="V137" s="140"/>
      <c r="W137" s="140">
        <f t="shared" si="15"/>
        <v>0</v>
      </c>
      <c r="X137" s="124"/>
      <c r="Y137" s="124"/>
      <c r="Z137" s="126" t="s">
        <v>164</v>
      </c>
      <c r="AA137" s="140"/>
      <c r="AB137" s="126" t="s">
        <v>27</v>
      </c>
      <c r="AC137" s="124"/>
      <c r="AD137" s="140"/>
      <c r="AE137" s="140"/>
      <c r="AF137" s="140"/>
      <c r="AG137" s="140"/>
      <c r="AH137" s="140"/>
      <c r="AI137" s="140"/>
      <c r="AJ137" s="127">
        <f t="shared" si="26"/>
        <v>0</v>
      </c>
      <c r="AK137" s="127"/>
      <c r="AL137" s="140"/>
      <c r="AM137" s="127"/>
      <c r="AN137" s="140"/>
      <c r="AO137" s="140"/>
      <c r="AP137" s="140"/>
      <c r="AQ137" s="140"/>
      <c r="AR137" s="140"/>
      <c r="AS137" s="140"/>
      <c r="AT137" s="127">
        <f t="shared" si="28"/>
        <v>0</v>
      </c>
      <c r="AU137" s="127"/>
      <c r="AV137" s="140">
        <v>0</v>
      </c>
      <c r="AW137" s="140"/>
      <c r="AX137" s="140">
        <v>0</v>
      </c>
      <c r="AY137" s="140"/>
      <c r="AZ137" s="140">
        <f t="shared" si="29"/>
        <v>0</v>
      </c>
      <c r="BA137" s="124"/>
      <c r="BB137" s="126" t="s">
        <v>164</v>
      </c>
      <c r="BD137" s="126" t="s">
        <v>27</v>
      </c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>
        <f t="shared" si="19"/>
        <v>0</v>
      </c>
      <c r="BO137" s="142"/>
      <c r="BS137" s="143"/>
      <c r="BT137" s="143"/>
      <c r="BU137" s="144"/>
      <c r="BV137" s="143"/>
      <c r="BW137" s="143"/>
      <c r="BX137" s="143"/>
      <c r="BY137" s="143"/>
      <c r="BZ137" s="143"/>
      <c r="CA137" s="143"/>
      <c r="CB137" s="143"/>
      <c r="CC137" s="143"/>
      <c r="CD137" s="143"/>
      <c r="CE137" s="143"/>
      <c r="CF137" s="143"/>
      <c r="CG137" s="143"/>
      <c r="CH137" s="143"/>
      <c r="CI137" s="143"/>
      <c r="CJ137" s="143"/>
      <c r="CK137" s="143"/>
      <c r="CL137" s="143"/>
      <c r="CM137" s="143"/>
      <c r="CN137" s="143"/>
      <c r="CO137" s="143"/>
      <c r="CP137" s="143"/>
      <c r="CQ137" s="143"/>
    </row>
    <row r="138" spans="1:95" s="35" customFormat="1" ht="12.75" customHeight="1">
      <c r="A138" s="35" t="s">
        <v>53</v>
      </c>
      <c r="B138" s="51"/>
      <c r="C138" s="35" t="s">
        <v>53</v>
      </c>
      <c r="D138" s="44"/>
      <c r="E138" s="53">
        <f t="shared" si="13"/>
        <v>4487435</v>
      </c>
      <c r="F138" s="53"/>
      <c r="G138" s="53">
        <v>25272139</v>
      </c>
      <c r="H138" s="53"/>
      <c r="I138" s="53">
        <v>29759574</v>
      </c>
      <c r="J138" s="53"/>
      <c r="K138" s="53">
        <f t="shared" si="14"/>
        <v>988432</v>
      </c>
      <c r="L138" s="53"/>
      <c r="M138" s="53">
        <v>12964338</v>
      </c>
      <c r="N138" s="53"/>
      <c r="O138" s="53">
        <v>13952770</v>
      </c>
      <c r="P138" s="53"/>
      <c r="Q138" s="53">
        <v>4259681</v>
      </c>
      <c r="R138" s="53"/>
      <c r="S138" s="53">
        <v>0</v>
      </c>
      <c r="T138" s="53"/>
      <c r="U138" s="53">
        <v>11547123</v>
      </c>
      <c r="V138" s="53"/>
      <c r="W138" s="53">
        <f t="shared" si="15"/>
        <v>15806804</v>
      </c>
      <c r="X138" s="51"/>
      <c r="Y138" s="51"/>
      <c r="Z138" s="35" t="s">
        <v>53</v>
      </c>
      <c r="AA138" s="53"/>
      <c r="AB138" s="35" t="s">
        <v>53</v>
      </c>
      <c r="AC138" s="51"/>
      <c r="AD138" s="53">
        <v>4170962</v>
      </c>
      <c r="AE138" s="53"/>
      <c r="AF138" s="53">
        <v>4874458</v>
      </c>
      <c r="AG138" s="53"/>
      <c r="AH138" s="53">
        <v>0</v>
      </c>
      <c r="AI138" s="53"/>
      <c r="AJ138" s="45">
        <f t="shared" ref="AJ138:AJ197" si="30">+AD138-AF138-AH138</f>
        <v>-703496</v>
      </c>
      <c r="AK138" s="45"/>
      <c r="AL138" s="53">
        <v>-392302</v>
      </c>
      <c r="AM138" s="45"/>
      <c r="AN138" s="53">
        <v>0</v>
      </c>
      <c r="AO138" s="53"/>
      <c r="AP138" s="53">
        <v>0</v>
      </c>
      <c r="AQ138" s="53"/>
      <c r="AR138" s="53">
        <v>0</v>
      </c>
      <c r="AS138" s="53"/>
      <c r="AT138" s="45">
        <f t="shared" si="28"/>
        <v>-1095798</v>
      </c>
      <c r="AU138" s="45"/>
      <c r="AV138" s="53">
        <v>0</v>
      </c>
      <c r="AW138" s="53"/>
      <c r="AX138" s="53">
        <v>0</v>
      </c>
      <c r="AY138" s="53"/>
      <c r="AZ138" s="53">
        <f t="shared" si="29"/>
        <v>3499003</v>
      </c>
      <c r="BA138" s="51"/>
      <c r="BB138" s="35" t="s">
        <v>53</v>
      </c>
      <c r="BD138" s="35" t="s">
        <v>53</v>
      </c>
      <c r="BE138" s="53"/>
      <c r="BF138" s="53">
        <f>350000+6195000+4705000</f>
        <v>11250000</v>
      </c>
      <c r="BG138" s="53"/>
      <c r="BH138" s="53">
        <v>13961</v>
      </c>
      <c r="BI138" s="53"/>
      <c r="BJ138" s="53">
        <v>1249682</v>
      </c>
      <c r="BK138" s="53"/>
      <c r="BL138" s="53">
        <v>135628</v>
      </c>
      <c r="BM138" s="53"/>
      <c r="BN138" s="53">
        <f t="shared" si="19"/>
        <v>12649271</v>
      </c>
      <c r="BO138" s="54"/>
      <c r="BS138" s="55"/>
      <c r="BT138" s="55"/>
      <c r="BU138" s="84"/>
      <c r="BV138" s="55"/>
      <c r="BW138" s="55"/>
      <c r="BX138" s="55"/>
      <c r="BY138" s="55"/>
      <c r="BZ138" s="55"/>
      <c r="CA138" s="55"/>
      <c r="CB138" s="55"/>
      <c r="CC138" s="55"/>
      <c r="CD138" s="55"/>
      <c r="CE138" s="55"/>
      <c r="CF138" s="55"/>
      <c r="CG138" s="55"/>
      <c r="CH138" s="55"/>
      <c r="CI138" s="55"/>
      <c r="CJ138" s="55"/>
      <c r="CK138" s="55"/>
      <c r="CL138" s="55"/>
      <c r="CM138" s="55"/>
      <c r="CN138" s="55"/>
      <c r="CO138" s="55"/>
      <c r="CP138" s="55"/>
      <c r="CQ138" s="55"/>
    </row>
    <row r="139" spans="1:95" s="126" customFormat="1" ht="12.75" hidden="1" customHeight="1">
      <c r="A139" s="126" t="s">
        <v>165</v>
      </c>
      <c r="B139" s="124"/>
      <c r="C139" s="126" t="s">
        <v>92</v>
      </c>
      <c r="D139" s="121"/>
      <c r="E139" s="140">
        <f t="shared" si="13"/>
        <v>0</v>
      </c>
      <c r="F139" s="140"/>
      <c r="G139" s="140"/>
      <c r="H139" s="140"/>
      <c r="I139" s="140"/>
      <c r="J139" s="140"/>
      <c r="K139" s="140">
        <f t="shared" si="14"/>
        <v>0</v>
      </c>
      <c r="L139" s="140"/>
      <c r="M139" s="140"/>
      <c r="N139" s="140"/>
      <c r="O139" s="140"/>
      <c r="P139" s="140"/>
      <c r="Q139" s="140"/>
      <c r="R139" s="140"/>
      <c r="S139" s="140">
        <v>0</v>
      </c>
      <c r="T139" s="140"/>
      <c r="U139" s="140"/>
      <c r="V139" s="140"/>
      <c r="W139" s="140">
        <f t="shared" si="15"/>
        <v>0</v>
      </c>
      <c r="X139" s="124"/>
      <c r="Y139" s="124"/>
      <c r="Z139" s="126" t="s">
        <v>165</v>
      </c>
      <c r="AA139" s="140"/>
      <c r="AB139" s="126" t="s">
        <v>92</v>
      </c>
      <c r="AC139" s="124"/>
      <c r="AD139" s="140"/>
      <c r="AE139" s="140"/>
      <c r="AF139" s="140"/>
      <c r="AG139" s="140"/>
      <c r="AH139" s="140"/>
      <c r="AI139" s="140"/>
      <c r="AJ139" s="127">
        <f t="shared" si="30"/>
        <v>0</v>
      </c>
      <c r="AK139" s="127"/>
      <c r="AL139" s="140"/>
      <c r="AM139" s="127"/>
      <c r="AN139" s="140"/>
      <c r="AO139" s="140"/>
      <c r="AP139" s="140"/>
      <c r="AQ139" s="140"/>
      <c r="AR139" s="140"/>
      <c r="AS139" s="140"/>
      <c r="AT139" s="127">
        <f t="shared" si="28"/>
        <v>0</v>
      </c>
      <c r="AU139" s="127"/>
      <c r="AV139" s="140">
        <v>0</v>
      </c>
      <c r="AW139" s="140"/>
      <c r="AX139" s="140">
        <v>0</v>
      </c>
      <c r="AY139" s="140"/>
      <c r="AZ139" s="140">
        <f t="shared" si="29"/>
        <v>0</v>
      </c>
      <c r="BA139" s="124"/>
      <c r="BB139" s="126" t="s">
        <v>165</v>
      </c>
      <c r="BD139" s="126" t="s">
        <v>92</v>
      </c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>
        <f t="shared" si="19"/>
        <v>0</v>
      </c>
      <c r="BO139" s="142"/>
      <c r="BS139" s="143"/>
      <c r="BT139" s="143"/>
      <c r="BU139" s="144"/>
      <c r="BV139" s="143"/>
      <c r="BW139" s="143"/>
      <c r="BX139" s="143"/>
      <c r="BY139" s="143"/>
      <c r="BZ139" s="143"/>
      <c r="CA139" s="143"/>
      <c r="CB139" s="143"/>
      <c r="CC139" s="143"/>
      <c r="CD139" s="143"/>
      <c r="CE139" s="143"/>
      <c r="CF139" s="143"/>
      <c r="CG139" s="143"/>
      <c r="CH139" s="143"/>
      <c r="CI139" s="143"/>
      <c r="CJ139" s="143"/>
      <c r="CK139" s="143"/>
      <c r="CL139" s="143"/>
      <c r="CM139" s="143"/>
      <c r="CN139" s="143"/>
      <c r="CO139" s="143"/>
      <c r="CP139" s="143"/>
      <c r="CQ139" s="143"/>
    </row>
    <row r="140" spans="1:95" s="126" customFormat="1" ht="12.75" hidden="1" customHeight="1">
      <c r="A140" s="126" t="s">
        <v>166</v>
      </c>
      <c r="B140" s="124"/>
      <c r="C140" s="126" t="s">
        <v>92</v>
      </c>
      <c r="D140" s="121"/>
      <c r="E140" s="140">
        <f t="shared" si="13"/>
        <v>0</v>
      </c>
      <c r="F140" s="140"/>
      <c r="G140" s="140"/>
      <c r="H140" s="140"/>
      <c r="I140" s="140"/>
      <c r="J140" s="140"/>
      <c r="K140" s="140">
        <f t="shared" si="14"/>
        <v>0</v>
      </c>
      <c r="L140" s="140"/>
      <c r="M140" s="140"/>
      <c r="N140" s="140"/>
      <c r="O140" s="140"/>
      <c r="P140" s="140"/>
      <c r="Q140" s="140"/>
      <c r="R140" s="140"/>
      <c r="S140" s="140">
        <v>0</v>
      </c>
      <c r="T140" s="140"/>
      <c r="U140" s="140"/>
      <c r="V140" s="140"/>
      <c r="W140" s="140">
        <f t="shared" si="15"/>
        <v>0</v>
      </c>
      <c r="X140" s="124"/>
      <c r="Y140" s="124"/>
      <c r="Z140" s="126" t="s">
        <v>166</v>
      </c>
      <c r="AA140" s="140"/>
      <c r="AB140" s="126" t="s">
        <v>92</v>
      </c>
      <c r="AC140" s="124"/>
      <c r="AD140" s="140"/>
      <c r="AE140" s="140"/>
      <c r="AF140" s="140"/>
      <c r="AG140" s="140"/>
      <c r="AH140" s="140"/>
      <c r="AI140" s="140"/>
      <c r="AJ140" s="127">
        <f t="shared" si="30"/>
        <v>0</v>
      </c>
      <c r="AK140" s="127"/>
      <c r="AL140" s="140"/>
      <c r="AM140" s="127"/>
      <c r="AN140" s="140"/>
      <c r="AO140" s="140"/>
      <c r="AP140" s="140"/>
      <c r="AQ140" s="140"/>
      <c r="AR140" s="140"/>
      <c r="AS140" s="140"/>
      <c r="AT140" s="127">
        <f t="shared" si="28"/>
        <v>0</v>
      </c>
      <c r="AU140" s="127"/>
      <c r="AV140" s="140">
        <v>0</v>
      </c>
      <c r="AW140" s="140"/>
      <c r="AX140" s="140">
        <v>0</v>
      </c>
      <c r="AY140" s="140"/>
      <c r="AZ140" s="140">
        <f t="shared" si="29"/>
        <v>0</v>
      </c>
      <c r="BA140" s="124"/>
      <c r="BB140" s="126" t="s">
        <v>166</v>
      </c>
      <c r="BD140" s="126" t="s">
        <v>92</v>
      </c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>
        <f t="shared" si="19"/>
        <v>0</v>
      </c>
      <c r="BO140" s="142"/>
      <c r="BS140" s="143"/>
      <c r="BT140" s="143"/>
      <c r="BU140" s="144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</row>
    <row r="141" spans="1:95" s="35" customFormat="1" ht="12.75" customHeight="1">
      <c r="A141" s="35" t="s">
        <v>167</v>
      </c>
      <c r="B141" s="51"/>
      <c r="C141" s="35" t="s">
        <v>66</v>
      </c>
      <c r="D141" s="44"/>
      <c r="E141" s="53">
        <f t="shared" si="13"/>
        <v>1652062</v>
      </c>
      <c r="F141" s="53"/>
      <c r="G141" s="53">
        <v>13286492</v>
      </c>
      <c r="H141" s="53"/>
      <c r="I141" s="53">
        <v>14938554</v>
      </c>
      <c r="J141" s="53"/>
      <c r="K141" s="53">
        <f t="shared" si="14"/>
        <v>647068</v>
      </c>
      <c r="L141" s="53"/>
      <c r="M141" s="53">
        <v>2262417</v>
      </c>
      <c r="N141" s="53"/>
      <c r="O141" s="53">
        <v>2909485</v>
      </c>
      <c r="P141" s="53"/>
      <c r="Q141" s="53">
        <v>10529075</v>
      </c>
      <c r="R141" s="53"/>
      <c r="S141" s="53">
        <v>411534</v>
      </c>
      <c r="T141" s="53"/>
      <c r="U141" s="53">
        <v>1088460</v>
      </c>
      <c r="V141" s="53"/>
      <c r="W141" s="53">
        <f t="shared" si="15"/>
        <v>12029069</v>
      </c>
      <c r="Z141" s="35" t="s">
        <v>167</v>
      </c>
      <c r="AA141" s="53"/>
      <c r="AB141" s="35" t="s">
        <v>66</v>
      </c>
      <c r="AC141" s="51"/>
      <c r="AD141" s="53">
        <v>1714681</v>
      </c>
      <c r="AE141" s="53"/>
      <c r="AF141" s="53">
        <f>2675423-438948</f>
        <v>2236475</v>
      </c>
      <c r="AG141" s="53"/>
      <c r="AH141" s="53">
        <v>438948</v>
      </c>
      <c r="AI141" s="53"/>
      <c r="AJ141" s="45">
        <f t="shared" si="30"/>
        <v>-960742</v>
      </c>
      <c r="AK141" s="45"/>
      <c r="AL141" s="53">
        <v>243942</v>
      </c>
      <c r="AM141" s="45"/>
      <c r="AN141" s="53">
        <v>0</v>
      </c>
      <c r="AO141" s="53"/>
      <c r="AP141" s="53">
        <v>0</v>
      </c>
      <c r="AQ141" s="53"/>
      <c r="AR141" s="53">
        <v>0</v>
      </c>
      <c r="AS141" s="53"/>
      <c r="AT141" s="45">
        <f t="shared" si="28"/>
        <v>-716800</v>
      </c>
      <c r="AU141" s="45"/>
      <c r="AV141" s="53">
        <v>0</v>
      </c>
      <c r="AW141" s="53"/>
      <c r="AX141" s="53">
        <v>0</v>
      </c>
      <c r="AY141" s="53"/>
      <c r="AZ141" s="53">
        <f t="shared" si="29"/>
        <v>1004994</v>
      </c>
      <c r="BA141" s="51"/>
      <c r="BB141" s="35" t="s">
        <v>167</v>
      </c>
      <c r="BD141" s="35" t="s">
        <v>66</v>
      </c>
      <c r="BE141" s="53"/>
      <c r="BF141" s="53">
        <v>12502062</v>
      </c>
      <c r="BG141" s="53"/>
      <c r="BH141" s="53">
        <v>0</v>
      </c>
      <c r="BI141" s="53"/>
      <c r="BJ141" s="53">
        <v>105651</v>
      </c>
      <c r="BK141" s="53"/>
      <c r="BL141" s="53">
        <v>90838</v>
      </c>
      <c r="BM141" s="53"/>
      <c r="BN141" s="53">
        <f t="shared" si="19"/>
        <v>12698551</v>
      </c>
      <c r="BO141" s="54"/>
      <c r="BS141" s="55"/>
      <c r="BT141" s="55"/>
      <c r="BU141" s="84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</row>
    <row r="142" spans="1:95" s="126" customFormat="1" ht="12.75" hidden="1" customHeight="1">
      <c r="A142" s="121" t="s">
        <v>168</v>
      </c>
      <c r="B142" s="124"/>
      <c r="C142" s="121" t="s">
        <v>27</v>
      </c>
      <c r="D142" s="121"/>
      <c r="E142" s="140">
        <f t="shared" si="13"/>
        <v>0</v>
      </c>
      <c r="F142" s="140"/>
      <c r="G142" s="140"/>
      <c r="H142" s="140"/>
      <c r="I142" s="140"/>
      <c r="J142" s="140"/>
      <c r="K142" s="140">
        <f t="shared" si="14"/>
        <v>0</v>
      </c>
      <c r="L142" s="140"/>
      <c r="M142" s="140"/>
      <c r="N142" s="140"/>
      <c r="O142" s="140"/>
      <c r="P142" s="140"/>
      <c r="Q142" s="140"/>
      <c r="R142" s="140"/>
      <c r="S142" s="140">
        <v>0</v>
      </c>
      <c r="T142" s="140"/>
      <c r="U142" s="140"/>
      <c r="V142" s="140"/>
      <c r="W142" s="140">
        <f t="shared" si="15"/>
        <v>0</v>
      </c>
      <c r="X142" s="124"/>
      <c r="Y142" s="124"/>
      <c r="Z142" s="121" t="s">
        <v>168</v>
      </c>
      <c r="AA142" s="140"/>
      <c r="AB142" s="121" t="s">
        <v>27</v>
      </c>
      <c r="AC142" s="124"/>
      <c r="AD142" s="140"/>
      <c r="AE142" s="140"/>
      <c r="AF142" s="140"/>
      <c r="AG142" s="140"/>
      <c r="AH142" s="140"/>
      <c r="AI142" s="140"/>
      <c r="AJ142" s="127">
        <f t="shared" si="30"/>
        <v>0</v>
      </c>
      <c r="AK142" s="127"/>
      <c r="AL142" s="140"/>
      <c r="AM142" s="127"/>
      <c r="AN142" s="140"/>
      <c r="AO142" s="140"/>
      <c r="AP142" s="140"/>
      <c r="AQ142" s="140"/>
      <c r="AR142" s="140"/>
      <c r="AS142" s="140"/>
      <c r="AT142" s="127">
        <f t="shared" si="28"/>
        <v>0</v>
      </c>
      <c r="AU142" s="127"/>
      <c r="AV142" s="140">
        <v>0</v>
      </c>
      <c r="AW142" s="140"/>
      <c r="AX142" s="140">
        <v>0</v>
      </c>
      <c r="AY142" s="140"/>
      <c r="AZ142" s="140">
        <f t="shared" si="29"/>
        <v>0</v>
      </c>
      <c r="BA142" s="124"/>
      <c r="BB142" s="121" t="s">
        <v>168</v>
      </c>
      <c r="BD142" s="121" t="s">
        <v>27</v>
      </c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>
        <f t="shared" si="19"/>
        <v>0</v>
      </c>
      <c r="BO142" s="142"/>
      <c r="BS142" s="143"/>
      <c r="BT142" s="143"/>
      <c r="BU142" s="144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</row>
    <row r="143" spans="1:95" s="35" customFormat="1" ht="12.75" customHeight="1">
      <c r="A143" s="35" t="s">
        <v>169</v>
      </c>
      <c r="B143" s="51"/>
      <c r="C143" s="35" t="s">
        <v>103</v>
      </c>
      <c r="D143" s="44"/>
      <c r="E143" s="53">
        <f t="shared" si="13"/>
        <v>7843596</v>
      </c>
      <c r="F143" s="53"/>
      <c r="G143" s="53">
        <v>22174930</v>
      </c>
      <c r="H143" s="53"/>
      <c r="I143" s="53">
        <v>30018526</v>
      </c>
      <c r="J143" s="53"/>
      <c r="K143" s="53">
        <f t="shared" si="14"/>
        <v>1997845</v>
      </c>
      <c r="L143" s="53"/>
      <c r="M143" s="53">
        <v>5778954</v>
      </c>
      <c r="N143" s="53"/>
      <c r="O143" s="53">
        <v>7776799</v>
      </c>
      <c r="P143" s="53"/>
      <c r="Q143" s="53">
        <v>15650960</v>
      </c>
      <c r="R143" s="53"/>
      <c r="S143" s="53">
        <v>710461</v>
      </c>
      <c r="T143" s="53"/>
      <c r="U143" s="53">
        <v>5880306</v>
      </c>
      <c r="V143" s="53"/>
      <c r="W143" s="53">
        <f t="shared" si="15"/>
        <v>22241727</v>
      </c>
      <c r="Z143" s="35" t="s">
        <v>169</v>
      </c>
      <c r="AA143" s="53"/>
      <c r="AB143" s="35" t="s">
        <v>103</v>
      </c>
      <c r="AC143" s="51"/>
      <c r="AD143" s="53">
        <v>6457712</v>
      </c>
      <c r="AE143" s="53"/>
      <c r="AF143" s="53">
        <f>6969973-1146292</f>
        <v>5823681</v>
      </c>
      <c r="AG143" s="53"/>
      <c r="AH143" s="53">
        <v>1146292</v>
      </c>
      <c r="AI143" s="53"/>
      <c r="AJ143" s="45">
        <f t="shared" si="30"/>
        <v>-512261</v>
      </c>
      <c r="AK143" s="45"/>
      <c r="AL143" s="53">
        <v>644829</v>
      </c>
      <c r="AM143" s="45"/>
      <c r="AN143" s="53">
        <v>0</v>
      </c>
      <c r="AO143" s="53"/>
      <c r="AP143" s="53">
        <v>28222</v>
      </c>
      <c r="AQ143" s="53"/>
      <c r="AR143" s="53">
        <v>88604</v>
      </c>
      <c r="AS143" s="53"/>
      <c r="AT143" s="45">
        <f t="shared" si="28"/>
        <v>192950</v>
      </c>
      <c r="AU143" s="45"/>
      <c r="AV143" s="53">
        <v>0</v>
      </c>
      <c r="AW143" s="53"/>
      <c r="AX143" s="53">
        <v>0</v>
      </c>
      <c r="AY143" s="53"/>
      <c r="AZ143" s="53">
        <f t="shared" si="29"/>
        <v>5845751</v>
      </c>
      <c r="BA143" s="51"/>
      <c r="BB143" s="35" t="s">
        <v>169</v>
      </c>
      <c r="BD143" s="35" t="s">
        <v>103</v>
      </c>
      <c r="BE143" s="53"/>
      <c r="BF143" s="53">
        <f>1094317+115000+1690308</f>
        <v>2899625</v>
      </c>
      <c r="BG143" s="53"/>
      <c r="BH143" s="53">
        <v>0</v>
      </c>
      <c r="BI143" s="53"/>
      <c r="BJ143" s="53">
        <v>0</v>
      </c>
      <c r="BK143" s="53"/>
      <c r="BL143" s="53">
        <f>409116+136883</f>
        <v>545999</v>
      </c>
      <c r="BM143" s="53"/>
      <c r="BN143" s="53">
        <f t="shared" si="19"/>
        <v>3445624</v>
      </c>
      <c r="BO143" s="54"/>
      <c r="BS143" s="55"/>
      <c r="BT143" s="55"/>
      <c r="BU143" s="84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</row>
    <row r="144" spans="1:95" s="35" customFormat="1" ht="12.75" customHeight="1">
      <c r="A144" s="35" t="s">
        <v>170</v>
      </c>
      <c r="B144" s="51"/>
      <c r="C144" s="35" t="s">
        <v>171</v>
      </c>
      <c r="D144" s="44"/>
      <c r="E144" s="53">
        <f t="shared" si="13"/>
        <v>2183180</v>
      </c>
      <c r="F144" s="53"/>
      <c r="G144" s="53">
        <v>4509458</v>
      </c>
      <c r="H144" s="53"/>
      <c r="I144" s="53">
        <v>6692638</v>
      </c>
      <c r="J144" s="53"/>
      <c r="K144" s="53">
        <f t="shared" si="14"/>
        <v>162242</v>
      </c>
      <c r="L144" s="53"/>
      <c r="M144" s="53">
        <v>1521320</v>
      </c>
      <c r="N144" s="53"/>
      <c r="O144" s="53">
        <v>1683562</v>
      </c>
      <c r="P144" s="53"/>
      <c r="Q144" s="53">
        <v>2906316</v>
      </c>
      <c r="R144" s="53"/>
      <c r="S144" s="53">
        <v>0</v>
      </c>
      <c r="T144" s="53"/>
      <c r="U144" s="53">
        <v>2102760</v>
      </c>
      <c r="V144" s="53"/>
      <c r="W144" s="53">
        <f t="shared" si="15"/>
        <v>5009076</v>
      </c>
      <c r="Z144" s="35" t="s">
        <v>170</v>
      </c>
      <c r="AA144" s="53"/>
      <c r="AB144" s="35" t="s">
        <v>171</v>
      </c>
      <c r="AC144" s="51"/>
      <c r="AD144" s="53">
        <v>957985</v>
      </c>
      <c r="AE144" s="53"/>
      <c r="AF144" s="53">
        <f>1280710-206318</f>
        <v>1074392</v>
      </c>
      <c r="AG144" s="53"/>
      <c r="AH144" s="53">
        <v>206318</v>
      </c>
      <c r="AI144" s="53"/>
      <c r="AJ144" s="45">
        <f t="shared" si="30"/>
        <v>-322725</v>
      </c>
      <c r="AK144" s="45"/>
      <c r="AL144" s="53">
        <v>17555</v>
      </c>
      <c r="AM144" s="45"/>
      <c r="AN144" s="53">
        <v>0</v>
      </c>
      <c r="AO144" s="53"/>
      <c r="AP144" s="53">
        <v>0</v>
      </c>
      <c r="AQ144" s="53"/>
      <c r="AR144" s="53">
        <v>0</v>
      </c>
      <c r="AS144" s="53"/>
      <c r="AT144" s="45">
        <f t="shared" si="28"/>
        <v>-305170</v>
      </c>
      <c r="AU144" s="45"/>
      <c r="AV144" s="53">
        <v>0</v>
      </c>
      <c r="AW144" s="53"/>
      <c r="AX144" s="53">
        <v>0</v>
      </c>
      <c r="AY144" s="53"/>
      <c r="AZ144" s="53">
        <f t="shared" si="29"/>
        <v>2020938</v>
      </c>
      <c r="BA144" s="51"/>
      <c r="BB144" s="35" t="s">
        <v>170</v>
      </c>
      <c r="BD144" s="35" t="s">
        <v>171</v>
      </c>
      <c r="BE144" s="53"/>
      <c r="BF144" s="53">
        <f>4932823-44149</f>
        <v>4888674</v>
      </c>
      <c r="BG144" s="53"/>
      <c r="BH144" s="53">
        <v>0</v>
      </c>
      <c r="BI144" s="53"/>
      <c r="BJ144" s="53">
        <v>0</v>
      </c>
      <c r="BK144" s="53"/>
      <c r="BL144" s="53">
        <v>44149</v>
      </c>
      <c r="BM144" s="53"/>
      <c r="BN144" s="53">
        <f t="shared" si="19"/>
        <v>4932823</v>
      </c>
      <c r="BO144" s="54"/>
      <c r="BS144" s="55"/>
      <c r="BT144" s="55"/>
      <c r="BU144" s="84"/>
      <c r="BV144" s="55"/>
      <c r="BW144" s="55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55"/>
      <c r="CI144" s="55"/>
      <c r="CJ144" s="55"/>
      <c r="CK144" s="55"/>
      <c r="CL144" s="55"/>
      <c r="CM144" s="55"/>
      <c r="CN144" s="55"/>
      <c r="CO144" s="55"/>
      <c r="CP144" s="55"/>
      <c r="CQ144" s="55"/>
    </row>
    <row r="145" spans="1:95" s="35" customFormat="1" ht="12.75" customHeight="1">
      <c r="A145" s="35" t="s">
        <v>172</v>
      </c>
      <c r="B145" s="51"/>
      <c r="C145" s="35" t="s">
        <v>103</v>
      </c>
      <c r="D145" s="44"/>
      <c r="E145" s="53">
        <f t="shared" si="13"/>
        <v>2061117</v>
      </c>
      <c r="F145" s="53"/>
      <c r="G145" s="53">
        <v>5290817</v>
      </c>
      <c r="H145" s="53"/>
      <c r="I145" s="53">
        <v>7351934</v>
      </c>
      <c r="J145" s="53"/>
      <c r="K145" s="53">
        <f t="shared" si="14"/>
        <v>3350745</v>
      </c>
      <c r="L145" s="53"/>
      <c r="M145" s="53">
        <v>467164</v>
      </c>
      <c r="N145" s="53"/>
      <c r="O145" s="53">
        <v>3817909</v>
      </c>
      <c r="P145" s="53"/>
      <c r="Q145" s="53">
        <v>1785368</v>
      </c>
      <c r="R145" s="53"/>
      <c r="S145" s="53">
        <v>0</v>
      </c>
      <c r="T145" s="53"/>
      <c r="U145" s="53">
        <v>1748657</v>
      </c>
      <c r="V145" s="53"/>
      <c r="W145" s="53">
        <f t="shared" si="15"/>
        <v>3534025</v>
      </c>
      <c r="X145" s="51"/>
      <c r="Y145" s="51"/>
      <c r="Z145" s="35" t="s">
        <v>172</v>
      </c>
      <c r="AA145" s="53"/>
      <c r="AB145" s="35" t="s">
        <v>103</v>
      </c>
      <c r="AC145" s="51"/>
      <c r="AD145" s="53">
        <v>2044718</v>
      </c>
      <c r="AE145" s="53"/>
      <c r="AF145" s="53">
        <f>3074785-429801</f>
        <v>2644984</v>
      </c>
      <c r="AG145" s="53"/>
      <c r="AH145" s="53">
        <v>429801</v>
      </c>
      <c r="AI145" s="53"/>
      <c r="AJ145" s="45">
        <f t="shared" si="30"/>
        <v>-1030067</v>
      </c>
      <c r="AK145" s="45"/>
      <c r="AL145" s="53">
        <v>-155730</v>
      </c>
      <c r="AM145" s="45"/>
      <c r="AN145" s="53">
        <v>0</v>
      </c>
      <c r="AO145" s="53"/>
      <c r="AP145" s="53">
        <v>0</v>
      </c>
      <c r="AQ145" s="53"/>
      <c r="AR145" s="53">
        <v>0</v>
      </c>
      <c r="AS145" s="53"/>
      <c r="AT145" s="45">
        <f t="shared" si="28"/>
        <v>-1185797</v>
      </c>
      <c r="AU145" s="45"/>
      <c r="AV145" s="53">
        <v>0</v>
      </c>
      <c r="AW145" s="53"/>
      <c r="AX145" s="53">
        <v>0</v>
      </c>
      <c r="AY145" s="53"/>
      <c r="AZ145" s="53">
        <f t="shared" si="29"/>
        <v>-1289628</v>
      </c>
      <c r="BA145" s="51"/>
      <c r="BB145" s="35" t="s">
        <v>172</v>
      </c>
      <c r="BD145" s="35" t="s">
        <v>103</v>
      </c>
      <c r="BE145" s="53"/>
      <c r="BF145" s="53">
        <v>0</v>
      </c>
      <c r="BG145" s="53"/>
      <c r="BH145" s="53">
        <v>0</v>
      </c>
      <c r="BI145" s="53"/>
      <c r="BJ145" s="53">
        <v>508449</v>
      </c>
      <c r="BK145" s="53"/>
      <c r="BL145" s="53">
        <f>80352+20776</f>
        <v>101128</v>
      </c>
      <c r="BM145" s="53"/>
      <c r="BN145" s="53">
        <f t="shared" si="19"/>
        <v>609577</v>
      </c>
      <c r="BO145" s="54"/>
      <c r="BS145" s="55"/>
      <c r="BT145" s="55"/>
      <c r="BU145" s="84"/>
      <c r="BV145" s="55"/>
      <c r="BW145" s="55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55"/>
      <c r="CI145" s="55"/>
      <c r="CJ145" s="55"/>
      <c r="CK145" s="55"/>
      <c r="CL145" s="55"/>
      <c r="CM145" s="55"/>
      <c r="CN145" s="55"/>
      <c r="CO145" s="55"/>
      <c r="CP145" s="55"/>
      <c r="CQ145" s="55"/>
    </row>
    <row r="146" spans="1:95" s="126" customFormat="1" ht="12.75" hidden="1" customHeight="1">
      <c r="A146" s="35" t="s">
        <v>66</v>
      </c>
      <c r="B146" s="51"/>
      <c r="C146" s="35" t="s">
        <v>45</v>
      </c>
      <c r="D146" s="44"/>
      <c r="E146" s="53">
        <f t="shared" si="13"/>
        <v>0</v>
      </c>
      <c r="F146" s="53"/>
      <c r="G146" s="53"/>
      <c r="H146" s="53"/>
      <c r="I146" s="53"/>
      <c r="J146" s="53"/>
      <c r="K146" s="53">
        <f t="shared" si="14"/>
        <v>0</v>
      </c>
      <c r="L146" s="53"/>
      <c r="M146" s="53"/>
      <c r="N146" s="53"/>
      <c r="O146" s="53"/>
      <c r="P146" s="53"/>
      <c r="Q146" s="53"/>
      <c r="R146" s="53"/>
      <c r="S146" s="53">
        <v>0</v>
      </c>
      <c r="T146" s="53"/>
      <c r="U146" s="53"/>
      <c r="V146" s="53"/>
      <c r="W146" s="53">
        <f t="shared" si="15"/>
        <v>0</v>
      </c>
      <c r="X146" s="51"/>
      <c r="Y146" s="51"/>
      <c r="Z146" s="35" t="s">
        <v>66</v>
      </c>
      <c r="AA146" s="53"/>
      <c r="AB146" s="35" t="s">
        <v>45</v>
      </c>
      <c r="AC146" s="51"/>
      <c r="AD146" s="53"/>
      <c r="AE146" s="53"/>
      <c r="AF146" s="53"/>
      <c r="AG146" s="53"/>
      <c r="AH146" s="53"/>
      <c r="AI146" s="53"/>
      <c r="AJ146" s="45">
        <f t="shared" si="30"/>
        <v>0</v>
      </c>
      <c r="AK146" s="45"/>
      <c r="AL146" s="53"/>
      <c r="AM146" s="45"/>
      <c r="AN146" s="53"/>
      <c r="AO146" s="53"/>
      <c r="AP146" s="53"/>
      <c r="AQ146" s="53"/>
      <c r="AR146" s="53"/>
      <c r="AS146" s="53"/>
      <c r="AT146" s="45">
        <f t="shared" si="28"/>
        <v>0</v>
      </c>
      <c r="AU146" s="45"/>
      <c r="AV146" s="53">
        <v>0</v>
      </c>
      <c r="AW146" s="53"/>
      <c r="AX146" s="53">
        <v>0</v>
      </c>
      <c r="AY146" s="53"/>
      <c r="AZ146" s="53">
        <f t="shared" si="29"/>
        <v>0</v>
      </c>
      <c r="BA146" s="51"/>
      <c r="BB146" s="35" t="s">
        <v>66</v>
      </c>
      <c r="BC146" s="35"/>
      <c r="BD146" s="35" t="s">
        <v>45</v>
      </c>
      <c r="BE146" s="53"/>
      <c r="BF146" s="53"/>
      <c r="BG146" s="53"/>
      <c r="BH146" s="53"/>
      <c r="BI146" s="53"/>
      <c r="BJ146" s="53"/>
      <c r="BK146" s="53"/>
      <c r="BL146" s="53"/>
      <c r="BM146" s="53"/>
      <c r="BN146" s="53">
        <f t="shared" si="19"/>
        <v>0</v>
      </c>
      <c r="BO146" s="142"/>
      <c r="BS146" s="143"/>
      <c r="BT146" s="143"/>
      <c r="BU146" s="144"/>
      <c r="BV146" s="143"/>
      <c r="BW146" s="143"/>
      <c r="BX146" s="143"/>
      <c r="BY146" s="143"/>
      <c r="BZ146" s="143"/>
      <c r="CA146" s="143"/>
      <c r="CB146" s="143"/>
      <c r="CC146" s="143"/>
      <c r="CD146" s="143"/>
      <c r="CE146" s="143"/>
      <c r="CF146" s="143"/>
      <c r="CG146" s="143"/>
      <c r="CH146" s="143"/>
      <c r="CI146" s="143"/>
      <c r="CJ146" s="143"/>
      <c r="CK146" s="143"/>
      <c r="CL146" s="143"/>
      <c r="CM146" s="143"/>
      <c r="CN146" s="143"/>
      <c r="CO146" s="143"/>
      <c r="CP146" s="143"/>
      <c r="CQ146" s="143"/>
    </row>
    <row r="147" spans="1:95" s="126" customFormat="1" ht="12.75" hidden="1" customHeight="1">
      <c r="A147" s="35" t="s">
        <v>173</v>
      </c>
      <c r="B147" s="51"/>
      <c r="C147" s="35" t="s">
        <v>66</v>
      </c>
      <c r="D147" s="44"/>
      <c r="E147" s="53">
        <f t="shared" ref="E147:E212" si="31">I147-G147</f>
        <v>0</v>
      </c>
      <c r="F147" s="53"/>
      <c r="G147" s="53"/>
      <c r="H147" s="53"/>
      <c r="I147" s="53"/>
      <c r="J147" s="53"/>
      <c r="K147" s="53">
        <f t="shared" ref="K147:K212" si="32">O147-M147</f>
        <v>0</v>
      </c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>
        <f t="shared" ref="W147:W212" si="33">SUM(Q147:U147)</f>
        <v>0</v>
      </c>
      <c r="X147" s="51"/>
      <c r="Y147" s="51"/>
      <c r="Z147" s="35" t="s">
        <v>173</v>
      </c>
      <c r="AA147" s="53"/>
      <c r="AB147" s="35" t="s">
        <v>66</v>
      </c>
      <c r="AC147" s="51"/>
      <c r="AD147" s="53"/>
      <c r="AE147" s="53"/>
      <c r="AF147" s="53"/>
      <c r="AG147" s="53"/>
      <c r="AH147" s="53"/>
      <c r="AI147" s="53"/>
      <c r="AJ147" s="45">
        <f t="shared" si="30"/>
        <v>0</v>
      </c>
      <c r="AK147" s="45"/>
      <c r="AL147" s="53"/>
      <c r="AM147" s="45"/>
      <c r="AN147" s="53"/>
      <c r="AO147" s="53"/>
      <c r="AP147" s="53"/>
      <c r="AQ147" s="53"/>
      <c r="AR147" s="53"/>
      <c r="AS147" s="53"/>
      <c r="AT147" s="45">
        <f t="shared" si="28"/>
        <v>0</v>
      </c>
      <c r="AU147" s="45"/>
      <c r="AV147" s="53">
        <v>0</v>
      </c>
      <c r="AW147" s="53"/>
      <c r="AX147" s="53">
        <v>0</v>
      </c>
      <c r="AY147" s="53"/>
      <c r="AZ147" s="53">
        <f t="shared" si="29"/>
        <v>0</v>
      </c>
      <c r="BA147" s="51"/>
      <c r="BB147" s="35" t="s">
        <v>173</v>
      </c>
      <c r="BC147" s="35"/>
      <c r="BD147" s="35" t="s">
        <v>66</v>
      </c>
      <c r="BE147" s="53"/>
      <c r="BF147" s="53"/>
      <c r="BG147" s="53"/>
      <c r="BH147" s="53"/>
      <c r="BI147" s="53"/>
      <c r="BJ147" s="53"/>
      <c r="BK147" s="53"/>
      <c r="BL147" s="53"/>
      <c r="BM147" s="53"/>
      <c r="BN147" s="53">
        <f t="shared" ref="BN147:BN212" si="34">SUM(BF147:BL147)</f>
        <v>0</v>
      </c>
      <c r="BO147" s="142"/>
      <c r="BS147" s="143"/>
      <c r="BT147" s="143"/>
      <c r="BU147" s="144"/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3"/>
      <c r="CG147" s="143"/>
      <c r="CH147" s="143"/>
      <c r="CI147" s="143"/>
      <c r="CJ147" s="143"/>
      <c r="CK147" s="143"/>
      <c r="CL147" s="143"/>
      <c r="CM147" s="143"/>
      <c r="CN147" s="143"/>
      <c r="CO147" s="143"/>
      <c r="CP147" s="143"/>
      <c r="CQ147" s="143"/>
    </row>
    <row r="148" spans="1:95" s="126" customFormat="1" ht="12.75" hidden="1" customHeight="1">
      <c r="A148" s="35" t="s">
        <v>365</v>
      </c>
      <c r="B148" s="51"/>
      <c r="C148" s="35" t="s">
        <v>45</v>
      </c>
      <c r="D148" s="44"/>
      <c r="E148" s="53">
        <f t="shared" si="31"/>
        <v>0</v>
      </c>
      <c r="F148" s="53"/>
      <c r="G148" s="53"/>
      <c r="H148" s="53"/>
      <c r="I148" s="53"/>
      <c r="J148" s="53"/>
      <c r="K148" s="53">
        <f t="shared" si="32"/>
        <v>0</v>
      </c>
      <c r="L148" s="53"/>
      <c r="M148" s="53"/>
      <c r="N148" s="53"/>
      <c r="O148" s="53"/>
      <c r="P148" s="53"/>
      <c r="Q148" s="53"/>
      <c r="R148" s="53"/>
      <c r="S148" s="53">
        <v>0</v>
      </c>
      <c r="T148" s="53"/>
      <c r="U148" s="53"/>
      <c r="V148" s="53"/>
      <c r="W148" s="53">
        <f t="shared" si="33"/>
        <v>0</v>
      </c>
      <c r="X148" s="51"/>
      <c r="Y148" s="51"/>
      <c r="Z148" s="35" t="s">
        <v>365</v>
      </c>
      <c r="AA148" s="53"/>
      <c r="AB148" s="35" t="s">
        <v>45</v>
      </c>
      <c r="AC148" s="51"/>
      <c r="AD148" s="53"/>
      <c r="AE148" s="53"/>
      <c r="AF148" s="53"/>
      <c r="AG148" s="53"/>
      <c r="AH148" s="53"/>
      <c r="AI148" s="53"/>
      <c r="AJ148" s="45">
        <f t="shared" si="30"/>
        <v>0</v>
      </c>
      <c r="AK148" s="45"/>
      <c r="AL148" s="53"/>
      <c r="AM148" s="45"/>
      <c r="AN148" s="53"/>
      <c r="AO148" s="53"/>
      <c r="AP148" s="53"/>
      <c r="AQ148" s="53"/>
      <c r="AR148" s="53"/>
      <c r="AS148" s="53"/>
      <c r="AT148" s="45">
        <f t="shared" si="28"/>
        <v>0</v>
      </c>
      <c r="AU148" s="45"/>
      <c r="AV148" s="53">
        <v>0</v>
      </c>
      <c r="AW148" s="53"/>
      <c r="AX148" s="53">
        <v>0</v>
      </c>
      <c r="AY148" s="53"/>
      <c r="AZ148" s="53">
        <f t="shared" si="29"/>
        <v>0</v>
      </c>
      <c r="BA148" s="51"/>
      <c r="BB148" s="35" t="s">
        <v>365</v>
      </c>
      <c r="BC148" s="35"/>
      <c r="BD148" s="35" t="s">
        <v>45</v>
      </c>
      <c r="BE148" s="53"/>
      <c r="BF148" s="53"/>
      <c r="BG148" s="53"/>
      <c r="BH148" s="53"/>
      <c r="BI148" s="53"/>
      <c r="BJ148" s="53"/>
      <c r="BK148" s="53"/>
      <c r="BL148" s="53"/>
      <c r="BM148" s="53"/>
      <c r="BN148" s="53">
        <f t="shared" si="34"/>
        <v>0</v>
      </c>
      <c r="BO148" s="142"/>
      <c r="BS148" s="143"/>
      <c r="BT148" s="143"/>
      <c r="BU148" s="144"/>
      <c r="BV148" s="143"/>
      <c r="BW148" s="143"/>
      <c r="BX148" s="143"/>
      <c r="BY148" s="143"/>
      <c r="BZ148" s="143"/>
      <c r="CA148" s="143"/>
      <c r="CB148" s="143"/>
      <c r="CC148" s="143"/>
      <c r="CD148" s="143"/>
      <c r="CE148" s="143"/>
      <c r="CF148" s="143"/>
      <c r="CG148" s="143"/>
      <c r="CH148" s="143"/>
      <c r="CI148" s="143"/>
      <c r="CJ148" s="143"/>
      <c r="CK148" s="143"/>
      <c r="CL148" s="143"/>
      <c r="CM148" s="143"/>
      <c r="CN148" s="143"/>
      <c r="CO148" s="143"/>
      <c r="CP148" s="143"/>
      <c r="CQ148" s="143"/>
    </row>
    <row r="149" spans="1:95" s="35" customFormat="1" ht="12.75" customHeight="1">
      <c r="A149" s="35" t="s">
        <v>175</v>
      </c>
      <c r="B149" s="51"/>
      <c r="C149" s="35" t="s">
        <v>176</v>
      </c>
      <c r="D149" s="44"/>
      <c r="E149" s="53">
        <f t="shared" si="31"/>
        <v>1938161</v>
      </c>
      <c r="F149" s="53"/>
      <c r="G149" s="53">
        <v>18491335</v>
      </c>
      <c r="H149" s="53"/>
      <c r="I149" s="53">
        <v>20429496</v>
      </c>
      <c r="J149" s="53"/>
      <c r="K149" s="53">
        <f t="shared" si="32"/>
        <v>1070369</v>
      </c>
      <c r="L149" s="53"/>
      <c r="M149" s="53">
        <v>10175121</v>
      </c>
      <c r="N149" s="53"/>
      <c r="O149" s="53">
        <v>11245490</v>
      </c>
      <c r="P149" s="53"/>
      <c r="Q149" s="53">
        <v>6818460</v>
      </c>
      <c r="R149" s="53"/>
      <c r="S149" s="53">
        <v>0</v>
      </c>
      <c r="T149" s="53"/>
      <c r="U149" s="53">
        <v>1128327</v>
      </c>
      <c r="V149" s="53"/>
      <c r="W149" s="53">
        <f t="shared" si="33"/>
        <v>7946787</v>
      </c>
      <c r="X149" s="51"/>
      <c r="Y149" s="51"/>
      <c r="Z149" s="35" t="s">
        <v>175</v>
      </c>
      <c r="AA149" s="53"/>
      <c r="AB149" s="35" t="s">
        <v>176</v>
      </c>
      <c r="AC149" s="51"/>
      <c r="AD149" s="53">
        <v>3308139</v>
      </c>
      <c r="AE149" s="53"/>
      <c r="AF149" s="53">
        <f>2875579-919105</f>
        <v>1956474</v>
      </c>
      <c r="AG149" s="53"/>
      <c r="AH149" s="53">
        <v>919105</v>
      </c>
      <c r="AI149" s="53"/>
      <c r="AJ149" s="45">
        <f t="shared" si="30"/>
        <v>432560</v>
      </c>
      <c r="AK149" s="45"/>
      <c r="AL149" s="53">
        <v>-479276</v>
      </c>
      <c r="AM149" s="45"/>
      <c r="AN149" s="53">
        <v>0</v>
      </c>
      <c r="AO149" s="53"/>
      <c r="AP149" s="53">
        <v>0</v>
      </c>
      <c r="AQ149" s="53"/>
      <c r="AR149" s="53">
        <v>0</v>
      </c>
      <c r="AS149" s="53"/>
      <c r="AT149" s="45">
        <f t="shared" si="28"/>
        <v>-46716</v>
      </c>
      <c r="AU149" s="45"/>
      <c r="AV149" s="53">
        <v>0</v>
      </c>
      <c r="AW149" s="53"/>
      <c r="AX149" s="53">
        <v>0</v>
      </c>
      <c r="AY149" s="53"/>
      <c r="AZ149" s="53">
        <f t="shared" si="29"/>
        <v>867792</v>
      </c>
      <c r="BA149" s="51"/>
      <c r="BB149" s="35" t="s">
        <v>175</v>
      </c>
      <c r="BD149" s="35" t="s">
        <v>176</v>
      </c>
      <c r="BE149" s="53"/>
      <c r="BF149" s="53">
        <v>11469985</v>
      </c>
      <c r="BG149" s="53"/>
      <c r="BH149" s="53">
        <v>5015000</v>
      </c>
      <c r="BI149" s="53"/>
      <c r="BJ149" s="53">
        <v>0</v>
      </c>
      <c r="BK149" s="53"/>
      <c r="BL149" s="53">
        <v>297616</v>
      </c>
      <c r="BM149" s="53"/>
      <c r="BN149" s="53">
        <f t="shared" si="34"/>
        <v>16782601</v>
      </c>
      <c r="BO149" s="54"/>
      <c r="BS149" s="55"/>
      <c r="BT149" s="55"/>
      <c r="BU149" s="84"/>
      <c r="BV149" s="55"/>
      <c r="BW149" s="55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55"/>
      <c r="CI149" s="55"/>
      <c r="CJ149" s="55"/>
      <c r="CK149" s="55"/>
      <c r="CL149" s="55"/>
      <c r="CM149" s="55"/>
      <c r="CN149" s="55"/>
      <c r="CO149" s="55"/>
      <c r="CP149" s="55"/>
      <c r="CQ149" s="55"/>
    </row>
    <row r="150" spans="1:95" s="35" customFormat="1" ht="12.75" customHeight="1">
      <c r="A150" s="35" t="s">
        <v>177</v>
      </c>
      <c r="B150" s="51"/>
      <c r="C150" s="35" t="s">
        <v>13</v>
      </c>
      <c r="D150" s="44"/>
      <c r="E150" s="53">
        <f t="shared" si="31"/>
        <v>2392895</v>
      </c>
      <c r="F150" s="53"/>
      <c r="G150" s="53">
        <v>2310789</v>
      </c>
      <c r="H150" s="53"/>
      <c r="I150" s="53">
        <v>4703684</v>
      </c>
      <c r="J150" s="53"/>
      <c r="K150" s="53">
        <f t="shared" si="32"/>
        <v>106607</v>
      </c>
      <c r="L150" s="53"/>
      <c r="M150" s="53">
        <v>442589</v>
      </c>
      <c r="N150" s="53"/>
      <c r="O150" s="53">
        <v>549196</v>
      </c>
      <c r="P150" s="53"/>
      <c r="Q150" s="53">
        <v>1789450</v>
      </c>
      <c r="R150" s="53"/>
      <c r="S150" s="53">
        <v>0</v>
      </c>
      <c r="T150" s="53"/>
      <c r="U150" s="53">
        <v>2365038</v>
      </c>
      <c r="V150" s="53"/>
      <c r="W150" s="53">
        <f t="shared" si="33"/>
        <v>4154488</v>
      </c>
      <c r="X150" s="51"/>
      <c r="Y150" s="51"/>
      <c r="Z150" s="35" t="s">
        <v>177</v>
      </c>
      <c r="AA150" s="53"/>
      <c r="AB150" s="35" t="s">
        <v>13</v>
      </c>
      <c r="AC150" s="51"/>
      <c r="AD150" s="53">
        <v>794025</v>
      </c>
      <c r="AE150" s="53"/>
      <c r="AF150" s="53">
        <f>729247-127346</f>
        <v>601901</v>
      </c>
      <c r="AG150" s="53"/>
      <c r="AH150" s="53">
        <v>127346</v>
      </c>
      <c r="AI150" s="53"/>
      <c r="AJ150" s="45">
        <f t="shared" si="30"/>
        <v>64778</v>
      </c>
      <c r="AK150" s="45"/>
      <c r="AL150" s="53">
        <v>-32455</v>
      </c>
      <c r="AM150" s="45"/>
      <c r="AN150" s="53">
        <v>0</v>
      </c>
      <c r="AO150" s="53"/>
      <c r="AP150" s="53">
        <v>0</v>
      </c>
      <c r="AQ150" s="53"/>
      <c r="AR150" s="53">
        <v>0</v>
      </c>
      <c r="AS150" s="53"/>
      <c r="AT150" s="45">
        <f t="shared" si="28"/>
        <v>32323</v>
      </c>
      <c r="AU150" s="45"/>
      <c r="AV150" s="53">
        <v>0</v>
      </c>
      <c r="AW150" s="53"/>
      <c r="AX150" s="53">
        <v>0</v>
      </c>
      <c r="AY150" s="53"/>
      <c r="AZ150" s="53">
        <f t="shared" si="29"/>
        <v>2286288</v>
      </c>
      <c r="BA150" s="51"/>
      <c r="BB150" s="35" t="s">
        <v>177</v>
      </c>
      <c r="BD150" s="35" t="s">
        <v>13</v>
      </c>
      <c r="BE150" s="53"/>
      <c r="BF150" s="53">
        <v>521339</v>
      </c>
      <c r="BG150" s="53"/>
      <c r="BH150" s="53">
        <v>0</v>
      </c>
      <c r="BI150" s="53"/>
      <c r="BJ150" s="53">
        <v>0</v>
      </c>
      <c r="BK150" s="53"/>
      <c r="BL150" s="53">
        <v>0</v>
      </c>
      <c r="BM150" s="53"/>
      <c r="BN150" s="53">
        <f t="shared" si="34"/>
        <v>521339</v>
      </c>
      <c r="BO150" s="54"/>
      <c r="BS150" s="55"/>
      <c r="BT150" s="55"/>
      <c r="BU150" s="84"/>
      <c r="BV150" s="55"/>
      <c r="BW150" s="55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55"/>
      <c r="CI150" s="55"/>
      <c r="CJ150" s="55"/>
      <c r="CK150" s="55"/>
      <c r="CL150" s="55"/>
      <c r="CM150" s="55"/>
      <c r="CN150" s="55"/>
      <c r="CO150" s="55"/>
      <c r="CP150" s="55"/>
      <c r="CQ150" s="55"/>
    </row>
    <row r="151" spans="1:95" s="35" customFormat="1" ht="12.75" customHeight="1">
      <c r="A151" s="35" t="s">
        <v>178</v>
      </c>
      <c r="B151" s="51"/>
      <c r="C151" s="35" t="s">
        <v>179</v>
      </c>
      <c r="D151" s="44"/>
      <c r="E151" s="53">
        <f t="shared" si="31"/>
        <v>1958690</v>
      </c>
      <c r="F151" s="53"/>
      <c r="G151" s="53">
        <v>8154478</v>
      </c>
      <c r="H151" s="53"/>
      <c r="I151" s="53">
        <v>10113168</v>
      </c>
      <c r="J151" s="53"/>
      <c r="K151" s="53">
        <f t="shared" si="32"/>
        <v>342077</v>
      </c>
      <c r="L151" s="53"/>
      <c r="M151" s="53">
        <v>5952844</v>
      </c>
      <c r="N151" s="53"/>
      <c r="O151" s="53">
        <v>6294921</v>
      </c>
      <c r="P151" s="53"/>
      <c r="Q151" s="53">
        <v>2000129</v>
      </c>
      <c r="R151" s="53"/>
      <c r="S151" s="53">
        <v>0</v>
      </c>
      <c r="T151" s="53"/>
      <c r="U151" s="53">
        <v>1818118</v>
      </c>
      <c r="V151" s="53"/>
      <c r="W151" s="53">
        <f t="shared" si="33"/>
        <v>3818247</v>
      </c>
      <c r="X151" s="51"/>
      <c r="Y151" s="51"/>
      <c r="Z151" s="35" t="s">
        <v>178</v>
      </c>
      <c r="AA151" s="53"/>
      <c r="AB151" s="35" t="s">
        <v>179</v>
      </c>
      <c r="AC151" s="51"/>
      <c r="AD151" s="53">
        <v>2438644</v>
      </c>
      <c r="AE151" s="53"/>
      <c r="AF151" s="53">
        <f>2096172-170542</f>
        <v>1925630</v>
      </c>
      <c r="AG151" s="53"/>
      <c r="AH151" s="53">
        <v>170542</v>
      </c>
      <c r="AI151" s="53"/>
      <c r="AJ151" s="45">
        <f t="shared" si="30"/>
        <v>342472</v>
      </c>
      <c r="AK151" s="45"/>
      <c r="AL151" s="53">
        <v>-17206</v>
      </c>
      <c r="AM151" s="45"/>
      <c r="AN151" s="53">
        <v>0</v>
      </c>
      <c r="AO151" s="53"/>
      <c r="AP151" s="53">
        <v>0</v>
      </c>
      <c r="AQ151" s="53"/>
      <c r="AR151" s="53">
        <v>0</v>
      </c>
      <c r="AS151" s="53"/>
      <c r="AT151" s="45">
        <f t="shared" si="28"/>
        <v>325266</v>
      </c>
      <c r="AU151" s="45"/>
      <c r="AV151" s="53">
        <v>0</v>
      </c>
      <c r="AW151" s="53"/>
      <c r="AX151" s="53">
        <v>0</v>
      </c>
      <c r="AY151" s="53"/>
      <c r="AZ151" s="53">
        <f t="shared" si="29"/>
        <v>1616613</v>
      </c>
      <c r="BA151" s="51"/>
      <c r="BB151" s="35" t="s">
        <v>178</v>
      </c>
      <c r="BD151" s="35" t="s">
        <v>179</v>
      </c>
      <c r="BE151" s="53"/>
      <c r="BF151" s="53">
        <v>5500000</v>
      </c>
      <c r="BG151" s="53"/>
      <c r="BH151" s="53">
        <v>84646</v>
      </c>
      <c r="BI151" s="53"/>
      <c r="BJ151" s="53">
        <f>666070+3039222+415824</f>
        <v>4121116</v>
      </c>
      <c r="BK151" s="53"/>
      <c r="BL151" s="53">
        <f>271851+277452</f>
        <v>549303</v>
      </c>
      <c r="BM151" s="53"/>
      <c r="BN151" s="53">
        <f t="shared" si="34"/>
        <v>10255065</v>
      </c>
      <c r="BO151" s="54"/>
      <c r="BS151" s="55"/>
      <c r="BT151" s="55"/>
      <c r="BU151" s="84"/>
      <c r="BV151" s="55"/>
      <c r="BW151" s="55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55"/>
      <c r="CI151" s="55"/>
      <c r="CJ151" s="55"/>
      <c r="CK151" s="55"/>
      <c r="CL151" s="55"/>
      <c r="CM151" s="55"/>
      <c r="CN151" s="55"/>
      <c r="CO151" s="55"/>
      <c r="CP151" s="55"/>
      <c r="CQ151" s="55"/>
    </row>
    <row r="152" spans="1:95" s="126" customFormat="1" ht="12.75" hidden="1" customHeight="1">
      <c r="A152" s="35" t="s">
        <v>180</v>
      </c>
      <c r="B152" s="51"/>
      <c r="C152" s="35" t="s">
        <v>20</v>
      </c>
      <c r="D152" s="44"/>
      <c r="E152" s="53">
        <f t="shared" si="31"/>
        <v>0</v>
      </c>
      <c r="F152" s="53"/>
      <c r="G152" s="53"/>
      <c r="H152" s="53"/>
      <c r="I152" s="53"/>
      <c r="J152" s="53"/>
      <c r="K152" s="53">
        <f t="shared" si="32"/>
        <v>0</v>
      </c>
      <c r="L152" s="53"/>
      <c r="M152" s="53"/>
      <c r="N152" s="53"/>
      <c r="O152" s="53"/>
      <c r="P152" s="53"/>
      <c r="Q152" s="53"/>
      <c r="R152" s="53"/>
      <c r="S152" s="53">
        <v>0</v>
      </c>
      <c r="T152" s="53"/>
      <c r="U152" s="53"/>
      <c r="V152" s="53"/>
      <c r="W152" s="53">
        <f t="shared" si="33"/>
        <v>0</v>
      </c>
      <c r="X152" s="51"/>
      <c r="Y152" s="51"/>
      <c r="Z152" s="35" t="s">
        <v>180</v>
      </c>
      <c r="AA152" s="53"/>
      <c r="AB152" s="35" t="s">
        <v>20</v>
      </c>
      <c r="AC152" s="51"/>
      <c r="AD152" s="53"/>
      <c r="AE152" s="53"/>
      <c r="AF152" s="53"/>
      <c r="AG152" s="53"/>
      <c r="AH152" s="53"/>
      <c r="AI152" s="53"/>
      <c r="AJ152" s="45">
        <f t="shared" si="30"/>
        <v>0</v>
      </c>
      <c r="AK152" s="45"/>
      <c r="AL152" s="53"/>
      <c r="AM152" s="45"/>
      <c r="AN152" s="53"/>
      <c r="AO152" s="53"/>
      <c r="AP152" s="53"/>
      <c r="AQ152" s="53"/>
      <c r="AR152" s="53"/>
      <c r="AS152" s="53"/>
      <c r="AT152" s="45">
        <f t="shared" si="28"/>
        <v>0</v>
      </c>
      <c r="AU152" s="45"/>
      <c r="AV152" s="53">
        <v>0</v>
      </c>
      <c r="AW152" s="53"/>
      <c r="AX152" s="53">
        <v>0</v>
      </c>
      <c r="AY152" s="53"/>
      <c r="AZ152" s="53">
        <f t="shared" si="29"/>
        <v>0</v>
      </c>
      <c r="BA152" s="51"/>
      <c r="BB152" s="35" t="s">
        <v>180</v>
      </c>
      <c r="BC152" s="35"/>
      <c r="BD152" s="35" t="s">
        <v>20</v>
      </c>
      <c r="BE152" s="53"/>
      <c r="BF152" s="53"/>
      <c r="BG152" s="53"/>
      <c r="BH152" s="53"/>
      <c r="BI152" s="53"/>
      <c r="BJ152" s="53"/>
      <c r="BK152" s="53"/>
      <c r="BL152" s="53"/>
      <c r="BM152" s="53"/>
      <c r="BN152" s="53">
        <f t="shared" si="34"/>
        <v>0</v>
      </c>
      <c r="BO152" s="142"/>
      <c r="BS152" s="143"/>
      <c r="BT152" s="143"/>
      <c r="BU152" s="144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</row>
    <row r="153" spans="1:95" s="35" customFormat="1" ht="12.75" customHeight="1">
      <c r="A153" s="35" t="s">
        <v>182</v>
      </c>
      <c r="C153" s="35" t="s">
        <v>183</v>
      </c>
      <c r="D153" s="44"/>
      <c r="E153" s="53">
        <f t="shared" si="31"/>
        <v>222933</v>
      </c>
      <c r="F153" s="53"/>
      <c r="G153" s="53">
        <f>108832+3405819</f>
        <v>3514651</v>
      </c>
      <c r="H153" s="53"/>
      <c r="I153" s="53">
        <v>3737584</v>
      </c>
      <c r="J153" s="53"/>
      <c r="K153" s="53">
        <f t="shared" si="32"/>
        <v>182648</v>
      </c>
      <c r="L153" s="53"/>
      <c r="M153" s="53">
        <f>13360+3015658</f>
        <v>3029018</v>
      </c>
      <c r="N153" s="53"/>
      <c r="O153" s="53">
        <v>3211666</v>
      </c>
      <c r="P153" s="53"/>
      <c r="Q153" s="53">
        <v>342837</v>
      </c>
      <c r="R153" s="53"/>
      <c r="S153" s="53">
        <v>0</v>
      </c>
      <c r="T153" s="53"/>
      <c r="U153" s="53">
        <v>183081</v>
      </c>
      <c r="V153" s="53"/>
      <c r="W153" s="53">
        <f t="shared" si="33"/>
        <v>525918</v>
      </c>
      <c r="X153" s="51"/>
      <c r="Y153" s="51"/>
      <c r="Z153" s="35" t="s">
        <v>182</v>
      </c>
      <c r="AA153" s="53"/>
      <c r="AB153" s="35" t="s">
        <v>183</v>
      </c>
      <c r="AC153" s="51"/>
      <c r="AD153" s="53">
        <v>584385</v>
      </c>
      <c r="AE153" s="53"/>
      <c r="AF153" s="53">
        <f>887375-409789</f>
        <v>477586</v>
      </c>
      <c r="AG153" s="53"/>
      <c r="AH153" s="53">
        <v>409789</v>
      </c>
      <c r="AI153" s="53"/>
      <c r="AJ153" s="45">
        <f t="shared" si="30"/>
        <v>-302990</v>
      </c>
      <c r="AK153" s="45"/>
      <c r="AL153" s="53">
        <v>-67070</v>
      </c>
      <c r="AM153" s="45"/>
      <c r="AN153" s="53">
        <v>1150</v>
      </c>
      <c r="AO153" s="53"/>
      <c r="AP153" s="53">
        <v>0</v>
      </c>
      <c r="AQ153" s="53"/>
      <c r="AR153" s="53">
        <v>0</v>
      </c>
      <c r="AS153" s="53"/>
      <c r="AT153" s="45">
        <f t="shared" si="28"/>
        <v>-368910</v>
      </c>
      <c r="AU153" s="45"/>
      <c r="AV153" s="53">
        <v>0</v>
      </c>
      <c r="AW153" s="53"/>
      <c r="AX153" s="53">
        <v>0</v>
      </c>
      <c r="AY153" s="53"/>
      <c r="AZ153" s="53">
        <f t="shared" si="29"/>
        <v>40285</v>
      </c>
      <c r="BA153" s="51"/>
      <c r="BB153" s="35" t="s">
        <v>182</v>
      </c>
      <c r="BD153" s="35" t="s">
        <v>183</v>
      </c>
      <c r="BE153" s="53"/>
      <c r="BF153" s="53">
        <v>0</v>
      </c>
      <c r="BG153" s="53"/>
      <c r="BH153" s="53">
        <v>0</v>
      </c>
      <c r="BI153" s="53"/>
      <c r="BJ153" s="53">
        <v>3171814</v>
      </c>
      <c r="BK153" s="53"/>
      <c r="BL153" s="53">
        <v>53611</v>
      </c>
      <c r="BM153" s="53"/>
      <c r="BN153" s="53">
        <f t="shared" si="34"/>
        <v>3225425</v>
      </c>
      <c r="BO153" s="54"/>
      <c r="BS153" s="55"/>
      <c r="BT153" s="55"/>
      <c r="BU153" s="84"/>
      <c r="BV153" s="55"/>
      <c r="BW153" s="55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55"/>
      <c r="CI153" s="55"/>
      <c r="CJ153" s="55"/>
      <c r="CK153" s="55"/>
      <c r="CL153" s="55"/>
      <c r="CM153" s="55"/>
      <c r="CN153" s="55"/>
      <c r="CO153" s="55"/>
      <c r="CP153" s="55"/>
      <c r="CQ153" s="55"/>
    </row>
    <row r="154" spans="1:95" s="35" customFormat="1" ht="12.75" customHeight="1">
      <c r="A154" s="35" t="s">
        <v>184</v>
      </c>
      <c r="B154" s="51"/>
      <c r="C154" s="35" t="s">
        <v>89</v>
      </c>
      <c r="D154" s="44"/>
      <c r="E154" s="53">
        <f t="shared" si="31"/>
        <v>1160174</v>
      </c>
      <c r="F154" s="53"/>
      <c r="G154" s="53">
        <v>10940315</v>
      </c>
      <c r="H154" s="53"/>
      <c r="I154" s="53">
        <v>12100489</v>
      </c>
      <c r="J154" s="53"/>
      <c r="K154" s="53">
        <f t="shared" si="32"/>
        <v>182385</v>
      </c>
      <c r="L154" s="53"/>
      <c r="M154" s="53">
        <v>174055</v>
      </c>
      <c r="N154" s="53"/>
      <c r="O154" s="53">
        <v>356440</v>
      </c>
      <c r="P154" s="53"/>
      <c r="Q154" s="53">
        <v>10857815</v>
      </c>
      <c r="R154" s="53"/>
      <c r="S154" s="53">
        <v>0</v>
      </c>
      <c r="T154" s="53"/>
      <c r="U154" s="53">
        <v>886234</v>
      </c>
      <c r="V154" s="53"/>
      <c r="W154" s="53">
        <f t="shared" si="33"/>
        <v>11744049</v>
      </c>
      <c r="X154" s="51"/>
      <c r="Y154" s="51"/>
      <c r="Z154" s="35" t="s">
        <v>184</v>
      </c>
      <c r="AA154" s="53"/>
      <c r="AB154" s="35" t="s">
        <v>89</v>
      </c>
      <c r="AC154" s="51"/>
      <c r="AD154" s="53">
        <v>2148585</v>
      </c>
      <c r="AE154" s="53"/>
      <c r="AF154" s="53">
        <f>2262918-464868</f>
        <v>1798050</v>
      </c>
      <c r="AG154" s="53"/>
      <c r="AH154" s="53">
        <v>464868</v>
      </c>
      <c r="AI154" s="53"/>
      <c r="AJ154" s="45">
        <f t="shared" si="30"/>
        <v>-114333</v>
      </c>
      <c r="AK154" s="45"/>
      <c r="AL154" s="53">
        <v>40000</v>
      </c>
      <c r="AM154" s="45"/>
      <c r="AN154" s="53">
        <v>0</v>
      </c>
      <c r="AO154" s="53"/>
      <c r="AP154" s="53">
        <v>0</v>
      </c>
      <c r="AQ154" s="53"/>
      <c r="AR154" s="53">
        <v>431909</v>
      </c>
      <c r="AS154" s="53"/>
      <c r="AT154" s="45">
        <f t="shared" si="28"/>
        <v>357576</v>
      </c>
      <c r="AU154" s="45"/>
      <c r="AV154" s="53">
        <v>0</v>
      </c>
      <c r="AW154" s="53"/>
      <c r="AX154" s="53">
        <v>0</v>
      </c>
      <c r="AY154" s="53"/>
      <c r="AZ154" s="53">
        <f t="shared" si="29"/>
        <v>977789</v>
      </c>
      <c r="BA154" s="51"/>
      <c r="BB154" s="35" t="s">
        <v>184</v>
      </c>
      <c r="BD154" s="35" t="s">
        <v>89</v>
      </c>
      <c r="BE154" s="53"/>
      <c r="BF154" s="53">
        <v>0</v>
      </c>
      <c r="BG154" s="53"/>
      <c r="BH154" s="53">
        <v>0</v>
      </c>
      <c r="BI154" s="53"/>
      <c r="BJ154" s="53">
        <f>6203330+1234350+705474</f>
        <v>8143154</v>
      </c>
      <c r="BK154" s="53"/>
      <c r="BL154" s="53">
        <f>166271+196953</f>
        <v>363224</v>
      </c>
      <c r="BM154" s="53"/>
      <c r="BN154" s="53">
        <f t="shared" si="34"/>
        <v>8506378</v>
      </c>
      <c r="BO154" s="54"/>
      <c r="BS154" s="55"/>
      <c r="BT154" s="55"/>
      <c r="BU154" s="84"/>
      <c r="BV154" s="55"/>
      <c r="BW154" s="55"/>
      <c r="BX154" s="55"/>
      <c r="BY154" s="55"/>
      <c r="BZ154" s="55"/>
      <c r="CA154" s="55"/>
      <c r="CB154" s="55"/>
      <c r="CC154" s="55"/>
      <c r="CD154" s="55"/>
      <c r="CE154" s="55"/>
      <c r="CF154" s="55"/>
      <c r="CG154" s="55"/>
      <c r="CH154" s="55"/>
      <c r="CI154" s="55"/>
      <c r="CJ154" s="55"/>
      <c r="CK154" s="55"/>
      <c r="CL154" s="55"/>
      <c r="CM154" s="55"/>
      <c r="CN154" s="55"/>
      <c r="CO154" s="55"/>
      <c r="CP154" s="55"/>
      <c r="CQ154" s="55"/>
    </row>
    <row r="155" spans="1:95" s="35" customFormat="1" ht="12.75" customHeight="1">
      <c r="A155" s="35" t="s">
        <v>181</v>
      </c>
      <c r="B155" s="51"/>
      <c r="C155" s="35" t="s">
        <v>125</v>
      </c>
      <c r="D155" s="44"/>
      <c r="E155" s="53">
        <f t="shared" si="31"/>
        <v>3092953</v>
      </c>
      <c r="F155" s="53"/>
      <c r="G155" s="53">
        <v>20530751</v>
      </c>
      <c r="H155" s="53"/>
      <c r="I155" s="53">
        <v>23623704</v>
      </c>
      <c r="J155" s="53"/>
      <c r="K155" s="53">
        <f t="shared" si="32"/>
        <v>2053912</v>
      </c>
      <c r="L155" s="53"/>
      <c r="M155" s="53">
        <v>6004305</v>
      </c>
      <c r="N155" s="53"/>
      <c r="O155" s="53">
        <v>8058217</v>
      </c>
      <c r="P155" s="53"/>
      <c r="Q155" s="53">
        <v>12730733</v>
      </c>
      <c r="R155" s="53"/>
      <c r="S155" s="53">
        <v>0</v>
      </c>
      <c r="T155" s="53"/>
      <c r="U155" s="53">
        <v>2834754</v>
      </c>
      <c r="V155" s="53"/>
      <c r="W155" s="53">
        <f t="shared" si="33"/>
        <v>15565487</v>
      </c>
      <c r="X155" s="51"/>
      <c r="Y155" s="51"/>
      <c r="Z155" s="35" t="s">
        <v>181</v>
      </c>
      <c r="AA155" s="53"/>
      <c r="AB155" s="35" t="s">
        <v>125</v>
      </c>
      <c r="AC155" s="51"/>
      <c r="AD155" s="53">
        <v>5998709</v>
      </c>
      <c r="AE155" s="53"/>
      <c r="AF155" s="53">
        <f>6491991-854243</f>
        <v>5637748</v>
      </c>
      <c r="AG155" s="53"/>
      <c r="AH155" s="53">
        <v>854243</v>
      </c>
      <c r="AI155" s="53"/>
      <c r="AJ155" s="45">
        <f t="shared" si="30"/>
        <v>-493282</v>
      </c>
      <c r="AK155" s="45"/>
      <c r="AL155" s="53">
        <v>-166175</v>
      </c>
      <c r="AM155" s="45"/>
      <c r="AN155" s="53">
        <v>946338</v>
      </c>
      <c r="AO155" s="53"/>
      <c r="AP155" s="53">
        <v>-136000</v>
      </c>
      <c r="AQ155" s="53"/>
      <c r="AR155" s="53">
        <v>0</v>
      </c>
      <c r="AS155" s="53"/>
      <c r="AT155" s="45">
        <f t="shared" si="28"/>
        <v>422881</v>
      </c>
      <c r="AU155" s="45"/>
      <c r="AV155" s="53">
        <v>0</v>
      </c>
      <c r="AW155" s="53"/>
      <c r="AX155" s="53">
        <v>0</v>
      </c>
      <c r="AY155" s="53"/>
      <c r="AZ155" s="53">
        <f t="shared" si="29"/>
        <v>1039041</v>
      </c>
      <c r="BA155" s="51"/>
      <c r="BB155" s="35" t="s">
        <v>181</v>
      </c>
      <c r="BD155" s="35" t="s">
        <v>125</v>
      </c>
      <c r="BE155" s="53"/>
      <c r="BF155" s="53">
        <v>6925411</v>
      </c>
      <c r="BG155" s="53"/>
      <c r="BH155" s="53">
        <v>0</v>
      </c>
      <c r="BI155" s="53"/>
      <c r="BJ155" s="53">
        <f>15365+4016849</f>
        <v>4032214</v>
      </c>
      <c r="BK155" s="53"/>
      <c r="BL155" s="53">
        <f>526007+398080+655182</f>
        <v>1579269</v>
      </c>
      <c r="BM155" s="53"/>
      <c r="BN155" s="53">
        <f t="shared" ref="BN155" si="35">SUM(BF155:BL155)</f>
        <v>12536894</v>
      </c>
      <c r="BO155" s="54"/>
      <c r="BP155" s="55"/>
      <c r="BS155" s="55"/>
      <c r="BT155" s="55"/>
      <c r="BU155" s="84"/>
      <c r="BV155" s="55"/>
      <c r="BW155" s="55"/>
      <c r="BX155" s="55"/>
      <c r="BY155" s="55"/>
      <c r="BZ155" s="55"/>
      <c r="CA155" s="55"/>
      <c r="CB155" s="55"/>
      <c r="CC155" s="55"/>
      <c r="CD155" s="55"/>
      <c r="CE155" s="55"/>
      <c r="CF155" s="55"/>
      <c r="CG155" s="55"/>
      <c r="CH155" s="55"/>
      <c r="CI155" s="55"/>
      <c r="CJ155" s="55"/>
      <c r="CK155" s="55"/>
      <c r="CL155" s="55"/>
      <c r="CM155" s="55"/>
      <c r="CN155" s="55"/>
      <c r="CO155" s="55"/>
      <c r="CP155" s="55"/>
      <c r="CQ155" s="55"/>
    </row>
    <row r="156" spans="1:95" s="35" customFormat="1" ht="12.75" customHeight="1">
      <c r="A156" s="35" t="s">
        <v>185</v>
      </c>
      <c r="C156" s="35" t="s">
        <v>80</v>
      </c>
      <c r="D156" s="44"/>
      <c r="E156" s="53">
        <f t="shared" si="31"/>
        <v>1556702</v>
      </c>
      <c r="F156" s="53"/>
      <c r="G156" s="53">
        <v>917878</v>
      </c>
      <c r="H156" s="53"/>
      <c r="I156" s="53">
        <v>2474580</v>
      </c>
      <c r="J156" s="53"/>
      <c r="K156" s="53">
        <f t="shared" si="32"/>
        <v>1927232</v>
      </c>
      <c r="L156" s="53"/>
      <c r="M156" s="53">
        <v>870881</v>
      </c>
      <c r="N156" s="53"/>
      <c r="O156" s="53">
        <v>2798113</v>
      </c>
      <c r="P156" s="53"/>
      <c r="Q156" s="53">
        <v>0</v>
      </c>
      <c r="R156" s="53"/>
      <c r="S156" s="53">
        <v>0</v>
      </c>
      <c r="T156" s="53"/>
      <c r="U156" s="53">
        <v>-323533</v>
      </c>
      <c r="V156" s="53"/>
      <c r="W156" s="53">
        <f t="shared" si="33"/>
        <v>-323533</v>
      </c>
      <c r="Z156" s="35" t="s">
        <v>185</v>
      </c>
      <c r="AA156" s="53"/>
      <c r="AB156" s="35" t="s">
        <v>80</v>
      </c>
      <c r="AD156" s="53">
        <v>5088842</v>
      </c>
      <c r="AE156" s="53"/>
      <c r="AF156" s="53">
        <f>4977392-80241</f>
        <v>4897151</v>
      </c>
      <c r="AG156" s="53"/>
      <c r="AH156" s="53">
        <v>80241</v>
      </c>
      <c r="AI156" s="53"/>
      <c r="AJ156" s="45">
        <f t="shared" si="30"/>
        <v>111450</v>
      </c>
      <c r="AK156" s="45"/>
      <c r="AL156" s="53">
        <v>-295109</v>
      </c>
      <c r="AM156" s="45"/>
      <c r="AN156" s="53">
        <v>0</v>
      </c>
      <c r="AO156" s="53"/>
      <c r="AP156" s="53">
        <v>0</v>
      </c>
      <c r="AQ156" s="53"/>
      <c r="AR156" s="53">
        <v>0</v>
      </c>
      <c r="AS156" s="53"/>
      <c r="AT156" s="45">
        <f t="shared" si="28"/>
        <v>-183659</v>
      </c>
      <c r="AU156" s="45"/>
      <c r="AV156" s="53">
        <v>0</v>
      </c>
      <c r="AW156" s="53"/>
      <c r="AX156" s="53">
        <v>0</v>
      </c>
      <c r="AY156" s="53"/>
      <c r="AZ156" s="53">
        <f t="shared" si="29"/>
        <v>-370530</v>
      </c>
      <c r="BA156" s="51"/>
      <c r="BB156" s="35" t="s">
        <v>185</v>
      </c>
      <c r="BD156" s="35" t="s">
        <v>80</v>
      </c>
      <c r="BE156" s="53"/>
      <c r="BF156" s="53">
        <v>0</v>
      </c>
      <c r="BG156" s="53"/>
      <c r="BH156" s="53">
        <v>0</v>
      </c>
      <c r="BI156" s="53"/>
      <c r="BJ156" s="53">
        <v>2190082</v>
      </c>
      <c r="BK156" s="53"/>
      <c r="BL156" s="53">
        <v>466141</v>
      </c>
      <c r="BM156" s="53"/>
      <c r="BN156" s="53">
        <f t="shared" si="34"/>
        <v>2656223</v>
      </c>
      <c r="BO156" s="54"/>
      <c r="BP156" s="55"/>
      <c r="BS156" s="55"/>
      <c r="BT156" s="55"/>
      <c r="BU156" s="84"/>
      <c r="BV156" s="55"/>
      <c r="BW156" s="55"/>
      <c r="BX156" s="55"/>
      <c r="BY156" s="55"/>
      <c r="BZ156" s="55"/>
      <c r="CA156" s="55"/>
      <c r="CB156" s="55"/>
      <c r="CC156" s="55"/>
      <c r="CD156" s="55"/>
      <c r="CE156" s="55"/>
      <c r="CF156" s="55"/>
      <c r="CG156" s="55"/>
      <c r="CH156" s="55"/>
      <c r="CI156" s="55"/>
      <c r="CJ156" s="55"/>
      <c r="CK156" s="55"/>
      <c r="CL156" s="55"/>
      <c r="CM156" s="55"/>
      <c r="CN156" s="55"/>
      <c r="CO156" s="55"/>
      <c r="CP156" s="55"/>
      <c r="CQ156" s="55"/>
    </row>
    <row r="157" spans="1:95" s="35" customFormat="1" ht="12.75" customHeight="1">
      <c r="A157" s="35" t="s">
        <v>186</v>
      </c>
      <c r="B157" s="51"/>
      <c r="C157" s="35" t="s">
        <v>15</v>
      </c>
      <c r="D157" s="44"/>
      <c r="E157" s="53">
        <f t="shared" si="31"/>
        <v>3624788</v>
      </c>
      <c r="F157" s="53"/>
      <c r="G157" s="53">
        <v>34221295</v>
      </c>
      <c r="H157" s="53"/>
      <c r="I157" s="53">
        <v>37846083</v>
      </c>
      <c r="J157" s="53"/>
      <c r="K157" s="53">
        <f t="shared" si="32"/>
        <v>1156470</v>
      </c>
      <c r="L157" s="53"/>
      <c r="M157" s="53">
        <v>15002649</v>
      </c>
      <c r="N157" s="53"/>
      <c r="O157" s="53">
        <v>16159119</v>
      </c>
      <c r="P157" s="53"/>
      <c r="Q157" s="53">
        <v>18424167</v>
      </c>
      <c r="R157" s="53"/>
      <c r="S157" s="53">
        <v>0</v>
      </c>
      <c r="T157" s="53"/>
      <c r="U157" s="53">
        <v>3262797</v>
      </c>
      <c r="V157" s="53"/>
      <c r="W157" s="53">
        <f t="shared" si="33"/>
        <v>21686964</v>
      </c>
      <c r="X157" s="51"/>
      <c r="Y157" s="51"/>
      <c r="Z157" s="35" t="s">
        <v>186</v>
      </c>
      <c r="AA157" s="53"/>
      <c r="AB157" s="35" t="s">
        <v>15</v>
      </c>
      <c r="AC157" s="51"/>
      <c r="AD157" s="53">
        <v>5949012</v>
      </c>
      <c r="AE157" s="53"/>
      <c r="AF157" s="53">
        <f>4519573-1572677</f>
        <v>2946896</v>
      </c>
      <c r="AG157" s="53"/>
      <c r="AH157" s="53">
        <v>1572677</v>
      </c>
      <c r="AI157" s="53"/>
      <c r="AJ157" s="45">
        <f t="shared" si="30"/>
        <v>1429439</v>
      </c>
      <c r="AK157" s="45"/>
      <c r="AL157" s="53">
        <v>-388393</v>
      </c>
      <c r="AM157" s="45"/>
      <c r="AN157" s="53">
        <v>0</v>
      </c>
      <c r="AO157" s="53"/>
      <c r="AP157" s="53">
        <v>110261</v>
      </c>
      <c r="AQ157" s="53"/>
      <c r="AR157" s="53">
        <v>0</v>
      </c>
      <c r="AS157" s="53"/>
      <c r="AT157" s="45">
        <f t="shared" si="28"/>
        <v>930785</v>
      </c>
      <c r="AU157" s="45"/>
      <c r="AV157" s="53">
        <v>0</v>
      </c>
      <c r="AW157" s="53"/>
      <c r="AX157" s="53">
        <v>0</v>
      </c>
      <c r="AY157" s="53"/>
      <c r="AZ157" s="53">
        <f t="shared" si="29"/>
        <v>2468318</v>
      </c>
      <c r="BA157" s="51"/>
      <c r="BB157" s="35" t="s">
        <v>186</v>
      </c>
      <c r="BD157" s="35" t="s">
        <v>15</v>
      </c>
      <c r="BE157" s="53"/>
      <c r="BF157" s="53">
        <v>4145000</v>
      </c>
      <c r="BG157" s="53"/>
      <c r="BH157" s="53">
        <v>0</v>
      </c>
      <c r="BI157" s="53"/>
      <c r="BJ157" s="53">
        <f>10263181+1388947</f>
        <v>11652128</v>
      </c>
      <c r="BK157" s="53"/>
      <c r="BL157" s="53">
        <v>0</v>
      </c>
      <c r="BM157" s="53"/>
      <c r="BN157" s="53">
        <f t="shared" si="34"/>
        <v>15797128</v>
      </c>
      <c r="BO157" s="54"/>
      <c r="BS157" s="55"/>
      <c r="BT157" s="55"/>
      <c r="BU157" s="84"/>
      <c r="BV157" s="55"/>
      <c r="BW157" s="55"/>
      <c r="BX157" s="55"/>
      <c r="BY157" s="55"/>
      <c r="BZ157" s="55"/>
      <c r="CA157" s="55"/>
      <c r="CB157" s="55"/>
      <c r="CC157" s="55"/>
      <c r="CD157" s="55"/>
      <c r="CE157" s="55"/>
      <c r="CF157" s="55"/>
      <c r="CG157" s="55"/>
      <c r="CH157" s="55"/>
      <c r="CI157" s="55"/>
      <c r="CJ157" s="55"/>
      <c r="CK157" s="55"/>
      <c r="CL157" s="55"/>
      <c r="CM157" s="55"/>
      <c r="CN157" s="55"/>
      <c r="CO157" s="55"/>
      <c r="CP157" s="55"/>
      <c r="CQ157" s="55"/>
    </row>
    <row r="158" spans="1:95" s="126" customFormat="1" ht="12.75" hidden="1" customHeight="1">
      <c r="A158" s="35" t="s">
        <v>187</v>
      </c>
      <c r="B158" s="51"/>
      <c r="C158" s="35" t="s">
        <v>27</v>
      </c>
      <c r="D158" s="44"/>
      <c r="E158" s="79">
        <f t="shared" si="31"/>
        <v>0</v>
      </c>
      <c r="F158" s="79"/>
      <c r="G158" s="79"/>
      <c r="H158" s="79"/>
      <c r="I158" s="79"/>
      <c r="J158" s="79"/>
      <c r="K158" s="79">
        <f t="shared" si="32"/>
        <v>0</v>
      </c>
      <c r="L158" s="79"/>
      <c r="M158" s="79"/>
      <c r="N158" s="79"/>
      <c r="O158" s="79"/>
      <c r="P158" s="79"/>
      <c r="Q158" s="79"/>
      <c r="R158" s="79"/>
      <c r="S158" s="79">
        <v>0</v>
      </c>
      <c r="T158" s="79"/>
      <c r="U158" s="79"/>
      <c r="V158" s="79"/>
      <c r="W158" s="79">
        <f t="shared" si="33"/>
        <v>0</v>
      </c>
      <c r="X158" s="51"/>
      <c r="Y158" s="51"/>
      <c r="Z158" s="35" t="s">
        <v>187</v>
      </c>
      <c r="AA158" s="53"/>
      <c r="AB158" s="35" t="s">
        <v>27</v>
      </c>
      <c r="AC158" s="51"/>
      <c r="AD158" s="79"/>
      <c r="AE158" s="79"/>
      <c r="AF158" s="79"/>
      <c r="AG158" s="79"/>
      <c r="AH158" s="79"/>
      <c r="AI158" s="79"/>
      <c r="AJ158" s="94">
        <f t="shared" si="30"/>
        <v>0</v>
      </c>
      <c r="AK158" s="94"/>
      <c r="AL158" s="79"/>
      <c r="AM158" s="94"/>
      <c r="AN158" s="79"/>
      <c r="AO158" s="79"/>
      <c r="AP158" s="79"/>
      <c r="AQ158" s="79"/>
      <c r="AR158" s="79"/>
      <c r="AS158" s="79"/>
      <c r="AT158" s="94">
        <f t="shared" si="28"/>
        <v>0</v>
      </c>
      <c r="AU158" s="94"/>
      <c r="AV158" s="79">
        <v>0</v>
      </c>
      <c r="AW158" s="79"/>
      <c r="AX158" s="79">
        <v>0</v>
      </c>
      <c r="AY158" s="79"/>
      <c r="AZ158" s="79">
        <f t="shared" si="29"/>
        <v>0</v>
      </c>
      <c r="BA158" s="51"/>
      <c r="BB158" s="35" t="s">
        <v>187</v>
      </c>
      <c r="BC158" s="35"/>
      <c r="BD158" s="35" t="s">
        <v>27</v>
      </c>
      <c r="BE158" s="53"/>
      <c r="BF158" s="79"/>
      <c r="BG158" s="79"/>
      <c r="BH158" s="79"/>
      <c r="BI158" s="79"/>
      <c r="BJ158" s="79"/>
      <c r="BK158" s="79"/>
      <c r="BL158" s="79"/>
      <c r="BM158" s="79"/>
      <c r="BN158" s="79">
        <f t="shared" si="34"/>
        <v>0</v>
      </c>
      <c r="BO158" s="142"/>
      <c r="BS158" s="143"/>
      <c r="BT158" s="143"/>
      <c r="BU158" s="144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</row>
    <row r="159" spans="1:95" s="35" customFormat="1" ht="12.75" customHeight="1">
      <c r="A159" s="44" t="s">
        <v>189</v>
      </c>
      <c r="B159" s="51"/>
      <c r="C159" s="44" t="s">
        <v>17</v>
      </c>
      <c r="D159" s="44"/>
      <c r="E159" s="53">
        <f t="shared" si="31"/>
        <v>6779356</v>
      </c>
      <c r="F159" s="53"/>
      <c r="G159" s="53">
        <v>19963150</v>
      </c>
      <c r="H159" s="53"/>
      <c r="I159" s="53">
        <v>26742506</v>
      </c>
      <c r="J159" s="53"/>
      <c r="K159" s="53">
        <f t="shared" si="32"/>
        <v>1552553</v>
      </c>
      <c r="L159" s="53"/>
      <c r="M159" s="53">
        <v>7117549</v>
      </c>
      <c r="N159" s="53"/>
      <c r="O159" s="53">
        <v>8670102</v>
      </c>
      <c r="P159" s="53"/>
      <c r="Q159" s="53">
        <v>15524373</v>
      </c>
      <c r="R159" s="53"/>
      <c r="S159" s="53">
        <v>0</v>
      </c>
      <c r="T159" s="53"/>
      <c r="U159" s="53">
        <v>2548031</v>
      </c>
      <c r="V159" s="53"/>
      <c r="W159" s="53">
        <f t="shared" si="33"/>
        <v>18072404</v>
      </c>
      <c r="X159" s="51"/>
      <c r="Y159" s="51"/>
      <c r="Z159" s="44" t="s">
        <v>189</v>
      </c>
      <c r="AA159" s="53"/>
      <c r="AB159" s="44" t="s">
        <v>17</v>
      </c>
      <c r="AC159" s="51"/>
      <c r="AD159" s="53">
        <v>2876563</v>
      </c>
      <c r="AE159" s="53"/>
      <c r="AF159" s="53">
        <f>3351471-526285</f>
        <v>2825186</v>
      </c>
      <c r="AG159" s="53"/>
      <c r="AH159" s="53">
        <v>526285</v>
      </c>
      <c r="AI159" s="53"/>
      <c r="AJ159" s="45">
        <f t="shared" si="30"/>
        <v>-474908</v>
      </c>
      <c r="AK159" s="45"/>
      <c r="AL159" s="53">
        <v>-156024</v>
      </c>
      <c r="AM159" s="45"/>
      <c r="AN159" s="53">
        <v>0</v>
      </c>
      <c r="AO159" s="53"/>
      <c r="AP159" s="53">
        <v>0</v>
      </c>
      <c r="AQ159" s="53"/>
      <c r="AR159" s="53">
        <v>612028</v>
      </c>
      <c r="AS159" s="53"/>
      <c r="AT159" s="45">
        <f t="shared" si="28"/>
        <v>-18904</v>
      </c>
      <c r="AU159" s="45"/>
      <c r="AV159" s="53">
        <v>0</v>
      </c>
      <c r="AW159" s="53"/>
      <c r="AX159" s="53">
        <v>0</v>
      </c>
      <c r="AY159" s="53"/>
      <c r="AZ159" s="53">
        <f t="shared" si="29"/>
        <v>5226803</v>
      </c>
      <c r="BA159" s="51"/>
      <c r="BB159" s="44" t="s">
        <v>189</v>
      </c>
      <c r="BD159" s="44" t="s">
        <v>17</v>
      </c>
      <c r="BE159" s="53"/>
      <c r="BF159" s="53">
        <f>1225000+3500000+8210000+620000</f>
        <v>13555000</v>
      </c>
      <c r="BG159" s="53"/>
      <c r="BH159" s="53">
        <v>2335000</v>
      </c>
      <c r="BI159" s="53"/>
      <c r="BJ159" s="53">
        <f>97184+2161777+563900</f>
        <v>2822861</v>
      </c>
      <c r="BK159" s="53"/>
      <c r="BL159" s="53">
        <v>0</v>
      </c>
      <c r="BM159" s="53"/>
      <c r="BN159" s="53">
        <f t="shared" si="34"/>
        <v>18712861</v>
      </c>
      <c r="BO159" s="54"/>
      <c r="BS159" s="55"/>
      <c r="BT159" s="55"/>
      <c r="BU159" s="84"/>
      <c r="BV159" s="55"/>
      <c r="BW159" s="55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55"/>
      <c r="CI159" s="55"/>
      <c r="CJ159" s="55"/>
      <c r="CK159" s="55"/>
      <c r="CL159" s="55"/>
      <c r="CM159" s="55"/>
      <c r="CN159" s="55"/>
      <c r="CO159" s="55"/>
      <c r="CP159" s="55"/>
      <c r="CQ159" s="55"/>
    </row>
    <row r="160" spans="1:95" s="35" customFormat="1" ht="12.75" customHeight="1">
      <c r="A160" s="35" t="s">
        <v>188</v>
      </c>
      <c r="B160" s="51"/>
      <c r="C160" s="35" t="s">
        <v>27</v>
      </c>
      <c r="D160" s="44"/>
      <c r="E160" s="53">
        <f t="shared" si="31"/>
        <v>3404312</v>
      </c>
      <c r="F160" s="53"/>
      <c r="G160" s="53">
        <v>32518015</v>
      </c>
      <c r="H160" s="53"/>
      <c r="I160" s="53">
        <v>35922327</v>
      </c>
      <c r="J160" s="53"/>
      <c r="K160" s="53">
        <v>2326991</v>
      </c>
      <c r="L160" s="53"/>
      <c r="M160" s="53">
        <v>11808559</v>
      </c>
      <c r="N160" s="53"/>
      <c r="O160" s="53">
        <v>14135550</v>
      </c>
      <c r="P160" s="53"/>
      <c r="Q160" s="53">
        <v>18944215</v>
      </c>
      <c r="R160" s="53"/>
      <c r="S160" s="53">
        <v>0</v>
      </c>
      <c r="T160" s="53"/>
      <c r="U160" s="53">
        <v>2842562</v>
      </c>
      <c r="V160" s="53"/>
      <c r="W160" s="53">
        <f t="shared" si="33"/>
        <v>21786777</v>
      </c>
      <c r="X160" s="51"/>
      <c r="Y160" s="51"/>
      <c r="Z160" s="35" t="s">
        <v>188</v>
      </c>
      <c r="AA160" s="53"/>
      <c r="AB160" s="35" t="s">
        <v>27</v>
      </c>
      <c r="AC160" s="51"/>
      <c r="AD160" s="53">
        <v>5157987</v>
      </c>
      <c r="AE160" s="53"/>
      <c r="AF160" s="53">
        <f>4667155-1168962</f>
        <v>3498193</v>
      </c>
      <c r="AG160" s="53"/>
      <c r="AH160" s="53">
        <v>1168962</v>
      </c>
      <c r="AI160" s="53"/>
      <c r="AJ160" s="45">
        <f t="shared" si="30"/>
        <v>490832</v>
      </c>
      <c r="AK160" s="45"/>
      <c r="AL160" s="53">
        <v>-144453</v>
      </c>
      <c r="AM160" s="45"/>
      <c r="AN160" s="53">
        <v>23668</v>
      </c>
      <c r="AO160" s="53"/>
      <c r="AP160" s="53">
        <v>0</v>
      </c>
      <c r="AQ160" s="53"/>
      <c r="AR160" s="53">
        <v>243333</v>
      </c>
      <c r="AS160" s="53"/>
      <c r="AT160" s="45">
        <f t="shared" si="28"/>
        <v>613380</v>
      </c>
      <c r="AU160" s="45"/>
      <c r="AV160" s="53">
        <v>0</v>
      </c>
      <c r="AW160" s="53"/>
      <c r="AX160" s="53">
        <v>0</v>
      </c>
      <c r="AY160" s="53"/>
      <c r="AZ160" s="53">
        <f t="shared" si="29"/>
        <v>1077321</v>
      </c>
      <c r="BA160" s="51"/>
      <c r="BB160" s="35" t="s">
        <v>188</v>
      </c>
      <c r="BD160" s="35" t="s">
        <v>27</v>
      </c>
      <c r="BE160" s="53"/>
      <c r="BF160" s="53">
        <v>0</v>
      </c>
      <c r="BG160" s="53"/>
      <c r="BH160" s="53">
        <v>0</v>
      </c>
      <c r="BI160" s="53"/>
      <c r="BJ160" s="53">
        <v>13035471</v>
      </c>
      <c r="BK160" s="53"/>
      <c r="BL160" s="53">
        <v>785756</v>
      </c>
      <c r="BM160" s="53"/>
      <c r="BN160" s="53">
        <f t="shared" si="34"/>
        <v>13821227</v>
      </c>
      <c r="BO160" s="54"/>
      <c r="BS160" s="55"/>
      <c r="BT160" s="55"/>
      <c r="BU160" s="84"/>
      <c r="BV160" s="55"/>
      <c r="BW160" s="55"/>
      <c r="BX160" s="55"/>
      <c r="BY160" s="55"/>
      <c r="BZ160" s="55"/>
      <c r="CA160" s="55"/>
      <c r="CB160" s="55"/>
      <c r="CC160" s="55"/>
      <c r="CD160" s="55"/>
      <c r="CE160" s="55"/>
      <c r="CF160" s="55"/>
      <c r="CG160" s="55"/>
      <c r="CH160" s="55"/>
      <c r="CI160" s="55"/>
      <c r="CJ160" s="55"/>
      <c r="CK160" s="55"/>
      <c r="CL160" s="55"/>
      <c r="CM160" s="55"/>
      <c r="CN160" s="55"/>
      <c r="CO160" s="55"/>
      <c r="CP160" s="55"/>
      <c r="CQ160" s="55"/>
    </row>
    <row r="161" spans="1:95" s="126" customFormat="1" ht="12.75" hidden="1" customHeight="1">
      <c r="A161" s="35" t="s">
        <v>190</v>
      </c>
      <c r="B161" s="51"/>
      <c r="C161" s="35" t="s">
        <v>47</v>
      </c>
      <c r="D161" s="44"/>
      <c r="E161" s="53">
        <f t="shared" si="31"/>
        <v>0</v>
      </c>
      <c r="F161" s="53"/>
      <c r="G161" s="53"/>
      <c r="H161" s="53"/>
      <c r="I161" s="53"/>
      <c r="J161" s="53"/>
      <c r="K161" s="53">
        <f t="shared" si="32"/>
        <v>0</v>
      </c>
      <c r="L161" s="53"/>
      <c r="M161" s="53"/>
      <c r="N161" s="53"/>
      <c r="O161" s="53"/>
      <c r="P161" s="53"/>
      <c r="Q161" s="53"/>
      <c r="R161" s="53"/>
      <c r="S161" s="53">
        <v>0</v>
      </c>
      <c r="T161" s="53"/>
      <c r="U161" s="53"/>
      <c r="V161" s="53"/>
      <c r="W161" s="53">
        <f t="shared" si="33"/>
        <v>0</v>
      </c>
      <c r="X161" s="51"/>
      <c r="Y161" s="51"/>
      <c r="Z161" s="35" t="s">
        <v>190</v>
      </c>
      <c r="AA161" s="53"/>
      <c r="AB161" s="35" t="s">
        <v>47</v>
      </c>
      <c r="AC161" s="51"/>
      <c r="AD161" s="53"/>
      <c r="AE161" s="53"/>
      <c r="AF161" s="53"/>
      <c r="AG161" s="53"/>
      <c r="AH161" s="53"/>
      <c r="AI161" s="53"/>
      <c r="AJ161" s="45">
        <f t="shared" si="30"/>
        <v>0</v>
      </c>
      <c r="AK161" s="45"/>
      <c r="AL161" s="53"/>
      <c r="AM161" s="45"/>
      <c r="AN161" s="53"/>
      <c r="AO161" s="53"/>
      <c r="AP161" s="53"/>
      <c r="AQ161" s="53"/>
      <c r="AR161" s="53"/>
      <c r="AS161" s="53"/>
      <c r="AT161" s="45">
        <f t="shared" si="28"/>
        <v>0</v>
      </c>
      <c r="AU161" s="45"/>
      <c r="AV161" s="53">
        <v>0</v>
      </c>
      <c r="AW161" s="53"/>
      <c r="AX161" s="53">
        <v>0</v>
      </c>
      <c r="AY161" s="53"/>
      <c r="AZ161" s="53">
        <f t="shared" si="29"/>
        <v>0</v>
      </c>
      <c r="BA161" s="51"/>
      <c r="BB161" s="35" t="s">
        <v>190</v>
      </c>
      <c r="BC161" s="35"/>
      <c r="BD161" s="35" t="s">
        <v>47</v>
      </c>
      <c r="BE161" s="53"/>
      <c r="BF161" s="53"/>
      <c r="BG161" s="53"/>
      <c r="BH161" s="53"/>
      <c r="BI161" s="53"/>
      <c r="BJ161" s="53"/>
      <c r="BK161" s="53"/>
      <c r="BL161" s="53"/>
      <c r="BM161" s="53"/>
      <c r="BN161" s="53">
        <f t="shared" si="34"/>
        <v>0</v>
      </c>
      <c r="BO161" s="142"/>
      <c r="BS161" s="143"/>
      <c r="BT161" s="143"/>
      <c r="BU161" s="144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</row>
    <row r="162" spans="1:95" s="126" customFormat="1" ht="12.75" hidden="1" customHeight="1">
      <c r="A162" s="35" t="s">
        <v>191</v>
      </c>
      <c r="B162" s="51"/>
      <c r="C162" s="35" t="s">
        <v>13</v>
      </c>
      <c r="D162" s="44"/>
      <c r="E162" s="53">
        <f t="shared" si="31"/>
        <v>0</v>
      </c>
      <c r="F162" s="53"/>
      <c r="G162" s="53"/>
      <c r="H162" s="53"/>
      <c r="I162" s="53"/>
      <c r="J162" s="53"/>
      <c r="K162" s="53">
        <f t="shared" si="32"/>
        <v>0</v>
      </c>
      <c r="L162" s="53"/>
      <c r="M162" s="53"/>
      <c r="N162" s="53"/>
      <c r="O162" s="53"/>
      <c r="P162" s="53"/>
      <c r="Q162" s="53"/>
      <c r="R162" s="53"/>
      <c r="S162" s="53">
        <v>0</v>
      </c>
      <c r="T162" s="53"/>
      <c r="U162" s="53"/>
      <c r="V162" s="53"/>
      <c r="W162" s="53">
        <f t="shared" si="33"/>
        <v>0</v>
      </c>
      <c r="X162" s="51"/>
      <c r="Y162" s="51"/>
      <c r="Z162" s="35" t="s">
        <v>191</v>
      </c>
      <c r="AA162" s="53"/>
      <c r="AB162" s="35" t="s">
        <v>13</v>
      </c>
      <c r="AC162" s="51"/>
      <c r="AD162" s="53"/>
      <c r="AE162" s="53"/>
      <c r="AF162" s="53"/>
      <c r="AG162" s="53"/>
      <c r="AH162" s="53"/>
      <c r="AI162" s="53"/>
      <c r="AJ162" s="45">
        <f t="shared" si="30"/>
        <v>0</v>
      </c>
      <c r="AK162" s="45"/>
      <c r="AL162" s="53"/>
      <c r="AM162" s="45"/>
      <c r="AN162" s="53"/>
      <c r="AO162" s="53"/>
      <c r="AP162" s="53"/>
      <c r="AQ162" s="53"/>
      <c r="AR162" s="53"/>
      <c r="AS162" s="53"/>
      <c r="AT162" s="45">
        <f t="shared" si="28"/>
        <v>0</v>
      </c>
      <c r="AU162" s="45"/>
      <c r="AV162" s="53">
        <v>0</v>
      </c>
      <c r="AW162" s="53"/>
      <c r="AX162" s="53">
        <v>0</v>
      </c>
      <c r="AY162" s="53"/>
      <c r="AZ162" s="53">
        <f t="shared" si="29"/>
        <v>0</v>
      </c>
      <c r="BA162" s="51"/>
      <c r="BB162" s="35" t="s">
        <v>191</v>
      </c>
      <c r="BC162" s="35"/>
      <c r="BD162" s="35" t="s">
        <v>13</v>
      </c>
      <c r="BE162" s="53"/>
      <c r="BF162" s="53"/>
      <c r="BG162" s="53"/>
      <c r="BH162" s="53"/>
      <c r="BI162" s="53"/>
      <c r="BJ162" s="53"/>
      <c r="BK162" s="53"/>
      <c r="BL162" s="53"/>
      <c r="BM162" s="53"/>
      <c r="BN162" s="53">
        <f t="shared" si="34"/>
        <v>0</v>
      </c>
      <c r="BO162" s="142"/>
      <c r="BS162" s="143"/>
      <c r="BT162" s="143"/>
      <c r="BU162" s="144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</row>
    <row r="163" spans="1:95" s="126" customFormat="1" ht="12.75" hidden="1" customHeight="1">
      <c r="A163" s="35" t="s">
        <v>192</v>
      </c>
      <c r="B163" s="35"/>
      <c r="C163" s="35" t="s">
        <v>38</v>
      </c>
      <c r="D163" s="44"/>
      <c r="E163" s="53">
        <f t="shared" si="31"/>
        <v>1830932</v>
      </c>
      <c r="F163" s="53"/>
      <c r="G163" s="53">
        <v>9189050</v>
      </c>
      <c r="H163" s="53"/>
      <c r="I163" s="53">
        <v>11019982</v>
      </c>
      <c r="J163" s="53"/>
      <c r="K163" s="53">
        <f t="shared" si="32"/>
        <v>525636</v>
      </c>
      <c r="L163" s="53"/>
      <c r="M163" s="53">
        <v>2647649</v>
      </c>
      <c r="N163" s="53"/>
      <c r="O163" s="53">
        <v>3173285</v>
      </c>
      <c r="P163" s="53"/>
      <c r="Q163" s="53">
        <v>6148518</v>
      </c>
      <c r="R163" s="53"/>
      <c r="S163" s="53">
        <v>0</v>
      </c>
      <c r="T163" s="53"/>
      <c r="U163" s="53">
        <v>1698179</v>
      </c>
      <c r="V163" s="53"/>
      <c r="W163" s="53">
        <f t="shared" si="33"/>
        <v>7846697</v>
      </c>
      <c r="X163" s="51"/>
      <c r="Y163" s="51"/>
      <c r="Z163" s="35" t="s">
        <v>192</v>
      </c>
      <c r="AA163" s="53"/>
      <c r="AB163" s="35" t="s">
        <v>38</v>
      </c>
      <c r="AC163" s="35"/>
      <c r="AD163" s="53">
        <v>2785743</v>
      </c>
      <c r="AE163" s="53"/>
      <c r="AF163" s="53">
        <f>2498565-512879</f>
        <v>1985686</v>
      </c>
      <c r="AG163" s="53"/>
      <c r="AH163" s="53">
        <v>512879</v>
      </c>
      <c r="AI163" s="53"/>
      <c r="AJ163" s="45">
        <f t="shared" si="30"/>
        <v>287178</v>
      </c>
      <c r="AK163" s="45"/>
      <c r="AL163" s="53">
        <v>-125875</v>
      </c>
      <c r="AM163" s="45"/>
      <c r="AN163" s="53">
        <v>0</v>
      </c>
      <c r="AO163" s="53"/>
      <c r="AP163" s="53">
        <v>0</v>
      </c>
      <c r="AQ163" s="53"/>
      <c r="AR163" s="53">
        <v>0</v>
      </c>
      <c r="AS163" s="53"/>
      <c r="AT163" s="45">
        <f t="shared" si="28"/>
        <v>161303</v>
      </c>
      <c r="AU163" s="45"/>
      <c r="AV163" s="53">
        <v>0</v>
      </c>
      <c r="AW163" s="53"/>
      <c r="AX163" s="53">
        <v>0</v>
      </c>
      <c r="AY163" s="53"/>
      <c r="AZ163" s="53">
        <f t="shared" si="29"/>
        <v>1305296</v>
      </c>
      <c r="BA163" s="51"/>
      <c r="BB163" s="35" t="s">
        <v>192</v>
      </c>
      <c r="BC163" s="35"/>
      <c r="BD163" s="35" t="s">
        <v>38</v>
      </c>
      <c r="BE163" s="53"/>
      <c r="BF163" s="53">
        <v>1790893</v>
      </c>
      <c r="BG163" s="53"/>
      <c r="BH163" s="53">
        <v>0</v>
      </c>
      <c r="BI163" s="53"/>
      <c r="BJ163" s="53">
        <f>324545+640887</f>
        <v>965432</v>
      </c>
      <c r="BK163" s="53"/>
      <c r="BL163" s="53">
        <f>449992+202290</f>
        <v>652282</v>
      </c>
      <c r="BM163" s="53"/>
      <c r="BN163" s="53">
        <f t="shared" si="34"/>
        <v>3408607</v>
      </c>
      <c r="BO163" s="142"/>
      <c r="BS163" s="143"/>
      <c r="BT163" s="143"/>
      <c r="BU163" s="144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</row>
    <row r="164" spans="1:95" s="126" customFormat="1" ht="12.75" hidden="1" customHeight="1">
      <c r="A164" s="35" t="s">
        <v>193</v>
      </c>
      <c r="B164" s="51"/>
      <c r="C164" s="35" t="s">
        <v>45</v>
      </c>
      <c r="D164" s="44"/>
      <c r="E164" s="53">
        <f t="shared" si="31"/>
        <v>0</v>
      </c>
      <c r="F164" s="53"/>
      <c r="G164" s="53"/>
      <c r="H164" s="53"/>
      <c r="I164" s="53"/>
      <c r="J164" s="53"/>
      <c r="K164" s="53">
        <f t="shared" si="32"/>
        <v>0</v>
      </c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>
        <f t="shared" si="33"/>
        <v>0</v>
      </c>
      <c r="X164" s="51"/>
      <c r="Y164" s="51"/>
      <c r="Z164" s="35" t="s">
        <v>193</v>
      </c>
      <c r="AA164" s="53"/>
      <c r="AB164" s="35" t="s">
        <v>45</v>
      </c>
      <c r="AC164" s="51"/>
      <c r="AD164" s="53"/>
      <c r="AE164" s="53"/>
      <c r="AF164" s="53"/>
      <c r="AG164" s="53"/>
      <c r="AH164" s="53"/>
      <c r="AI164" s="53"/>
      <c r="AJ164" s="45">
        <f t="shared" si="30"/>
        <v>0</v>
      </c>
      <c r="AK164" s="45"/>
      <c r="AL164" s="53"/>
      <c r="AM164" s="45"/>
      <c r="AN164" s="53"/>
      <c r="AO164" s="53"/>
      <c r="AP164" s="53"/>
      <c r="AQ164" s="53"/>
      <c r="AR164" s="53"/>
      <c r="AS164" s="53"/>
      <c r="AT164" s="45">
        <f t="shared" si="28"/>
        <v>0</v>
      </c>
      <c r="AU164" s="45"/>
      <c r="AV164" s="53">
        <v>0</v>
      </c>
      <c r="AW164" s="53"/>
      <c r="AX164" s="53">
        <v>0</v>
      </c>
      <c r="AY164" s="53"/>
      <c r="AZ164" s="53">
        <f t="shared" si="29"/>
        <v>0</v>
      </c>
      <c r="BA164" s="51"/>
      <c r="BB164" s="35" t="s">
        <v>193</v>
      </c>
      <c r="BC164" s="35"/>
      <c r="BD164" s="35" t="s">
        <v>45</v>
      </c>
      <c r="BE164" s="53"/>
      <c r="BF164" s="53"/>
      <c r="BG164" s="53"/>
      <c r="BH164" s="53"/>
      <c r="BI164" s="53"/>
      <c r="BJ164" s="53"/>
      <c r="BK164" s="53"/>
      <c r="BL164" s="53"/>
      <c r="BM164" s="53"/>
      <c r="BN164" s="53">
        <f t="shared" si="34"/>
        <v>0</v>
      </c>
      <c r="BO164" s="142"/>
      <c r="BS164" s="143"/>
      <c r="BT164" s="143"/>
      <c r="BU164" s="144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</row>
    <row r="165" spans="1:95" s="35" customFormat="1" ht="12.75" customHeight="1">
      <c r="A165" s="35" t="s">
        <v>194</v>
      </c>
      <c r="B165" s="51"/>
      <c r="C165" s="35" t="s">
        <v>66</v>
      </c>
      <c r="D165" s="44"/>
      <c r="E165" s="53">
        <f t="shared" si="31"/>
        <v>1537528</v>
      </c>
      <c r="F165" s="53"/>
      <c r="G165" s="53">
        <v>1531027</v>
      </c>
      <c r="H165" s="53"/>
      <c r="I165" s="53">
        <v>3068555</v>
      </c>
      <c r="J165" s="53"/>
      <c r="K165" s="53">
        <v>42103</v>
      </c>
      <c r="L165" s="53"/>
      <c r="M165" s="53">
        <v>22677</v>
      </c>
      <c r="N165" s="53"/>
      <c r="O165" s="53">
        <v>89714</v>
      </c>
      <c r="P165" s="53"/>
      <c r="Q165" s="53">
        <v>1531027</v>
      </c>
      <c r="R165" s="53"/>
      <c r="S165" s="53">
        <v>0</v>
      </c>
      <c r="T165" s="53"/>
      <c r="U165" s="53">
        <v>1447814</v>
      </c>
      <c r="V165" s="53"/>
      <c r="W165" s="53">
        <f t="shared" si="33"/>
        <v>2978841</v>
      </c>
      <c r="X165" s="51"/>
      <c r="Y165" s="51"/>
      <c r="Z165" s="35" t="s">
        <v>194</v>
      </c>
      <c r="AA165" s="53"/>
      <c r="AB165" s="35" t="s">
        <v>66</v>
      </c>
      <c r="AC165" s="51"/>
      <c r="AD165" s="53">
        <v>957232</v>
      </c>
      <c r="AE165" s="53"/>
      <c r="AF165" s="53">
        <f>943763-82001</f>
        <v>861762</v>
      </c>
      <c r="AG165" s="53"/>
      <c r="AH165" s="53">
        <v>82001</v>
      </c>
      <c r="AI165" s="53"/>
      <c r="AJ165" s="45">
        <f t="shared" si="30"/>
        <v>13469</v>
      </c>
      <c r="AK165" s="45"/>
      <c r="AL165" s="53">
        <v>58037</v>
      </c>
      <c r="AM165" s="45"/>
      <c r="AN165" s="53">
        <v>0</v>
      </c>
      <c r="AO165" s="53"/>
      <c r="AP165" s="53">
        <v>0</v>
      </c>
      <c r="AQ165" s="53"/>
      <c r="AR165" s="53">
        <v>0</v>
      </c>
      <c r="AS165" s="53"/>
      <c r="AT165" s="45">
        <f t="shared" si="28"/>
        <v>71506</v>
      </c>
      <c r="AU165" s="45"/>
      <c r="AV165" s="53">
        <v>0</v>
      </c>
      <c r="AW165" s="53"/>
      <c r="AX165" s="53">
        <v>0</v>
      </c>
      <c r="AY165" s="53"/>
      <c r="AZ165" s="53">
        <f t="shared" si="29"/>
        <v>1495425</v>
      </c>
      <c r="BA165" s="51"/>
      <c r="BB165" s="35" t="s">
        <v>194</v>
      </c>
      <c r="BD165" s="35" t="s">
        <v>66</v>
      </c>
      <c r="BE165" s="53"/>
      <c r="BF165" s="53">
        <v>0</v>
      </c>
      <c r="BG165" s="53"/>
      <c r="BH165" s="53">
        <v>0</v>
      </c>
      <c r="BI165" s="53"/>
      <c r="BJ165" s="53">
        <v>193942</v>
      </c>
      <c r="BK165" s="53"/>
      <c r="BL165" s="53">
        <v>47882</v>
      </c>
      <c r="BM165" s="53"/>
      <c r="BN165" s="53">
        <f t="shared" si="34"/>
        <v>241824</v>
      </c>
      <c r="BO165" s="54"/>
      <c r="BS165" s="55"/>
      <c r="BT165" s="55"/>
      <c r="BU165" s="84"/>
      <c r="BV165" s="55"/>
      <c r="BW165" s="55"/>
      <c r="BX165" s="55"/>
      <c r="BY165" s="55"/>
      <c r="BZ165" s="55"/>
      <c r="CA165" s="55"/>
      <c r="CB165" s="55"/>
      <c r="CC165" s="55"/>
      <c r="CD165" s="55"/>
      <c r="CE165" s="55"/>
      <c r="CF165" s="55"/>
      <c r="CG165" s="55"/>
      <c r="CH165" s="55"/>
      <c r="CI165" s="55"/>
      <c r="CJ165" s="55"/>
      <c r="CK165" s="55"/>
      <c r="CL165" s="55"/>
      <c r="CM165" s="55"/>
      <c r="CN165" s="55"/>
      <c r="CO165" s="55"/>
      <c r="CP165" s="55"/>
      <c r="CQ165" s="55"/>
    </row>
    <row r="166" spans="1:95" s="35" customFormat="1" ht="12.75" customHeight="1">
      <c r="A166" s="35" t="s">
        <v>195</v>
      </c>
      <c r="B166" s="51"/>
      <c r="C166" s="35" t="s">
        <v>17</v>
      </c>
      <c r="D166" s="44"/>
      <c r="E166" s="53">
        <f t="shared" si="31"/>
        <v>2782960</v>
      </c>
      <c r="F166" s="53"/>
      <c r="G166" s="53">
        <v>8308425</v>
      </c>
      <c r="H166" s="53"/>
      <c r="I166" s="53">
        <v>11091385</v>
      </c>
      <c r="J166" s="53"/>
      <c r="K166" s="53">
        <v>80058</v>
      </c>
      <c r="L166" s="53"/>
      <c r="M166" s="53">
        <v>2975971</v>
      </c>
      <c r="N166" s="53"/>
      <c r="O166" s="53">
        <v>2975971</v>
      </c>
      <c r="P166" s="53"/>
      <c r="Q166" s="53">
        <v>5534267</v>
      </c>
      <c r="R166" s="53"/>
      <c r="S166" s="53">
        <v>0</v>
      </c>
      <c r="T166" s="53"/>
      <c r="U166" s="53">
        <v>2581147</v>
      </c>
      <c r="V166" s="53"/>
      <c r="W166" s="53">
        <f t="shared" si="33"/>
        <v>8115414</v>
      </c>
      <c r="X166" s="51"/>
      <c r="Y166" s="51"/>
      <c r="Z166" s="35" t="s">
        <v>195</v>
      </c>
      <c r="AA166" s="53"/>
      <c r="AB166" s="35" t="s">
        <v>17</v>
      </c>
      <c r="AC166" s="51"/>
      <c r="AD166" s="53">
        <v>1773458</v>
      </c>
      <c r="AE166" s="53"/>
      <c r="AF166" s="53">
        <f>2596976-165752</f>
        <v>2431224</v>
      </c>
      <c r="AG166" s="53"/>
      <c r="AH166" s="53">
        <v>165752</v>
      </c>
      <c r="AI166" s="53"/>
      <c r="AJ166" s="45">
        <f t="shared" si="30"/>
        <v>-823518</v>
      </c>
      <c r="AK166" s="45"/>
      <c r="AL166" s="53">
        <v>-3354</v>
      </c>
      <c r="AM166" s="45"/>
      <c r="AN166" s="53">
        <v>0</v>
      </c>
      <c r="AO166" s="53"/>
      <c r="AP166" s="53">
        <v>0</v>
      </c>
      <c r="AQ166" s="53"/>
      <c r="AR166" s="53">
        <v>0</v>
      </c>
      <c r="AS166" s="53"/>
      <c r="AT166" s="45">
        <f t="shared" si="28"/>
        <v>-826872</v>
      </c>
      <c r="AU166" s="45"/>
      <c r="AV166" s="53">
        <v>0</v>
      </c>
      <c r="AW166" s="53"/>
      <c r="AX166" s="53">
        <v>0</v>
      </c>
      <c r="AY166" s="53"/>
      <c r="AZ166" s="53">
        <f t="shared" si="29"/>
        <v>2702902</v>
      </c>
      <c r="BA166" s="51"/>
      <c r="BB166" s="35" t="s">
        <v>195</v>
      </c>
      <c r="BD166" s="35" t="s">
        <v>17</v>
      </c>
      <c r="BE166" s="53"/>
      <c r="BF166" s="53">
        <v>0</v>
      </c>
      <c r="BG166" s="53"/>
      <c r="BH166" s="53">
        <v>0</v>
      </c>
      <c r="BI166" s="53"/>
      <c r="BJ166" s="53">
        <v>4916637</v>
      </c>
      <c r="BK166" s="53"/>
      <c r="BL166" s="53">
        <f>567343+308008</f>
        <v>875351</v>
      </c>
      <c r="BM166" s="53"/>
      <c r="BN166" s="53">
        <f t="shared" si="34"/>
        <v>5791988</v>
      </c>
      <c r="BO166" s="54"/>
      <c r="BS166" s="55"/>
      <c r="BT166" s="55"/>
      <c r="BU166" s="84"/>
      <c r="BV166" s="55"/>
      <c r="BW166" s="55"/>
      <c r="BX166" s="55"/>
      <c r="BY166" s="55"/>
      <c r="BZ166" s="55"/>
      <c r="CA166" s="55"/>
      <c r="CB166" s="55"/>
      <c r="CC166" s="55"/>
      <c r="CD166" s="55"/>
      <c r="CE166" s="55"/>
      <c r="CF166" s="55"/>
      <c r="CG166" s="55"/>
      <c r="CH166" s="55"/>
      <c r="CI166" s="55"/>
      <c r="CJ166" s="55"/>
      <c r="CK166" s="55"/>
      <c r="CL166" s="55"/>
      <c r="CM166" s="55"/>
      <c r="CN166" s="55"/>
      <c r="CO166" s="55"/>
      <c r="CP166" s="55"/>
      <c r="CQ166" s="55"/>
    </row>
    <row r="167" spans="1:95" s="126" customFormat="1" ht="12.75" hidden="1" customHeight="1">
      <c r="A167" s="35" t="s">
        <v>196</v>
      </c>
      <c r="B167" s="51"/>
      <c r="C167" s="35" t="s">
        <v>27</v>
      </c>
      <c r="D167" s="44"/>
      <c r="E167" s="53">
        <f t="shared" si="31"/>
        <v>0</v>
      </c>
      <c r="F167" s="53"/>
      <c r="G167" s="53"/>
      <c r="H167" s="53"/>
      <c r="I167" s="53"/>
      <c r="J167" s="53"/>
      <c r="K167" s="53">
        <f t="shared" si="32"/>
        <v>0</v>
      </c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>
        <f t="shared" si="33"/>
        <v>0</v>
      </c>
      <c r="X167" s="51"/>
      <c r="Y167" s="51"/>
      <c r="Z167" s="35" t="s">
        <v>196</v>
      </c>
      <c r="AA167" s="53"/>
      <c r="AB167" s="35" t="s">
        <v>27</v>
      </c>
      <c r="AC167" s="51"/>
      <c r="AD167" s="53"/>
      <c r="AE167" s="53"/>
      <c r="AF167" s="53"/>
      <c r="AG167" s="53"/>
      <c r="AH167" s="53"/>
      <c r="AI167" s="53"/>
      <c r="AJ167" s="45">
        <f t="shared" si="30"/>
        <v>0</v>
      </c>
      <c r="AK167" s="45"/>
      <c r="AL167" s="53"/>
      <c r="AM167" s="45"/>
      <c r="AN167" s="53"/>
      <c r="AO167" s="53"/>
      <c r="AP167" s="53"/>
      <c r="AQ167" s="53"/>
      <c r="AR167" s="53"/>
      <c r="AS167" s="53"/>
      <c r="AT167" s="45">
        <f t="shared" si="28"/>
        <v>0</v>
      </c>
      <c r="AU167" s="45"/>
      <c r="AV167" s="53">
        <v>0</v>
      </c>
      <c r="AW167" s="53"/>
      <c r="AX167" s="53">
        <v>0</v>
      </c>
      <c r="AY167" s="53"/>
      <c r="AZ167" s="53">
        <f t="shared" si="29"/>
        <v>0</v>
      </c>
      <c r="BA167" s="51"/>
      <c r="BB167" s="35" t="s">
        <v>196</v>
      </c>
      <c r="BC167" s="35"/>
      <c r="BD167" s="35" t="s">
        <v>27</v>
      </c>
      <c r="BE167" s="53"/>
      <c r="BF167" s="53"/>
      <c r="BG167" s="53"/>
      <c r="BH167" s="53"/>
      <c r="BI167" s="53"/>
      <c r="BJ167" s="53"/>
      <c r="BK167" s="53"/>
      <c r="BL167" s="53"/>
      <c r="BM167" s="53"/>
      <c r="BN167" s="53">
        <f t="shared" si="34"/>
        <v>0</v>
      </c>
      <c r="BO167" s="142"/>
      <c r="BS167" s="143"/>
      <c r="BT167" s="143"/>
      <c r="BU167" s="144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</row>
    <row r="168" spans="1:95" s="126" customFormat="1" ht="12.75" hidden="1" customHeight="1">
      <c r="A168" s="35" t="s">
        <v>402</v>
      </c>
      <c r="B168" s="51"/>
      <c r="C168" s="35" t="s">
        <v>153</v>
      </c>
      <c r="D168" s="44"/>
      <c r="E168" s="53">
        <f t="shared" si="31"/>
        <v>1818753</v>
      </c>
      <c r="F168" s="53"/>
      <c r="G168" s="53">
        <v>5753671</v>
      </c>
      <c r="H168" s="53"/>
      <c r="I168" s="53">
        <v>7572424</v>
      </c>
      <c r="J168" s="53"/>
      <c r="K168" s="53">
        <f t="shared" si="32"/>
        <v>24813</v>
      </c>
      <c r="L168" s="53"/>
      <c r="M168" s="53">
        <v>50975</v>
      </c>
      <c r="N168" s="53"/>
      <c r="O168" s="53">
        <v>75788</v>
      </c>
      <c r="P168" s="53"/>
      <c r="Q168" s="53">
        <v>5733457</v>
      </c>
      <c r="R168" s="53"/>
      <c r="S168" s="53">
        <v>0</v>
      </c>
      <c r="T168" s="53"/>
      <c r="U168" s="53">
        <v>1763179</v>
      </c>
      <c r="V168" s="53"/>
      <c r="W168" s="53">
        <f t="shared" si="33"/>
        <v>7496636</v>
      </c>
      <c r="X168" s="51"/>
      <c r="Y168" s="51"/>
      <c r="Z168" s="35" t="s">
        <v>402</v>
      </c>
      <c r="AA168" s="53"/>
      <c r="AB168" s="35" t="s">
        <v>153</v>
      </c>
      <c r="AC168" s="51"/>
      <c r="AD168" s="53">
        <v>784049</v>
      </c>
      <c r="AE168" s="53"/>
      <c r="AF168" s="53">
        <f>834771+308859</f>
        <v>1143630</v>
      </c>
      <c r="AG168" s="53"/>
      <c r="AH168" s="53">
        <v>308859</v>
      </c>
      <c r="AI168" s="53"/>
      <c r="AJ168" s="45">
        <f t="shared" si="30"/>
        <v>-668440</v>
      </c>
      <c r="AK168" s="45"/>
      <c r="AL168" s="53">
        <v>-20225</v>
      </c>
      <c r="AM168" s="45"/>
      <c r="AN168" s="53">
        <v>728500</v>
      </c>
      <c r="AO168" s="53"/>
      <c r="AP168" s="53">
        <v>0</v>
      </c>
      <c r="AQ168" s="53"/>
      <c r="AR168" s="53">
        <v>0</v>
      </c>
      <c r="AS168" s="53"/>
      <c r="AT168" s="45">
        <f t="shared" si="28"/>
        <v>39835</v>
      </c>
      <c r="AU168" s="45"/>
      <c r="AV168" s="53">
        <v>0</v>
      </c>
      <c r="AW168" s="53"/>
      <c r="AX168" s="53">
        <v>0</v>
      </c>
      <c r="AY168" s="53"/>
      <c r="AZ168" s="53">
        <f t="shared" si="29"/>
        <v>1793940</v>
      </c>
      <c r="BA168" s="51"/>
      <c r="BB168" s="35" t="s">
        <v>402</v>
      </c>
      <c r="BC168" s="35"/>
      <c r="BD168" s="35" t="s">
        <v>153</v>
      </c>
      <c r="BE168" s="53"/>
      <c r="BF168" s="53">
        <v>0</v>
      </c>
      <c r="BG168" s="53"/>
      <c r="BH168" s="53">
        <v>0</v>
      </c>
      <c r="BI168" s="53"/>
      <c r="BJ168" s="53">
        <v>20214</v>
      </c>
      <c r="BK168" s="53"/>
      <c r="BL168" s="53">
        <v>60929</v>
      </c>
      <c r="BM168" s="53"/>
      <c r="BN168" s="53">
        <f t="shared" si="34"/>
        <v>81143</v>
      </c>
      <c r="BO168" s="142"/>
      <c r="BS168" s="143"/>
      <c r="BT168" s="143"/>
      <c r="BU168" s="144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</row>
    <row r="169" spans="1:95" s="35" customFormat="1" ht="12.75" customHeight="1">
      <c r="A169" s="35" t="s">
        <v>197</v>
      </c>
      <c r="B169" s="51"/>
      <c r="C169" s="35" t="s">
        <v>163</v>
      </c>
      <c r="D169" s="44"/>
      <c r="E169" s="53">
        <f t="shared" si="31"/>
        <v>3671696</v>
      </c>
      <c r="F169" s="53"/>
      <c r="G169" s="53">
        <v>10763529</v>
      </c>
      <c r="H169" s="53"/>
      <c r="I169" s="53">
        <v>14435225</v>
      </c>
      <c r="J169" s="53"/>
      <c r="K169" s="53">
        <v>109696</v>
      </c>
      <c r="L169" s="53"/>
      <c r="M169" s="53">
        <v>331049</v>
      </c>
      <c r="N169" s="53"/>
      <c r="O169" s="53">
        <v>459191</v>
      </c>
      <c r="P169" s="53"/>
      <c r="Q169" s="53">
        <v>10763529</v>
      </c>
      <c r="R169" s="53"/>
      <c r="S169" s="53">
        <v>0</v>
      </c>
      <c r="T169" s="53"/>
      <c r="U169" s="53">
        <v>3212505</v>
      </c>
      <c r="V169" s="53"/>
      <c r="W169" s="53">
        <f t="shared" si="33"/>
        <v>13976034</v>
      </c>
      <c r="Z169" s="35" t="s">
        <v>197</v>
      </c>
      <c r="AA169" s="53"/>
      <c r="AB169" s="35" t="s">
        <v>163</v>
      </c>
      <c r="AC169" s="51"/>
      <c r="AD169" s="53">
        <v>4431604</v>
      </c>
      <c r="AE169" s="53"/>
      <c r="AF169" s="53">
        <f>4265155-606627</f>
        <v>3658528</v>
      </c>
      <c r="AG169" s="53"/>
      <c r="AH169" s="53">
        <v>606627</v>
      </c>
      <c r="AI169" s="53"/>
      <c r="AJ169" s="45">
        <f t="shared" si="30"/>
        <v>166449</v>
      </c>
      <c r="AK169" s="45"/>
      <c r="AL169" s="53">
        <v>1251</v>
      </c>
      <c r="AM169" s="45"/>
      <c r="AN169" s="53">
        <v>235107</v>
      </c>
      <c r="AO169" s="53"/>
      <c r="AP169" s="53">
        <v>0</v>
      </c>
      <c r="AQ169" s="53"/>
      <c r="AR169" s="53">
        <v>0</v>
      </c>
      <c r="AS169" s="53"/>
      <c r="AT169" s="45">
        <f>+AJ169+AL169+AN169-AP169+AR169</f>
        <v>402807</v>
      </c>
      <c r="AU169" s="45"/>
      <c r="AV169" s="53">
        <v>0</v>
      </c>
      <c r="AW169" s="53"/>
      <c r="AX169" s="53">
        <v>0</v>
      </c>
      <c r="AY169" s="53"/>
      <c r="AZ169" s="53">
        <f t="shared" si="29"/>
        <v>3562000</v>
      </c>
      <c r="BA169" s="51"/>
      <c r="BB169" s="35" t="s">
        <v>197</v>
      </c>
      <c r="BD169" s="35" t="s">
        <v>163</v>
      </c>
      <c r="BE169" s="53"/>
      <c r="BF169" s="53">
        <v>0</v>
      </c>
      <c r="BG169" s="53"/>
      <c r="BH169" s="53">
        <v>0</v>
      </c>
      <c r="BI169" s="53"/>
      <c r="BJ169" s="53">
        <v>9068445</v>
      </c>
      <c r="BK169" s="53"/>
      <c r="BL169" s="53">
        <v>571670</v>
      </c>
      <c r="BM169" s="53"/>
      <c r="BN169" s="53">
        <f t="shared" si="34"/>
        <v>9640115</v>
      </c>
      <c r="BO169" s="54"/>
      <c r="BS169" s="55"/>
      <c r="BT169" s="55"/>
      <c r="BU169" s="84"/>
      <c r="BV169" s="55"/>
      <c r="BW169" s="55"/>
      <c r="BX169" s="55"/>
      <c r="BY169" s="55"/>
      <c r="BZ169" s="55"/>
      <c r="CA169" s="55"/>
      <c r="CB169" s="55"/>
      <c r="CC169" s="55"/>
      <c r="CD169" s="55"/>
      <c r="CE169" s="55"/>
      <c r="CF169" s="55"/>
      <c r="CG169" s="55"/>
      <c r="CH169" s="55"/>
      <c r="CI169" s="55"/>
      <c r="CJ169" s="55"/>
      <c r="CK169" s="55"/>
      <c r="CL169" s="55"/>
      <c r="CM169" s="55"/>
      <c r="CN169" s="55"/>
      <c r="CO169" s="55"/>
      <c r="CP169" s="55"/>
      <c r="CQ169" s="55"/>
    </row>
    <row r="170" spans="1:95" s="35" customFormat="1" ht="12.75" customHeight="1">
      <c r="A170" s="35" t="s">
        <v>198</v>
      </c>
      <c r="B170" s="51"/>
      <c r="C170" s="35" t="s">
        <v>199</v>
      </c>
      <c r="D170" s="44"/>
      <c r="E170" s="53">
        <f t="shared" si="31"/>
        <v>60139667</v>
      </c>
      <c r="F170" s="53"/>
      <c r="G170" s="53">
        <v>20262827</v>
      </c>
      <c r="H170" s="53"/>
      <c r="I170" s="53">
        <v>80402494</v>
      </c>
      <c r="J170" s="53"/>
      <c r="K170" s="53">
        <v>816857</v>
      </c>
      <c r="L170" s="53"/>
      <c r="M170" s="53">
        <v>7504129</v>
      </c>
      <c r="N170" s="53"/>
      <c r="O170" s="53">
        <v>17418471</v>
      </c>
      <c r="P170" s="53"/>
      <c r="Q170" s="53">
        <v>31936125</v>
      </c>
      <c r="R170" s="53"/>
      <c r="S170" s="53">
        <f>2300000+3016575</f>
        <v>5316575</v>
      </c>
      <c r="T170" s="53"/>
      <c r="U170" s="53">
        <v>25731323</v>
      </c>
      <c r="V170" s="53"/>
      <c r="W170" s="53">
        <f t="shared" si="33"/>
        <v>62984023</v>
      </c>
      <c r="X170" s="51"/>
      <c r="Y170" s="51"/>
      <c r="Z170" s="35" t="s">
        <v>198</v>
      </c>
      <c r="AA170" s="53"/>
      <c r="AB170" s="35" t="s">
        <v>199</v>
      </c>
      <c r="AC170" s="51"/>
      <c r="AD170" s="53">
        <v>3099388</v>
      </c>
      <c r="AE170" s="53"/>
      <c r="AF170" s="53">
        <f>2396803-774242</f>
        <v>1622561</v>
      </c>
      <c r="AG170" s="53"/>
      <c r="AH170" s="53">
        <v>774242</v>
      </c>
      <c r="AI170" s="53"/>
      <c r="AJ170" s="45">
        <f t="shared" si="30"/>
        <v>702585</v>
      </c>
      <c r="AK170" s="45"/>
      <c r="AL170" s="53">
        <v>-186871</v>
      </c>
      <c r="AM170" s="45"/>
      <c r="AN170" s="53">
        <v>0</v>
      </c>
      <c r="AO170" s="53"/>
      <c r="AP170" s="53">
        <v>0</v>
      </c>
      <c r="AQ170" s="53"/>
      <c r="AR170" s="53">
        <v>0</v>
      </c>
      <c r="AS170" s="53"/>
      <c r="AT170" s="45">
        <f>+AJ170+AL170+AN170-AP170+AR170</f>
        <v>515714</v>
      </c>
      <c r="AU170" s="45"/>
      <c r="AV170" s="53">
        <v>0</v>
      </c>
      <c r="AW170" s="53"/>
      <c r="AX170" s="53">
        <v>0</v>
      </c>
      <c r="AY170" s="53"/>
      <c r="AZ170" s="53">
        <f t="shared" si="29"/>
        <v>59322810</v>
      </c>
      <c r="BA170" s="51"/>
      <c r="BB170" s="35" t="s">
        <v>198</v>
      </c>
      <c r="BD170" s="35" t="s">
        <v>199</v>
      </c>
      <c r="BE170" s="53"/>
      <c r="BF170" s="53">
        <v>0</v>
      </c>
      <c r="BG170" s="53"/>
      <c r="BH170" s="53">
        <v>5108318</v>
      </c>
      <c r="BI170" s="53"/>
      <c r="BJ170" s="53">
        <f>1193592+1970526-124082+1846444+43257</f>
        <v>4929737</v>
      </c>
      <c r="BK170" s="53"/>
      <c r="BL170" s="53">
        <f>1700000</f>
        <v>1700000</v>
      </c>
      <c r="BM170" s="53"/>
      <c r="BN170" s="53">
        <f t="shared" si="34"/>
        <v>11738055</v>
      </c>
      <c r="BO170" s="54"/>
      <c r="BS170" s="55"/>
      <c r="BT170" s="55"/>
      <c r="BU170" s="84"/>
      <c r="BV170" s="55"/>
      <c r="BW170" s="55"/>
      <c r="BX170" s="55"/>
      <c r="BY170" s="55"/>
      <c r="BZ170" s="55"/>
      <c r="CA170" s="55"/>
      <c r="CB170" s="55"/>
      <c r="CC170" s="55"/>
      <c r="CD170" s="55"/>
      <c r="CE170" s="55"/>
      <c r="CF170" s="55"/>
      <c r="CG170" s="55"/>
      <c r="CH170" s="55"/>
      <c r="CI170" s="55"/>
      <c r="CJ170" s="55"/>
      <c r="CK170" s="55"/>
      <c r="CL170" s="55"/>
      <c r="CM170" s="55"/>
      <c r="CN170" s="55"/>
      <c r="CO170" s="55"/>
      <c r="CP170" s="55"/>
      <c r="CQ170" s="55"/>
    </row>
    <row r="171" spans="1:95" s="35" customFormat="1" ht="12.75" customHeight="1">
      <c r="A171" s="35" t="s">
        <v>200</v>
      </c>
      <c r="B171" s="51"/>
      <c r="C171" s="35" t="s">
        <v>103</v>
      </c>
      <c r="D171" s="44"/>
      <c r="E171" s="53">
        <f t="shared" si="31"/>
        <v>6340547</v>
      </c>
      <c r="F171" s="53"/>
      <c r="G171" s="53">
        <v>11088363</v>
      </c>
      <c r="H171" s="53"/>
      <c r="I171" s="53">
        <v>17428910</v>
      </c>
      <c r="J171" s="53"/>
      <c r="K171" s="53">
        <v>861835</v>
      </c>
      <c r="L171" s="53"/>
      <c r="M171" s="53">
        <v>4052337</v>
      </c>
      <c r="N171" s="53"/>
      <c r="O171" s="53">
        <v>4939724</v>
      </c>
      <c r="P171" s="53"/>
      <c r="Q171" s="53">
        <v>6334524</v>
      </c>
      <c r="R171" s="53"/>
      <c r="S171" s="53">
        <v>982222</v>
      </c>
      <c r="T171" s="53"/>
      <c r="U171" s="53">
        <v>5172440</v>
      </c>
      <c r="V171" s="53"/>
      <c r="W171" s="53">
        <f t="shared" si="33"/>
        <v>12489186</v>
      </c>
      <c r="X171" s="51"/>
      <c r="Y171" s="51"/>
      <c r="Z171" s="35" t="s">
        <v>200</v>
      </c>
      <c r="AA171" s="53"/>
      <c r="AB171" s="35" t="s">
        <v>103</v>
      </c>
      <c r="AC171" s="51"/>
      <c r="AD171" s="53">
        <v>2727451</v>
      </c>
      <c r="AE171" s="53"/>
      <c r="AF171" s="53">
        <f>2153827-416000</f>
        <v>1737827</v>
      </c>
      <c r="AG171" s="53"/>
      <c r="AH171" s="53">
        <v>416000</v>
      </c>
      <c r="AI171" s="53"/>
      <c r="AJ171" s="45">
        <f t="shared" si="30"/>
        <v>573624</v>
      </c>
      <c r="AK171" s="45"/>
      <c r="AL171" s="53">
        <v>74618</v>
      </c>
      <c r="AM171" s="45"/>
      <c r="AN171" s="53">
        <v>0</v>
      </c>
      <c r="AO171" s="53"/>
      <c r="AP171" s="53">
        <v>0</v>
      </c>
      <c r="AQ171" s="53"/>
      <c r="AR171" s="53">
        <v>116154</v>
      </c>
      <c r="AS171" s="53"/>
      <c r="AT171" s="45">
        <f t="shared" si="28"/>
        <v>764396</v>
      </c>
      <c r="AU171" s="45"/>
      <c r="AV171" s="53">
        <v>0</v>
      </c>
      <c r="AW171" s="53"/>
      <c r="AX171" s="53">
        <v>0</v>
      </c>
      <c r="AY171" s="53"/>
      <c r="AZ171" s="53">
        <f t="shared" si="29"/>
        <v>5478712</v>
      </c>
      <c r="BA171" s="51"/>
      <c r="BB171" s="35" t="s">
        <v>200</v>
      </c>
      <c r="BD171" s="35" t="s">
        <v>103</v>
      </c>
      <c r="BE171" s="53"/>
      <c r="BF171" s="53">
        <v>4723800</v>
      </c>
      <c r="BG171" s="53"/>
      <c r="BH171" s="53">
        <v>0</v>
      </c>
      <c r="BI171" s="53"/>
      <c r="BJ171" s="53">
        <v>0</v>
      </c>
      <c r="BK171" s="53"/>
      <c r="BL171" s="53">
        <v>269839</v>
      </c>
      <c r="BM171" s="53"/>
      <c r="BN171" s="53">
        <f t="shared" si="34"/>
        <v>4993639</v>
      </c>
      <c r="BO171" s="54"/>
      <c r="BS171" s="55"/>
      <c r="BT171" s="55"/>
      <c r="BU171" s="84"/>
      <c r="BV171" s="55"/>
      <c r="BW171" s="55"/>
      <c r="BX171" s="55"/>
      <c r="BY171" s="55"/>
      <c r="BZ171" s="55"/>
      <c r="CA171" s="55"/>
      <c r="CB171" s="55"/>
      <c r="CC171" s="55"/>
      <c r="CD171" s="55"/>
      <c r="CE171" s="55"/>
      <c r="CF171" s="55"/>
      <c r="CG171" s="55"/>
      <c r="CH171" s="55"/>
      <c r="CI171" s="55"/>
      <c r="CJ171" s="55"/>
      <c r="CK171" s="55"/>
      <c r="CL171" s="55"/>
      <c r="CM171" s="55"/>
      <c r="CN171" s="55"/>
      <c r="CO171" s="55"/>
      <c r="CP171" s="55"/>
      <c r="CQ171" s="55"/>
    </row>
    <row r="172" spans="1:95" s="35" customFormat="1" ht="12.75" customHeight="1">
      <c r="A172" s="35" t="s">
        <v>201</v>
      </c>
      <c r="C172" s="35" t="s">
        <v>92</v>
      </c>
      <c r="D172" s="44"/>
      <c r="E172" s="53">
        <f t="shared" si="31"/>
        <v>3133709</v>
      </c>
      <c r="F172" s="53"/>
      <c r="G172" s="53">
        <v>23004394</v>
      </c>
      <c r="H172" s="53"/>
      <c r="I172" s="53">
        <v>26138103</v>
      </c>
      <c r="J172" s="53"/>
      <c r="K172" s="53">
        <v>2637989</v>
      </c>
      <c r="L172" s="53"/>
      <c r="M172" s="53">
        <v>8304841</v>
      </c>
      <c r="N172" s="53"/>
      <c r="O172" s="53">
        <v>10607590</v>
      </c>
      <c r="P172" s="53"/>
      <c r="Q172" s="53">
        <v>13979477</v>
      </c>
      <c r="R172" s="53"/>
      <c r="S172" s="53">
        <v>0</v>
      </c>
      <c r="T172" s="53"/>
      <c r="U172" s="53">
        <v>1551036</v>
      </c>
      <c r="V172" s="53"/>
      <c r="W172" s="53">
        <f t="shared" si="33"/>
        <v>15530513</v>
      </c>
      <c r="Z172" s="35" t="s">
        <v>201</v>
      </c>
      <c r="AA172" s="53"/>
      <c r="AB172" s="35" t="s">
        <v>92</v>
      </c>
      <c r="AD172" s="53">
        <v>4568383</v>
      </c>
      <c r="AE172" s="53"/>
      <c r="AF172" s="53">
        <f>4318502-920083</f>
        <v>3398419</v>
      </c>
      <c r="AG172" s="53"/>
      <c r="AH172" s="53">
        <v>920083</v>
      </c>
      <c r="AI172" s="53"/>
      <c r="AJ172" s="45">
        <f t="shared" si="30"/>
        <v>249881</v>
      </c>
      <c r="AK172" s="45"/>
      <c r="AL172" s="53">
        <v>-469882</v>
      </c>
      <c r="AM172" s="45"/>
      <c r="AN172" s="53">
        <v>527362</v>
      </c>
      <c r="AO172" s="53"/>
      <c r="AP172" s="53">
        <v>0</v>
      </c>
      <c r="AQ172" s="53"/>
      <c r="AR172" s="53">
        <v>0</v>
      </c>
      <c r="AS172" s="53"/>
      <c r="AT172" s="45">
        <f t="shared" si="28"/>
        <v>307361</v>
      </c>
      <c r="AU172" s="45"/>
      <c r="AV172" s="53">
        <v>0</v>
      </c>
      <c r="AW172" s="53"/>
      <c r="AX172" s="53">
        <v>0</v>
      </c>
      <c r="AY172" s="53"/>
      <c r="AZ172" s="53">
        <f t="shared" si="29"/>
        <v>495720</v>
      </c>
      <c r="BA172" s="65"/>
      <c r="BB172" s="35" t="s">
        <v>201</v>
      </c>
      <c r="BD172" s="35" t="s">
        <v>92</v>
      </c>
      <c r="BE172" s="53"/>
      <c r="BF172" s="53">
        <v>3545000</v>
      </c>
      <c r="BG172" s="53"/>
      <c r="BH172" s="35">
        <v>0</v>
      </c>
      <c r="BI172" s="53"/>
      <c r="BJ172" s="53">
        <f>1014923+529403</f>
        <v>1544326</v>
      </c>
      <c r="BK172" s="53"/>
      <c r="BL172" s="53">
        <f>1471448+4257475+1956493</f>
        <v>7685416</v>
      </c>
      <c r="BM172" s="53"/>
      <c r="BN172" s="53">
        <f t="shared" si="34"/>
        <v>12774742</v>
      </c>
      <c r="BO172" s="54"/>
      <c r="BS172" s="55"/>
      <c r="BT172" s="55"/>
      <c r="BU172" s="84"/>
      <c r="BV172" s="55"/>
      <c r="BW172" s="55"/>
      <c r="BX172" s="55"/>
      <c r="BY172" s="55"/>
      <c r="BZ172" s="55"/>
      <c r="CA172" s="55"/>
      <c r="CB172" s="55"/>
      <c r="CC172" s="55"/>
      <c r="CD172" s="55"/>
      <c r="CE172" s="55"/>
      <c r="CF172" s="55"/>
      <c r="CG172" s="55"/>
      <c r="CH172" s="55"/>
      <c r="CI172" s="55"/>
      <c r="CJ172" s="55"/>
      <c r="CK172" s="55"/>
      <c r="CL172" s="55"/>
      <c r="CM172" s="55"/>
      <c r="CN172" s="55"/>
      <c r="CO172" s="55"/>
      <c r="CP172" s="55"/>
      <c r="CQ172" s="55"/>
    </row>
    <row r="173" spans="1:95" s="126" customFormat="1" ht="12" hidden="1" customHeight="1">
      <c r="A173" s="35" t="s">
        <v>202</v>
      </c>
      <c r="B173" s="51"/>
      <c r="C173" s="35" t="s">
        <v>27</v>
      </c>
      <c r="D173" s="44"/>
      <c r="E173" s="53">
        <f t="shared" si="31"/>
        <v>0</v>
      </c>
      <c r="F173" s="53"/>
      <c r="G173" s="53"/>
      <c r="H173" s="53"/>
      <c r="I173" s="53"/>
      <c r="J173" s="53"/>
      <c r="K173" s="53">
        <f t="shared" si="32"/>
        <v>0</v>
      </c>
      <c r="L173" s="53"/>
      <c r="M173" s="53"/>
      <c r="N173" s="53"/>
      <c r="O173" s="53"/>
      <c r="P173" s="53"/>
      <c r="Q173" s="53"/>
      <c r="R173" s="53"/>
      <c r="S173" s="53">
        <v>0</v>
      </c>
      <c r="T173" s="53"/>
      <c r="U173" s="53"/>
      <c r="V173" s="53"/>
      <c r="W173" s="53">
        <f t="shared" si="33"/>
        <v>0</v>
      </c>
      <c r="X173" s="51"/>
      <c r="Y173" s="51"/>
      <c r="Z173" s="35" t="s">
        <v>202</v>
      </c>
      <c r="AA173" s="53"/>
      <c r="AB173" s="35" t="s">
        <v>27</v>
      </c>
      <c r="AC173" s="51"/>
      <c r="AD173" s="53"/>
      <c r="AE173" s="53"/>
      <c r="AF173" s="53"/>
      <c r="AG173" s="53"/>
      <c r="AH173" s="53"/>
      <c r="AI173" s="53"/>
      <c r="AJ173" s="45">
        <f t="shared" si="30"/>
        <v>0</v>
      </c>
      <c r="AK173" s="45"/>
      <c r="AL173" s="53"/>
      <c r="AM173" s="45"/>
      <c r="AN173" s="53"/>
      <c r="AO173" s="53"/>
      <c r="AP173" s="53"/>
      <c r="AQ173" s="53"/>
      <c r="AR173" s="53"/>
      <c r="AS173" s="53"/>
      <c r="AT173" s="45">
        <f t="shared" si="28"/>
        <v>0</v>
      </c>
      <c r="AU173" s="45"/>
      <c r="AV173" s="53">
        <v>0</v>
      </c>
      <c r="AW173" s="53"/>
      <c r="AX173" s="53">
        <v>0</v>
      </c>
      <c r="AY173" s="53"/>
      <c r="AZ173" s="53">
        <f t="shared" si="29"/>
        <v>0</v>
      </c>
      <c r="BA173" s="51"/>
      <c r="BB173" s="35" t="s">
        <v>202</v>
      </c>
      <c r="BC173" s="35"/>
      <c r="BD173" s="35" t="s">
        <v>27</v>
      </c>
      <c r="BE173" s="53"/>
      <c r="BF173" s="53"/>
      <c r="BG173" s="53"/>
      <c r="BH173" s="53"/>
      <c r="BI173" s="53"/>
      <c r="BJ173" s="53"/>
      <c r="BK173" s="53"/>
      <c r="BL173" s="53"/>
      <c r="BM173" s="53"/>
      <c r="BN173" s="53">
        <f t="shared" si="34"/>
        <v>0</v>
      </c>
      <c r="BO173" s="142"/>
      <c r="BS173" s="143"/>
      <c r="BT173" s="143"/>
      <c r="BU173" s="144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</row>
    <row r="174" spans="1:95" s="126" customFormat="1" ht="12.75" hidden="1" customHeight="1">
      <c r="A174" s="35" t="s">
        <v>203</v>
      </c>
      <c r="B174" s="51"/>
      <c r="C174" s="35" t="s">
        <v>27</v>
      </c>
      <c r="D174" s="44"/>
      <c r="E174" s="53">
        <f t="shared" si="31"/>
        <v>0</v>
      </c>
      <c r="F174" s="53"/>
      <c r="G174" s="53"/>
      <c r="H174" s="53"/>
      <c r="I174" s="53"/>
      <c r="J174" s="53"/>
      <c r="K174" s="53">
        <f t="shared" si="32"/>
        <v>0</v>
      </c>
      <c r="L174" s="53"/>
      <c r="M174" s="53"/>
      <c r="N174" s="53"/>
      <c r="O174" s="53"/>
      <c r="P174" s="53"/>
      <c r="Q174" s="53"/>
      <c r="R174" s="53"/>
      <c r="S174" s="53">
        <v>0</v>
      </c>
      <c r="T174" s="53"/>
      <c r="U174" s="53"/>
      <c r="V174" s="53"/>
      <c r="W174" s="53">
        <f t="shared" si="33"/>
        <v>0</v>
      </c>
      <c r="X174" s="51"/>
      <c r="Y174" s="51"/>
      <c r="Z174" s="35" t="s">
        <v>203</v>
      </c>
      <c r="AA174" s="53"/>
      <c r="AB174" s="35" t="s">
        <v>27</v>
      </c>
      <c r="AC174" s="51"/>
      <c r="AD174" s="53"/>
      <c r="AE174" s="53"/>
      <c r="AF174" s="53"/>
      <c r="AG174" s="53"/>
      <c r="AH174" s="53"/>
      <c r="AI174" s="53"/>
      <c r="AJ174" s="45">
        <f t="shared" si="30"/>
        <v>0</v>
      </c>
      <c r="AK174" s="45"/>
      <c r="AL174" s="53"/>
      <c r="AM174" s="45"/>
      <c r="AN174" s="53"/>
      <c r="AO174" s="53"/>
      <c r="AP174" s="53"/>
      <c r="AQ174" s="53"/>
      <c r="AR174" s="53"/>
      <c r="AS174" s="53"/>
      <c r="AT174" s="45">
        <f t="shared" si="28"/>
        <v>0</v>
      </c>
      <c r="AU174" s="45"/>
      <c r="AV174" s="53">
        <v>0</v>
      </c>
      <c r="AW174" s="53"/>
      <c r="AX174" s="53">
        <v>0</v>
      </c>
      <c r="AY174" s="53"/>
      <c r="AZ174" s="53">
        <f t="shared" si="29"/>
        <v>0</v>
      </c>
      <c r="BA174" s="51"/>
      <c r="BB174" s="35" t="s">
        <v>203</v>
      </c>
      <c r="BC174" s="35"/>
      <c r="BD174" s="35" t="s">
        <v>27</v>
      </c>
      <c r="BE174" s="53"/>
      <c r="BF174" s="53"/>
      <c r="BG174" s="53"/>
      <c r="BH174" s="53"/>
      <c r="BI174" s="53"/>
      <c r="BJ174" s="53"/>
      <c r="BK174" s="53"/>
      <c r="BL174" s="53"/>
      <c r="BM174" s="53"/>
      <c r="BN174" s="53">
        <f t="shared" si="34"/>
        <v>0</v>
      </c>
      <c r="BO174" s="142"/>
      <c r="BS174" s="143"/>
      <c r="BT174" s="143"/>
      <c r="BU174" s="144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</row>
    <row r="175" spans="1:95" s="35" customFormat="1" ht="12.75" customHeight="1">
      <c r="A175" s="35" t="s">
        <v>204</v>
      </c>
      <c r="B175" s="51"/>
      <c r="C175" s="35" t="s">
        <v>125</v>
      </c>
      <c r="D175" s="44"/>
      <c r="E175" s="53">
        <f t="shared" si="31"/>
        <v>2459082</v>
      </c>
      <c r="F175" s="53"/>
      <c r="G175" s="53">
        <v>6655494</v>
      </c>
      <c r="H175" s="53"/>
      <c r="I175" s="53">
        <v>9114576</v>
      </c>
      <c r="J175" s="53"/>
      <c r="K175" s="53">
        <v>260726</v>
      </c>
      <c r="L175" s="53"/>
      <c r="M175" s="53">
        <v>6708887</v>
      </c>
      <c r="N175" s="53"/>
      <c r="O175" s="53">
        <v>6978118</v>
      </c>
      <c r="P175" s="53"/>
      <c r="Q175" s="53">
        <v>51154</v>
      </c>
      <c r="R175" s="53"/>
      <c r="S175" s="53">
        <v>0</v>
      </c>
      <c r="T175" s="53"/>
      <c r="U175" s="53">
        <v>2085304</v>
      </c>
      <c r="V175" s="53"/>
      <c r="W175" s="53">
        <f t="shared" si="33"/>
        <v>2136458</v>
      </c>
      <c r="X175" s="51"/>
      <c r="Y175" s="51"/>
      <c r="Z175" s="35" t="s">
        <v>204</v>
      </c>
      <c r="AA175" s="53"/>
      <c r="AB175" s="35" t="s">
        <v>125</v>
      </c>
      <c r="AC175" s="51"/>
      <c r="AD175" s="53">
        <v>786461</v>
      </c>
      <c r="AE175" s="53"/>
      <c r="AF175" s="53">
        <f>904857-275184</f>
        <v>629673</v>
      </c>
      <c r="AG175" s="53"/>
      <c r="AH175" s="53">
        <v>275184</v>
      </c>
      <c r="AI175" s="53"/>
      <c r="AJ175" s="45">
        <f t="shared" si="30"/>
        <v>-118396</v>
      </c>
      <c r="AK175" s="45"/>
      <c r="AL175" s="53">
        <v>-288078</v>
      </c>
      <c r="AM175" s="45"/>
      <c r="AN175" s="53">
        <v>0</v>
      </c>
      <c r="AO175" s="53"/>
      <c r="AP175" s="53">
        <v>0</v>
      </c>
      <c r="AQ175" s="53"/>
      <c r="AR175" s="53">
        <v>131079</v>
      </c>
      <c r="AS175" s="53"/>
      <c r="AT175" s="45">
        <f t="shared" si="28"/>
        <v>-275395</v>
      </c>
      <c r="AU175" s="45"/>
      <c r="AV175" s="53">
        <v>0</v>
      </c>
      <c r="AW175" s="53"/>
      <c r="AX175" s="53">
        <v>0</v>
      </c>
      <c r="AY175" s="53"/>
      <c r="AZ175" s="53">
        <f t="shared" si="29"/>
        <v>2198356</v>
      </c>
      <c r="BA175" s="51"/>
      <c r="BB175" s="35" t="s">
        <v>204</v>
      </c>
      <c r="BD175" s="35" t="s">
        <v>125</v>
      </c>
      <c r="BE175" s="53"/>
      <c r="BF175" s="53">
        <v>6530000</v>
      </c>
      <c r="BG175" s="53"/>
      <c r="BH175" s="53">
        <v>0</v>
      </c>
      <c r="BI175" s="53"/>
      <c r="BJ175" s="53">
        <v>292654</v>
      </c>
      <c r="BK175" s="53"/>
      <c r="BL175" s="53">
        <v>10906</v>
      </c>
      <c r="BM175" s="53"/>
      <c r="BN175" s="53">
        <f t="shared" si="34"/>
        <v>6833560</v>
      </c>
      <c r="BO175" s="54"/>
      <c r="BS175" s="55"/>
      <c r="BT175" s="55"/>
      <c r="BU175" s="84"/>
      <c r="BV175" s="55"/>
      <c r="BW175" s="55"/>
      <c r="BX175" s="55"/>
      <c r="BY175" s="55"/>
      <c r="BZ175" s="55"/>
      <c r="CA175" s="55"/>
      <c r="CB175" s="55"/>
      <c r="CC175" s="55"/>
      <c r="CD175" s="55"/>
      <c r="CE175" s="55"/>
      <c r="CF175" s="55"/>
      <c r="CG175" s="55"/>
      <c r="CH175" s="55"/>
      <c r="CI175" s="55"/>
      <c r="CJ175" s="55"/>
      <c r="CK175" s="55"/>
      <c r="CL175" s="55"/>
      <c r="CM175" s="55"/>
      <c r="CN175" s="55"/>
      <c r="CO175" s="55"/>
      <c r="CP175" s="55"/>
      <c r="CQ175" s="55"/>
    </row>
    <row r="176" spans="1:95" s="126" customFormat="1" ht="12.75" hidden="1" customHeight="1">
      <c r="A176" s="35" t="s">
        <v>205</v>
      </c>
      <c r="B176" s="51"/>
      <c r="C176" s="35" t="s">
        <v>27</v>
      </c>
      <c r="D176" s="44"/>
      <c r="E176" s="53">
        <f t="shared" si="31"/>
        <v>0</v>
      </c>
      <c r="F176" s="53"/>
      <c r="G176" s="53"/>
      <c r="H176" s="53"/>
      <c r="I176" s="53"/>
      <c r="J176" s="53"/>
      <c r="K176" s="53">
        <f t="shared" si="32"/>
        <v>0</v>
      </c>
      <c r="L176" s="53"/>
      <c r="M176" s="53"/>
      <c r="N176" s="53"/>
      <c r="O176" s="53"/>
      <c r="P176" s="53"/>
      <c r="Q176" s="53"/>
      <c r="R176" s="53"/>
      <c r="S176" s="53">
        <v>0</v>
      </c>
      <c r="T176" s="53"/>
      <c r="U176" s="53"/>
      <c r="V176" s="53"/>
      <c r="W176" s="53">
        <f t="shared" si="33"/>
        <v>0</v>
      </c>
      <c r="X176" s="51"/>
      <c r="Y176" s="51"/>
      <c r="Z176" s="35" t="s">
        <v>205</v>
      </c>
      <c r="AA176" s="53"/>
      <c r="AB176" s="35" t="s">
        <v>27</v>
      </c>
      <c r="AC176" s="51"/>
      <c r="AD176" s="53"/>
      <c r="AE176" s="53"/>
      <c r="AF176" s="53"/>
      <c r="AG176" s="53"/>
      <c r="AH176" s="53"/>
      <c r="AI176" s="53"/>
      <c r="AJ176" s="45">
        <f t="shared" si="30"/>
        <v>0</v>
      </c>
      <c r="AK176" s="45"/>
      <c r="AL176" s="53"/>
      <c r="AM176" s="45"/>
      <c r="AN176" s="53"/>
      <c r="AO176" s="53"/>
      <c r="AP176" s="53"/>
      <c r="AQ176" s="53"/>
      <c r="AR176" s="53"/>
      <c r="AS176" s="53"/>
      <c r="AT176" s="45">
        <f t="shared" si="28"/>
        <v>0</v>
      </c>
      <c r="AU176" s="45"/>
      <c r="AV176" s="53">
        <v>0</v>
      </c>
      <c r="AW176" s="53"/>
      <c r="AX176" s="53">
        <v>0</v>
      </c>
      <c r="AY176" s="53"/>
      <c r="AZ176" s="53">
        <f t="shared" si="29"/>
        <v>0</v>
      </c>
      <c r="BA176" s="51"/>
      <c r="BB176" s="35" t="s">
        <v>205</v>
      </c>
      <c r="BC176" s="35"/>
      <c r="BD176" s="35" t="s">
        <v>27</v>
      </c>
      <c r="BE176" s="53"/>
      <c r="BF176" s="53"/>
      <c r="BG176" s="53"/>
      <c r="BH176" s="53"/>
      <c r="BI176" s="53"/>
      <c r="BJ176" s="53"/>
      <c r="BK176" s="53"/>
      <c r="BL176" s="53"/>
      <c r="BM176" s="53"/>
      <c r="BN176" s="53">
        <f t="shared" si="34"/>
        <v>0</v>
      </c>
      <c r="BO176" s="142"/>
      <c r="BS176" s="143"/>
      <c r="BT176" s="143"/>
      <c r="BU176" s="144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</row>
    <row r="177" spans="1:95" s="35" customFormat="1" ht="12.75" customHeight="1">
      <c r="A177" s="35" t="s">
        <v>206</v>
      </c>
      <c r="C177" s="35" t="s">
        <v>47</v>
      </c>
      <c r="D177" s="44"/>
      <c r="E177" s="53">
        <f t="shared" si="31"/>
        <v>4045335</v>
      </c>
      <c r="F177" s="53"/>
      <c r="G177" s="53">
        <v>14763545</v>
      </c>
      <c r="H177" s="53"/>
      <c r="I177" s="53">
        <v>18808880</v>
      </c>
      <c r="J177" s="53"/>
      <c r="K177" s="53">
        <v>1577399</v>
      </c>
      <c r="L177" s="53"/>
      <c r="M177" s="53">
        <f>73328+6678</f>
        <v>80006</v>
      </c>
      <c r="N177" s="53"/>
      <c r="O177" s="53">
        <v>1517796</v>
      </c>
      <c r="P177" s="53"/>
      <c r="Q177" s="53">
        <v>13442545</v>
      </c>
      <c r="R177" s="53"/>
      <c r="S177" s="53">
        <v>0</v>
      </c>
      <c r="T177" s="53"/>
      <c r="U177" s="53">
        <v>3848539</v>
      </c>
      <c r="V177" s="53"/>
      <c r="W177" s="53">
        <f>SUM(Q177:U177)</f>
        <v>17291084</v>
      </c>
      <c r="X177" s="51"/>
      <c r="Y177" s="51"/>
      <c r="Z177" s="35" t="s">
        <v>206</v>
      </c>
      <c r="AA177" s="53"/>
      <c r="AB177" s="35" t="s">
        <v>47</v>
      </c>
      <c r="AD177" s="53">
        <v>3809396</v>
      </c>
      <c r="AE177" s="53"/>
      <c r="AF177" s="53">
        <f>2973798-98384</f>
        <v>2875414</v>
      </c>
      <c r="AG177" s="53"/>
      <c r="AH177" s="53">
        <v>98384</v>
      </c>
      <c r="AI177" s="53"/>
      <c r="AJ177" s="45">
        <f t="shared" si="30"/>
        <v>835598</v>
      </c>
      <c r="AK177" s="45"/>
      <c r="AL177" s="53">
        <v>-59164</v>
      </c>
      <c r="AM177" s="45"/>
      <c r="AN177" s="53">
        <v>0</v>
      </c>
      <c r="AO177" s="53"/>
      <c r="AP177" s="53">
        <v>0</v>
      </c>
      <c r="AQ177" s="53"/>
      <c r="AR177" s="53">
        <v>146217</v>
      </c>
      <c r="AS177" s="53"/>
      <c r="AT177" s="45">
        <f t="shared" si="28"/>
        <v>922651</v>
      </c>
      <c r="AU177" s="45"/>
      <c r="AV177" s="53">
        <v>0</v>
      </c>
      <c r="AW177" s="53"/>
      <c r="AX177" s="53">
        <v>0</v>
      </c>
      <c r="AY177" s="53"/>
      <c r="AZ177" s="53">
        <f t="shared" si="29"/>
        <v>2467936</v>
      </c>
      <c r="BA177" s="51"/>
      <c r="BB177" s="35" t="s">
        <v>206</v>
      </c>
      <c r="BD177" s="35" t="s">
        <v>47</v>
      </c>
      <c r="BE177" s="53"/>
      <c r="BF177" s="53">
        <v>0</v>
      </c>
      <c r="BG177" s="53"/>
      <c r="BH177" s="53">
        <v>0</v>
      </c>
      <c r="BI177" s="53"/>
      <c r="BJ177" s="53">
        <v>5522447</v>
      </c>
      <c r="BK177" s="53"/>
      <c r="BL177" s="53">
        <v>118876</v>
      </c>
      <c r="BM177" s="53"/>
      <c r="BN177" s="53">
        <f t="shared" si="34"/>
        <v>5641323</v>
      </c>
      <c r="BO177" s="54"/>
      <c r="BS177" s="55"/>
      <c r="BT177" s="55"/>
      <c r="BU177" s="84"/>
      <c r="BV177" s="55"/>
      <c r="BW177" s="55"/>
      <c r="BX177" s="55"/>
      <c r="BY177" s="55"/>
      <c r="BZ177" s="55"/>
      <c r="CA177" s="55"/>
      <c r="CB177" s="55"/>
      <c r="CC177" s="55"/>
      <c r="CD177" s="55"/>
      <c r="CE177" s="55"/>
      <c r="CF177" s="55"/>
      <c r="CG177" s="55"/>
      <c r="CH177" s="55"/>
      <c r="CI177" s="55"/>
      <c r="CJ177" s="55"/>
      <c r="CK177" s="55"/>
      <c r="CL177" s="55"/>
      <c r="CM177" s="55"/>
      <c r="CN177" s="55"/>
      <c r="CO177" s="55"/>
      <c r="CP177" s="55"/>
      <c r="CQ177" s="55"/>
    </row>
    <row r="178" spans="1:95" s="35" customFormat="1" ht="12.75" customHeight="1">
      <c r="A178" s="35" t="s">
        <v>207</v>
      </c>
      <c r="B178" s="51"/>
      <c r="C178" s="35" t="s">
        <v>102</v>
      </c>
      <c r="D178" s="44"/>
      <c r="E178" s="53">
        <f t="shared" si="31"/>
        <v>0</v>
      </c>
      <c r="F178" s="53"/>
      <c r="G178" s="53">
        <v>18216835</v>
      </c>
      <c r="H178" s="53"/>
      <c r="I178" s="53">
        <v>18216835</v>
      </c>
      <c r="J178" s="53"/>
      <c r="K178" s="53">
        <v>897159</v>
      </c>
      <c r="L178" s="53"/>
      <c r="M178" s="53">
        <v>2793957</v>
      </c>
      <c r="N178" s="53"/>
      <c r="O178" s="53">
        <v>3444094</v>
      </c>
      <c r="P178" s="53"/>
      <c r="Q178" s="53">
        <v>14971515</v>
      </c>
      <c r="R178" s="53"/>
      <c r="S178" s="53">
        <v>0</v>
      </c>
      <c r="T178" s="53"/>
      <c r="U178" s="53">
        <v>2021871</v>
      </c>
      <c r="V178" s="53"/>
      <c r="W178" s="53">
        <f t="shared" si="33"/>
        <v>16993386</v>
      </c>
      <c r="X178" s="51"/>
      <c r="Y178" s="51"/>
      <c r="Z178" s="35" t="s">
        <v>207</v>
      </c>
      <c r="AA178" s="53"/>
      <c r="AB178" s="35" t="s">
        <v>102</v>
      </c>
      <c r="AC178" s="51"/>
      <c r="AD178" s="53">
        <v>1636814</v>
      </c>
      <c r="AE178" s="53"/>
      <c r="AF178" s="53">
        <f>1866068-516088</f>
        <v>1349980</v>
      </c>
      <c r="AG178" s="53"/>
      <c r="AH178" s="53">
        <v>516088</v>
      </c>
      <c r="AI178" s="53"/>
      <c r="AJ178" s="45">
        <f t="shared" si="30"/>
        <v>-229254</v>
      </c>
      <c r="AK178" s="45"/>
      <c r="AL178" s="53">
        <v>-53247</v>
      </c>
      <c r="AM178" s="45"/>
      <c r="AN178" s="53">
        <v>0</v>
      </c>
      <c r="AO178" s="53"/>
      <c r="AP178" s="53">
        <v>0</v>
      </c>
      <c r="AQ178" s="53"/>
      <c r="AR178" s="53">
        <v>447058</v>
      </c>
      <c r="AS178" s="53"/>
      <c r="AT178" s="45">
        <f t="shared" si="28"/>
        <v>164557</v>
      </c>
      <c r="AU178" s="45"/>
      <c r="AV178" s="53">
        <v>0</v>
      </c>
      <c r="AW178" s="53"/>
      <c r="AX178" s="53">
        <v>0</v>
      </c>
      <c r="AY178" s="53"/>
      <c r="AZ178" s="53">
        <f t="shared" si="29"/>
        <v>-897159</v>
      </c>
      <c r="BA178" s="51"/>
      <c r="BB178" s="35" t="s">
        <v>207</v>
      </c>
      <c r="BD178" s="35" t="s">
        <v>102</v>
      </c>
      <c r="BE178" s="53"/>
      <c r="BF178" s="53">
        <f>660+4014-56233</f>
        <v>-51559</v>
      </c>
      <c r="BG178" s="53"/>
      <c r="BH178" s="53">
        <v>0</v>
      </c>
      <c r="BI178" s="53"/>
      <c r="BJ178" s="53">
        <v>974369</v>
      </c>
      <c r="BK178" s="53"/>
      <c r="BL178" s="53">
        <f>2200000+6299+151889+75563</f>
        <v>2433751</v>
      </c>
      <c r="BM178" s="53"/>
      <c r="BN178" s="53">
        <f t="shared" si="34"/>
        <v>3356561</v>
      </c>
      <c r="BO178" s="54"/>
      <c r="BS178" s="55"/>
      <c r="BT178" s="55"/>
      <c r="BU178" s="84"/>
      <c r="BV178" s="55"/>
      <c r="BW178" s="55"/>
      <c r="BX178" s="55"/>
      <c r="BY178" s="55"/>
      <c r="BZ178" s="55"/>
      <c r="CA178" s="55"/>
      <c r="CB178" s="55"/>
      <c r="CC178" s="55"/>
      <c r="CD178" s="55"/>
      <c r="CE178" s="55"/>
      <c r="CF178" s="55"/>
      <c r="CG178" s="55"/>
      <c r="CH178" s="55"/>
      <c r="CI178" s="55"/>
      <c r="CJ178" s="55"/>
      <c r="CK178" s="55"/>
      <c r="CL178" s="55"/>
      <c r="CM178" s="55"/>
      <c r="CN178" s="55"/>
      <c r="CO178" s="55"/>
      <c r="CP178" s="55"/>
      <c r="CQ178" s="55"/>
    </row>
    <row r="179" spans="1:95" s="35" customFormat="1" ht="12.75" customHeight="1">
      <c r="A179" s="35" t="s">
        <v>208</v>
      </c>
      <c r="B179" s="51"/>
      <c r="C179" s="35" t="s">
        <v>209</v>
      </c>
      <c r="D179" s="44"/>
      <c r="E179" s="53">
        <f t="shared" si="31"/>
        <v>1770972</v>
      </c>
      <c r="F179" s="53"/>
      <c r="G179" s="53">
        <v>10926166</v>
      </c>
      <c r="H179" s="53"/>
      <c r="I179" s="53">
        <v>12697138</v>
      </c>
      <c r="J179" s="53"/>
      <c r="K179" s="53">
        <v>374639</v>
      </c>
      <c r="L179" s="53"/>
      <c r="M179" s="53">
        <v>860295</v>
      </c>
      <c r="N179" s="53"/>
      <c r="O179" s="53">
        <v>1186936</v>
      </c>
      <c r="P179" s="53"/>
      <c r="Q179" s="53">
        <v>10076465</v>
      </c>
      <c r="R179" s="53"/>
      <c r="S179" s="53">
        <v>0</v>
      </c>
      <c r="T179" s="53"/>
      <c r="U179" s="53">
        <v>1433737</v>
      </c>
      <c r="V179" s="53"/>
      <c r="W179" s="53">
        <f t="shared" si="33"/>
        <v>11510202</v>
      </c>
      <c r="X179" s="51"/>
      <c r="Y179" s="51"/>
      <c r="Z179" s="35" t="s">
        <v>208</v>
      </c>
      <c r="AA179" s="53"/>
      <c r="AB179" s="35" t="s">
        <v>209</v>
      </c>
      <c r="AC179" s="51"/>
      <c r="AD179" s="53">
        <v>2978886</v>
      </c>
      <c r="AE179" s="53"/>
      <c r="AF179" s="53">
        <f>2795648-401692</f>
        <v>2393956</v>
      </c>
      <c r="AG179" s="53"/>
      <c r="AH179" s="53">
        <v>401962</v>
      </c>
      <c r="AI179" s="53"/>
      <c r="AJ179" s="45">
        <f t="shared" si="30"/>
        <v>182968</v>
      </c>
      <c r="AK179" s="45"/>
      <c r="AL179" s="53">
        <v>67061</v>
      </c>
      <c r="AM179" s="45"/>
      <c r="AN179" s="53">
        <v>0</v>
      </c>
      <c r="AO179" s="53"/>
      <c r="AP179" s="53">
        <v>0</v>
      </c>
      <c r="AQ179" s="53"/>
      <c r="AR179" s="53">
        <v>0</v>
      </c>
      <c r="AS179" s="53"/>
      <c r="AT179" s="45">
        <f t="shared" si="28"/>
        <v>250029</v>
      </c>
      <c r="AU179" s="45"/>
      <c r="AV179" s="53">
        <v>0</v>
      </c>
      <c r="AW179" s="53"/>
      <c r="AX179" s="53">
        <v>0</v>
      </c>
      <c r="AY179" s="53"/>
      <c r="AZ179" s="53">
        <f t="shared" si="29"/>
        <v>1396333</v>
      </c>
      <c r="BA179" s="51"/>
      <c r="BB179" s="35" t="s">
        <v>208</v>
      </c>
      <c r="BD179" s="35" t="s">
        <v>209</v>
      </c>
      <c r="BE179" s="53"/>
      <c r="BF179" s="53">
        <v>1369254</v>
      </c>
      <c r="BG179" s="53"/>
      <c r="BH179" s="53">
        <v>0</v>
      </c>
      <c r="BI179" s="53"/>
      <c r="BJ179" s="53">
        <f>2633074+766226+83475</f>
        <v>3482775</v>
      </c>
      <c r="BK179" s="53"/>
      <c r="BL179" s="53">
        <v>1106955</v>
      </c>
      <c r="BM179" s="53"/>
      <c r="BN179" s="53">
        <f t="shared" si="34"/>
        <v>5958984</v>
      </c>
      <c r="BO179" s="54"/>
      <c r="BS179" s="55"/>
      <c r="BT179" s="55"/>
      <c r="BU179" s="84"/>
      <c r="BV179" s="55"/>
      <c r="BW179" s="55"/>
      <c r="BX179" s="55"/>
      <c r="BY179" s="55"/>
      <c r="BZ179" s="55"/>
      <c r="CA179" s="55"/>
      <c r="CB179" s="55"/>
      <c r="CC179" s="55"/>
      <c r="CD179" s="55"/>
      <c r="CE179" s="55"/>
      <c r="CF179" s="55"/>
      <c r="CG179" s="55"/>
      <c r="CH179" s="55"/>
      <c r="CI179" s="55"/>
      <c r="CJ179" s="55"/>
      <c r="CK179" s="55"/>
      <c r="CL179" s="55"/>
      <c r="CM179" s="55"/>
      <c r="CN179" s="55"/>
      <c r="CO179" s="55"/>
      <c r="CP179" s="55"/>
      <c r="CQ179" s="55"/>
    </row>
    <row r="180" spans="1:95" s="35" customFormat="1" ht="12.75" customHeight="1">
      <c r="A180" s="44" t="s">
        <v>210</v>
      </c>
      <c r="B180" s="51"/>
      <c r="C180" s="44" t="s">
        <v>211</v>
      </c>
      <c r="D180" s="44"/>
      <c r="E180" s="53">
        <f>I180-G180</f>
        <v>564573</v>
      </c>
      <c r="F180" s="53"/>
      <c r="G180" s="53">
        <v>2375059</v>
      </c>
      <c r="H180" s="53"/>
      <c r="I180" s="53">
        <v>2939632</v>
      </c>
      <c r="J180" s="53"/>
      <c r="K180" s="53">
        <f t="shared" si="32"/>
        <v>92949</v>
      </c>
      <c r="L180" s="53"/>
      <c r="M180" s="53">
        <v>741098</v>
      </c>
      <c r="N180" s="53"/>
      <c r="O180" s="53">
        <v>834047</v>
      </c>
      <c r="P180" s="53"/>
      <c r="Q180" s="53">
        <v>1598925</v>
      </c>
      <c r="R180" s="53"/>
      <c r="S180" s="53">
        <v>0</v>
      </c>
      <c r="T180" s="53"/>
      <c r="U180" s="53">
        <v>506660</v>
      </c>
      <c r="V180" s="53"/>
      <c r="W180" s="53">
        <f t="shared" si="33"/>
        <v>2105585</v>
      </c>
      <c r="X180" s="66"/>
      <c r="Y180" s="64"/>
      <c r="Z180" s="44" t="s">
        <v>210</v>
      </c>
      <c r="AA180" s="53"/>
      <c r="AB180" s="44" t="s">
        <v>211</v>
      </c>
      <c r="AC180" s="51"/>
      <c r="AD180" s="53">
        <v>1498053</v>
      </c>
      <c r="AE180" s="53"/>
      <c r="AF180" s="53">
        <f>1328152-66294</f>
        <v>1261858</v>
      </c>
      <c r="AG180" s="53"/>
      <c r="AH180" s="53">
        <v>66294</v>
      </c>
      <c r="AI180" s="53"/>
      <c r="AJ180" s="45">
        <f t="shared" si="30"/>
        <v>169901</v>
      </c>
      <c r="AK180" s="45"/>
      <c r="AL180" s="53">
        <v>-42149</v>
      </c>
      <c r="AM180" s="45"/>
      <c r="AN180" s="53">
        <v>794</v>
      </c>
      <c r="AO180" s="53"/>
      <c r="AP180" s="53">
        <v>0</v>
      </c>
      <c r="AQ180" s="53"/>
      <c r="AR180" s="53">
        <v>164527</v>
      </c>
      <c r="AS180" s="53"/>
      <c r="AT180" s="45">
        <f t="shared" si="28"/>
        <v>293073</v>
      </c>
      <c r="AU180" s="45"/>
      <c r="AV180" s="53">
        <v>0</v>
      </c>
      <c r="AW180" s="53"/>
      <c r="AX180" s="53">
        <v>0</v>
      </c>
      <c r="AY180" s="53"/>
      <c r="AZ180" s="53">
        <f t="shared" si="29"/>
        <v>471624</v>
      </c>
      <c r="BA180" s="66"/>
      <c r="BB180" s="44" t="s">
        <v>210</v>
      </c>
      <c r="BD180" s="44" t="s">
        <v>211</v>
      </c>
      <c r="BE180" s="53"/>
      <c r="BF180" s="53">
        <v>3810000</v>
      </c>
      <c r="BG180" s="53"/>
      <c r="BH180" s="53">
        <v>0</v>
      </c>
      <c r="BI180" s="53"/>
      <c r="BJ180" s="53">
        <f>237172+6708938</f>
        <v>6946110</v>
      </c>
      <c r="BK180" s="53"/>
      <c r="BL180" s="53">
        <v>107642</v>
      </c>
      <c r="BM180" s="53"/>
      <c r="BN180" s="53">
        <f t="shared" si="34"/>
        <v>10863752</v>
      </c>
      <c r="BO180" s="54"/>
      <c r="BS180" s="55"/>
      <c r="BT180" s="55"/>
      <c r="BU180" s="84"/>
      <c r="BV180" s="55"/>
      <c r="BW180" s="55"/>
      <c r="BX180" s="55"/>
      <c r="BY180" s="55"/>
      <c r="BZ180" s="55"/>
      <c r="CA180" s="55"/>
      <c r="CB180" s="55"/>
      <c r="CC180" s="55"/>
      <c r="CD180" s="55"/>
      <c r="CE180" s="55"/>
      <c r="CF180" s="55"/>
      <c r="CG180" s="55"/>
      <c r="CH180" s="55"/>
      <c r="CI180" s="55"/>
      <c r="CJ180" s="55"/>
      <c r="CK180" s="55"/>
      <c r="CL180" s="55"/>
      <c r="CM180" s="55"/>
      <c r="CN180" s="55"/>
      <c r="CO180" s="55"/>
      <c r="CP180" s="55"/>
      <c r="CQ180" s="55"/>
    </row>
    <row r="181" spans="1:95" s="35" customFormat="1" ht="12.75" customHeight="1">
      <c r="A181" s="44" t="s">
        <v>212</v>
      </c>
      <c r="B181" s="51"/>
      <c r="C181" s="44" t="s">
        <v>213</v>
      </c>
      <c r="D181" s="44"/>
      <c r="E181" s="53">
        <f t="shared" si="31"/>
        <v>4106152</v>
      </c>
      <c r="F181" s="53"/>
      <c r="G181" s="53">
        <v>19948394</v>
      </c>
      <c r="H181" s="53"/>
      <c r="I181" s="53">
        <v>24054546</v>
      </c>
      <c r="J181" s="53"/>
      <c r="K181" s="53">
        <f t="shared" si="32"/>
        <v>1834775</v>
      </c>
      <c r="L181" s="53"/>
      <c r="M181" s="53">
        <v>11605162</v>
      </c>
      <c r="N181" s="53"/>
      <c r="O181" s="53">
        <v>13439937</v>
      </c>
      <c r="P181" s="53"/>
      <c r="Q181" s="53">
        <v>7736367</v>
      </c>
      <c r="R181" s="53"/>
      <c r="S181" s="53">
        <v>755780</v>
      </c>
      <c r="T181" s="53"/>
      <c r="U181" s="53">
        <v>2122462</v>
      </c>
      <c r="V181" s="53"/>
      <c r="W181" s="53">
        <f t="shared" si="33"/>
        <v>10614609</v>
      </c>
      <c r="X181" s="51"/>
      <c r="Y181" s="51"/>
      <c r="Z181" s="44" t="s">
        <v>212</v>
      </c>
      <c r="AA181" s="53"/>
      <c r="AB181" s="44" t="s">
        <v>213</v>
      </c>
      <c r="AC181" s="51"/>
      <c r="AD181" s="53">
        <v>5577863</v>
      </c>
      <c r="AE181" s="53"/>
      <c r="AF181" s="53">
        <f>4902432-516835</f>
        <v>4385597</v>
      </c>
      <c r="AG181" s="53"/>
      <c r="AH181" s="53">
        <v>516835</v>
      </c>
      <c r="AI181" s="53"/>
      <c r="AJ181" s="45">
        <f t="shared" si="30"/>
        <v>675431</v>
      </c>
      <c r="AK181" s="45"/>
      <c r="AL181" s="53">
        <v>-439639</v>
      </c>
      <c r="AM181" s="45"/>
      <c r="AN181" s="53">
        <v>0</v>
      </c>
      <c r="AO181" s="53"/>
      <c r="AP181" s="53">
        <v>0</v>
      </c>
      <c r="AQ181" s="53"/>
      <c r="AR181" s="53">
        <v>0</v>
      </c>
      <c r="AS181" s="53"/>
      <c r="AT181" s="45">
        <f t="shared" si="28"/>
        <v>235792</v>
      </c>
      <c r="AU181" s="45"/>
      <c r="AV181" s="53">
        <v>0</v>
      </c>
      <c r="AW181" s="53"/>
      <c r="AX181" s="53">
        <v>0</v>
      </c>
      <c r="AY181" s="53"/>
      <c r="AZ181" s="53">
        <f t="shared" si="29"/>
        <v>2271377</v>
      </c>
      <c r="BA181" s="51"/>
      <c r="BB181" s="44" t="s">
        <v>212</v>
      </c>
      <c r="BD181" s="44" t="s">
        <v>213</v>
      </c>
      <c r="BE181" s="53"/>
      <c r="BF181" s="53">
        <v>0</v>
      </c>
      <c r="BG181" s="53"/>
      <c r="BH181" s="53">
        <v>0</v>
      </c>
      <c r="BI181" s="53"/>
      <c r="BJ181" s="53">
        <f>4094027+3400093</f>
        <v>7494120</v>
      </c>
      <c r="BK181" s="53"/>
      <c r="BL181" s="53">
        <f>68778+7661637</f>
        <v>7730415</v>
      </c>
      <c r="BM181" s="53"/>
      <c r="BN181" s="53">
        <f t="shared" si="34"/>
        <v>15224535</v>
      </c>
      <c r="BO181" s="54"/>
      <c r="BP181" s="55"/>
      <c r="BS181" s="55"/>
      <c r="BT181" s="55"/>
      <c r="BU181" s="84"/>
      <c r="BV181" s="55"/>
      <c r="BW181" s="55"/>
      <c r="BX181" s="55"/>
      <c r="BY181" s="55"/>
      <c r="BZ181" s="55"/>
      <c r="CA181" s="55"/>
      <c r="CB181" s="55"/>
      <c r="CC181" s="55"/>
      <c r="CD181" s="55"/>
      <c r="CE181" s="55"/>
      <c r="CF181" s="55"/>
      <c r="CG181" s="55"/>
      <c r="CH181" s="55"/>
      <c r="CI181" s="55"/>
      <c r="CJ181" s="55"/>
      <c r="CK181" s="55"/>
      <c r="CL181" s="55"/>
      <c r="CM181" s="55"/>
      <c r="CN181" s="55"/>
      <c r="CO181" s="55"/>
      <c r="CP181" s="55"/>
      <c r="CQ181" s="55"/>
    </row>
    <row r="182" spans="1:95" s="126" customFormat="1" ht="12.75" hidden="1" customHeight="1">
      <c r="A182" s="44" t="s">
        <v>214</v>
      </c>
      <c r="B182" s="51"/>
      <c r="C182" s="44" t="s">
        <v>86</v>
      </c>
      <c r="D182" s="44"/>
      <c r="E182" s="53">
        <f t="shared" si="31"/>
        <v>0</v>
      </c>
      <c r="F182" s="53"/>
      <c r="G182" s="53"/>
      <c r="H182" s="53"/>
      <c r="I182" s="53"/>
      <c r="J182" s="53"/>
      <c r="K182" s="53">
        <f>O182-M182</f>
        <v>0</v>
      </c>
      <c r="L182" s="53"/>
      <c r="M182" s="53"/>
      <c r="N182" s="53"/>
      <c r="O182" s="53"/>
      <c r="P182" s="53"/>
      <c r="Q182" s="53"/>
      <c r="R182" s="53"/>
      <c r="S182" s="53">
        <v>0</v>
      </c>
      <c r="T182" s="53"/>
      <c r="U182" s="53"/>
      <c r="V182" s="53"/>
      <c r="W182" s="53">
        <f t="shared" si="33"/>
        <v>0</v>
      </c>
      <c r="X182" s="51"/>
      <c r="Y182" s="51"/>
      <c r="Z182" s="44" t="s">
        <v>214</v>
      </c>
      <c r="AA182" s="53"/>
      <c r="AB182" s="44" t="s">
        <v>86</v>
      </c>
      <c r="AC182" s="51"/>
      <c r="AD182" s="53"/>
      <c r="AE182" s="53"/>
      <c r="AF182" s="53"/>
      <c r="AG182" s="53"/>
      <c r="AH182" s="53"/>
      <c r="AI182" s="53"/>
      <c r="AJ182" s="45">
        <f t="shared" si="30"/>
        <v>0</v>
      </c>
      <c r="AK182" s="45"/>
      <c r="AL182" s="53"/>
      <c r="AM182" s="45"/>
      <c r="AN182" s="53"/>
      <c r="AO182" s="53"/>
      <c r="AP182" s="53"/>
      <c r="AQ182" s="53"/>
      <c r="AR182" s="53"/>
      <c r="AS182" s="53"/>
      <c r="AT182" s="45">
        <f t="shared" si="28"/>
        <v>0</v>
      </c>
      <c r="AU182" s="45"/>
      <c r="AV182" s="53">
        <v>0</v>
      </c>
      <c r="AW182" s="53"/>
      <c r="AX182" s="53">
        <v>0</v>
      </c>
      <c r="AY182" s="53"/>
      <c r="AZ182" s="53">
        <f t="shared" si="29"/>
        <v>0</v>
      </c>
      <c r="BA182" s="51"/>
      <c r="BB182" s="44" t="s">
        <v>214</v>
      </c>
      <c r="BC182" s="35"/>
      <c r="BD182" s="44" t="s">
        <v>86</v>
      </c>
      <c r="BE182" s="53"/>
      <c r="BF182" s="53"/>
      <c r="BG182" s="53"/>
      <c r="BH182" s="53"/>
      <c r="BI182" s="53"/>
      <c r="BJ182" s="53"/>
      <c r="BK182" s="53"/>
      <c r="BL182" s="53"/>
      <c r="BM182" s="53"/>
      <c r="BN182" s="53">
        <f t="shared" si="34"/>
        <v>0</v>
      </c>
      <c r="BO182" s="142"/>
      <c r="BS182" s="143"/>
      <c r="BT182" s="143"/>
      <c r="BU182" s="144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</row>
    <row r="183" spans="1:95" s="35" customFormat="1" ht="12.75" customHeight="1">
      <c r="A183" s="35" t="s">
        <v>215</v>
      </c>
      <c r="C183" s="35" t="s">
        <v>22</v>
      </c>
      <c r="D183" s="44"/>
      <c r="E183" s="53">
        <f>I183-G183</f>
        <v>2255395</v>
      </c>
      <c r="F183" s="53"/>
      <c r="G183" s="53">
        <v>20027831</v>
      </c>
      <c r="H183" s="53"/>
      <c r="I183" s="53">
        <v>22283226</v>
      </c>
      <c r="J183" s="53"/>
      <c r="K183" s="53">
        <f>O183-M183</f>
        <v>645339</v>
      </c>
      <c r="L183" s="53"/>
      <c r="M183" s="53">
        <v>1689258</v>
      </c>
      <c r="N183" s="53"/>
      <c r="O183" s="53">
        <v>2334597</v>
      </c>
      <c r="P183" s="53"/>
      <c r="Q183" s="53">
        <v>17215224</v>
      </c>
      <c r="R183" s="53"/>
      <c r="S183" s="53">
        <f>275000+575513</f>
        <v>850513</v>
      </c>
      <c r="T183" s="53"/>
      <c r="U183" s="53">
        <v>1882892</v>
      </c>
      <c r="V183" s="53"/>
      <c r="W183" s="53">
        <f>SUM(Q183:U183)</f>
        <v>19948629</v>
      </c>
      <c r="X183" s="51"/>
      <c r="Y183" s="51"/>
      <c r="Z183" s="35" t="s">
        <v>215</v>
      </c>
      <c r="AB183" s="35" t="s">
        <v>22</v>
      </c>
      <c r="AC183" s="51"/>
      <c r="AD183" s="53">
        <v>2809626</v>
      </c>
      <c r="AE183" s="53"/>
      <c r="AF183" s="53">
        <f>4642840-553547</f>
        <v>4089293</v>
      </c>
      <c r="AG183" s="53"/>
      <c r="AH183" s="53">
        <v>553547</v>
      </c>
      <c r="AI183" s="53"/>
      <c r="AJ183" s="45">
        <f t="shared" si="30"/>
        <v>-1833214</v>
      </c>
      <c r="AK183" s="45"/>
      <c r="AL183" s="53">
        <v>675132</v>
      </c>
      <c r="AM183" s="45"/>
      <c r="AN183" s="53">
        <v>400741</v>
      </c>
      <c r="AO183" s="53"/>
      <c r="AP183" s="53">
        <v>0</v>
      </c>
      <c r="AQ183" s="53"/>
      <c r="AR183" s="53">
        <v>0</v>
      </c>
      <c r="AS183" s="53"/>
      <c r="AT183" s="45">
        <f t="shared" si="28"/>
        <v>-757341</v>
      </c>
      <c r="AU183" s="45"/>
      <c r="AV183" s="53">
        <v>0</v>
      </c>
      <c r="AW183" s="53"/>
      <c r="AX183" s="53">
        <v>0</v>
      </c>
      <c r="AY183" s="53"/>
      <c r="AZ183" s="53">
        <f t="shared" si="29"/>
        <v>1610056</v>
      </c>
      <c r="BA183" s="51"/>
      <c r="BB183" s="35" t="s">
        <v>215</v>
      </c>
      <c r="BD183" s="35" t="s">
        <v>22</v>
      </c>
      <c r="BE183" s="53"/>
      <c r="BF183" s="53">
        <v>0</v>
      </c>
      <c r="BG183" s="53"/>
      <c r="BH183" s="53">
        <v>357899</v>
      </c>
      <c r="BI183" s="53"/>
      <c r="BJ183" s="53">
        <v>268788</v>
      </c>
      <c r="BK183" s="53"/>
      <c r="BL183" s="53">
        <v>0</v>
      </c>
      <c r="BM183" s="53"/>
      <c r="BN183" s="53">
        <f>SUM(BF183:BL183)</f>
        <v>626687</v>
      </c>
      <c r="BO183" s="54"/>
      <c r="BS183" s="55"/>
      <c r="BT183" s="55"/>
      <c r="BU183" s="84"/>
      <c r="BV183" s="55"/>
      <c r="BW183" s="55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55"/>
      <c r="CI183" s="55"/>
      <c r="CJ183" s="55"/>
      <c r="CK183" s="55"/>
      <c r="CL183" s="55"/>
      <c r="CM183" s="55"/>
      <c r="CN183" s="55"/>
      <c r="CO183" s="55"/>
      <c r="CP183" s="55"/>
      <c r="CQ183" s="55"/>
    </row>
    <row r="184" spans="1:95" s="126" customFormat="1" ht="12.75" hidden="1" customHeight="1">
      <c r="A184" s="35" t="s">
        <v>216</v>
      </c>
      <c r="B184" s="51"/>
      <c r="C184" s="35" t="s">
        <v>45</v>
      </c>
      <c r="D184" s="44"/>
      <c r="E184" s="53">
        <f t="shared" si="31"/>
        <v>0</v>
      </c>
      <c r="F184" s="53"/>
      <c r="G184" s="53"/>
      <c r="H184" s="53"/>
      <c r="I184" s="53"/>
      <c r="J184" s="53"/>
      <c r="K184" s="53">
        <f t="shared" si="32"/>
        <v>0</v>
      </c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>
        <f t="shared" si="33"/>
        <v>0</v>
      </c>
      <c r="X184" s="51"/>
      <c r="Y184" s="51"/>
      <c r="Z184" s="35" t="s">
        <v>216</v>
      </c>
      <c r="AA184" s="53"/>
      <c r="AB184" s="35" t="s">
        <v>45</v>
      </c>
      <c r="AC184" s="51"/>
      <c r="AD184" s="53"/>
      <c r="AE184" s="53"/>
      <c r="AF184" s="53"/>
      <c r="AG184" s="53"/>
      <c r="AH184" s="53"/>
      <c r="AI184" s="53"/>
      <c r="AJ184" s="45">
        <f t="shared" si="30"/>
        <v>0</v>
      </c>
      <c r="AK184" s="45"/>
      <c r="AL184" s="53"/>
      <c r="AM184" s="45"/>
      <c r="AN184" s="53"/>
      <c r="AO184" s="53"/>
      <c r="AP184" s="53"/>
      <c r="AQ184" s="53"/>
      <c r="AR184" s="53"/>
      <c r="AS184" s="53"/>
      <c r="AT184" s="45">
        <f t="shared" si="28"/>
        <v>0</v>
      </c>
      <c r="AU184" s="45"/>
      <c r="AV184" s="53">
        <v>0</v>
      </c>
      <c r="AW184" s="53"/>
      <c r="AX184" s="53">
        <v>0</v>
      </c>
      <c r="AY184" s="53"/>
      <c r="AZ184" s="53">
        <f t="shared" si="29"/>
        <v>0</v>
      </c>
      <c r="BA184" s="51"/>
      <c r="BB184" s="35" t="s">
        <v>216</v>
      </c>
      <c r="BC184" s="35"/>
      <c r="BD184" s="35" t="s">
        <v>45</v>
      </c>
      <c r="BE184" s="53"/>
      <c r="BF184" s="53"/>
      <c r="BG184" s="53"/>
      <c r="BH184" s="53"/>
      <c r="BI184" s="53"/>
      <c r="BJ184" s="53"/>
      <c r="BK184" s="53"/>
      <c r="BL184" s="53"/>
      <c r="BM184" s="53"/>
      <c r="BN184" s="53">
        <f t="shared" si="34"/>
        <v>0</v>
      </c>
      <c r="BO184" s="142"/>
      <c r="BS184" s="143"/>
      <c r="BT184" s="143"/>
      <c r="BU184" s="144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</row>
    <row r="185" spans="1:95" s="35" customFormat="1" ht="12.75" customHeight="1">
      <c r="B185" s="51"/>
      <c r="D185" s="44"/>
      <c r="E185" s="53"/>
      <c r="F185" s="53"/>
      <c r="G185" s="53"/>
      <c r="H185" s="53"/>
      <c r="I185" s="53"/>
      <c r="J185" s="53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 t="s">
        <v>484</v>
      </c>
      <c r="X185" s="51"/>
      <c r="Y185" s="51"/>
      <c r="AA185" s="53"/>
      <c r="AC185" s="51"/>
      <c r="AD185" s="53"/>
      <c r="AE185" s="53"/>
      <c r="AF185" s="53"/>
      <c r="AG185" s="53"/>
      <c r="AH185" s="53"/>
      <c r="AI185" s="53"/>
      <c r="AJ185" s="45"/>
      <c r="AK185" s="45"/>
      <c r="AL185" s="53"/>
      <c r="AM185" s="45"/>
      <c r="AN185" s="53"/>
      <c r="AO185" s="53"/>
      <c r="AP185" s="53"/>
      <c r="AQ185" s="53"/>
      <c r="AR185" s="53"/>
      <c r="AS185" s="53"/>
      <c r="AT185" s="45"/>
      <c r="AU185" s="45"/>
      <c r="AV185" s="53"/>
      <c r="AW185" s="53"/>
      <c r="AX185" s="53"/>
      <c r="AY185" s="53"/>
      <c r="AZ185" s="53" t="s">
        <v>484</v>
      </c>
      <c r="BA185" s="51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 t="s">
        <v>484</v>
      </c>
      <c r="BO185" s="54"/>
      <c r="BS185" s="55"/>
      <c r="BT185" s="55"/>
      <c r="BU185" s="84"/>
      <c r="BV185" s="55"/>
      <c r="BW185" s="55"/>
      <c r="BX185" s="55"/>
      <c r="BY185" s="55"/>
      <c r="BZ185" s="55"/>
      <c r="CA185" s="55"/>
      <c r="CB185" s="55"/>
      <c r="CC185" s="55"/>
      <c r="CD185" s="55"/>
      <c r="CE185" s="55"/>
      <c r="CF185" s="55"/>
      <c r="CG185" s="55"/>
      <c r="CH185" s="55"/>
      <c r="CI185" s="55"/>
      <c r="CJ185" s="55"/>
      <c r="CK185" s="55"/>
      <c r="CL185" s="55"/>
      <c r="CM185" s="55"/>
      <c r="CN185" s="55"/>
      <c r="CO185" s="55"/>
      <c r="CP185" s="55"/>
      <c r="CQ185" s="55"/>
    </row>
    <row r="186" spans="1:95" s="64" customFormat="1" ht="12.75" customHeight="1">
      <c r="A186" s="64" t="s">
        <v>217</v>
      </c>
      <c r="B186" s="66"/>
      <c r="C186" s="64" t="s">
        <v>43</v>
      </c>
      <c r="D186" s="46"/>
      <c r="E186" s="79">
        <f t="shared" si="31"/>
        <v>2686985</v>
      </c>
      <c r="F186" s="79"/>
      <c r="G186" s="79">
        <v>22301623</v>
      </c>
      <c r="H186" s="79"/>
      <c r="I186" s="79">
        <v>24988608</v>
      </c>
      <c r="J186" s="79"/>
      <c r="K186" s="79">
        <f t="shared" si="32"/>
        <v>1027107</v>
      </c>
      <c r="L186" s="79"/>
      <c r="M186" s="79">
        <v>1871178</v>
      </c>
      <c r="N186" s="79"/>
      <c r="O186" s="79">
        <v>2898285</v>
      </c>
      <c r="P186" s="79"/>
      <c r="Q186" s="79">
        <v>21060873</v>
      </c>
      <c r="R186" s="79"/>
      <c r="S186" s="79">
        <v>0</v>
      </c>
      <c r="T186" s="79"/>
      <c r="U186" s="79">
        <v>1029450</v>
      </c>
      <c r="V186" s="79"/>
      <c r="W186" s="79">
        <f t="shared" si="33"/>
        <v>22090323</v>
      </c>
      <c r="X186" s="66"/>
      <c r="Y186" s="66"/>
      <c r="Z186" s="64" t="s">
        <v>217</v>
      </c>
      <c r="AA186" s="79"/>
      <c r="AB186" s="64" t="s">
        <v>43</v>
      </c>
      <c r="AC186" s="66"/>
      <c r="AD186" s="79">
        <v>4062023</v>
      </c>
      <c r="AE186" s="79"/>
      <c r="AF186" s="79">
        <f>4382137-618783</f>
        <v>3763354</v>
      </c>
      <c r="AG186" s="79"/>
      <c r="AH186" s="79">
        <v>618783</v>
      </c>
      <c r="AI186" s="79"/>
      <c r="AJ186" s="94">
        <f t="shared" si="30"/>
        <v>-320114</v>
      </c>
      <c r="AK186" s="94"/>
      <c r="AL186" s="79">
        <v>-99814</v>
      </c>
      <c r="AM186" s="94"/>
      <c r="AN186" s="79">
        <v>0</v>
      </c>
      <c r="AO186" s="79"/>
      <c r="AP186" s="79">
        <v>0</v>
      </c>
      <c r="AQ186" s="79"/>
      <c r="AR186" s="79">
        <f>232562+43537</f>
        <v>276099</v>
      </c>
      <c r="AS186" s="79"/>
      <c r="AT186" s="94">
        <f t="shared" si="28"/>
        <v>-143829</v>
      </c>
      <c r="AU186" s="94"/>
      <c r="AV186" s="79">
        <v>0</v>
      </c>
      <c r="AW186" s="79"/>
      <c r="AX186" s="79">
        <v>0</v>
      </c>
      <c r="AY186" s="79"/>
      <c r="AZ186" s="79">
        <f t="shared" si="29"/>
        <v>1659878</v>
      </c>
      <c r="BA186" s="66"/>
      <c r="BB186" s="64" t="s">
        <v>217</v>
      </c>
      <c r="BD186" s="64" t="s">
        <v>43</v>
      </c>
      <c r="BE186" s="79"/>
      <c r="BF186" s="79">
        <f>496000+126650-1980</f>
        <v>620670</v>
      </c>
      <c r="BG186" s="79"/>
      <c r="BH186" s="79">
        <v>0</v>
      </c>
      <c r="BI186" s="79"/>
      <c r="BJ186" s="79">
        <f>306728+741031</f>
        <v>1047759</v>
      </c>
      <c r="BK186" s="79"/>
      <c r="BL186" s="79">
        <v>114795</v>
      </c>
      <c r="BM186" s="79"/>
      <c r="BN186" s="79">
        <f t="shared" si="34"/>
        <v>1783224</v>
      </c>
      <c r="BO186" s="91"/>
      <c r="BS186" s="90"/>
      <c r="BT186" s="90"/>
      <c r="BU186" s="95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</row>
    <row r="187" spans="1:95" s="126" customFormat="1" ht="12.75" hidden="1" customHeight="1">
      <c r="A187" s="35" t="s">
        <v>218</v>
      </c>
      <c r="B187" s="51"/>
      <c r="C187" s="35" t="s">
        <v>27</v>
      </c>
      <c r="D187" s="44"/>
      <c r="E187" s="53">
        <f t="shared" si="31"/>
        <v>0</v>
      </c>
      <c r="F187" s="53"/>
      <c r="G187" s="53"/>
      <c r="H187" s="53"/>
      <c r="I187" s="53"/>
      <c r="J187" s="53"/>
      <c r="K187" s="53">
        <f t="shared" si="32"/>
        <v>0</v>
      </c>
      <c r="L187" s="53"/>
      <c r="M187" s="53"/>
      <c r="N187" s="53"/>
      <c r="O187" s="53"/>
      <c r="P187" s="53"/>
      <c r="Q187" s="53"/>
      <c r="R187" s="53"/>
      <c r="S187" s="53">
        <v>0</v>
      </c>
      <c r="T187" s="53"/>
      <c r="U187" s="53"/>
      <c r="V187" s="53"/>
      <c r="W187" s="53">
        <f t="shared" si="33"/>
        <v>0</v>
      </c>
      <c r="X187" s="51"/>
      <c r="Y187" s="51"/>
      <c r="Z187" s="35" t="s">
        <v>218</v>
      </c>
      <c r="AA187" s="53"/>
      <c r="AB187" s="35" t="s">
        <v>27</v>
      </c>
      <c r="AC187" s="51"/>
      <c r="AD187" s="53"/>
      <c r="AE187" s="53"/>
      <c r="AF187" s="53"/>
      <c r="AG187" s="53"/>
      <c r="AH187" s="53"/>
      <c r="AI187" s="53"/>
      <c r="AJ187" s="45">
        <f t="shared" si="30"/>
        <v>0</v>
      </c>
      <c r="AK187" s="45"/>
      <c r="AL187" s="53"/>
      <c r="AM187" s="45"/>
      <c r="AN187" s="53"/>
      <c r="AO187" s="53"/>
      <c r="AP187" s="53"/>
      <c r="AQ187" s="53"/>
      <c r="AR187" s="53"/>
      <c r="AS187" s="53"/>
      <c r="AT187" s="45">
        <f t="shared" si="28"/>
        <v>0</v>
      </c>
      <c r="AU187" s="45"/>
      <c r="AV187" s="53">
        <v>0</v>
      </c>
      <c r="AW187" s="53"/>
      <c r="AX187" s="53">
        <v>0</v>
      </c>
      <c r="AY187" s="53"/>
      <c r="AZ187" s="53">
        <f t="shared" si="29"/>
        <v>0</v>
      </c>
      <c r="BA187" s="51"/>
      <c r="BB187" s="35" t="s">
        <v>218</v>
      </c>
      <c r="BC187" s="35"/>
      <c r="BD187" s="35" t="s">
        <v>27</v>
      </c>
      <c r="BE187" s="53"/>
      <c r="BF187" s="53"/>
      <c r="BG187" s="53"/>
      <c r="BH187" s="53"/>
      <c r="BI187" s="53"/>
      <c r="BJ187" s="53"/>
      <c r="BK187" s="53"/>
      <c r="BL187" s="53"/>
      <c r="BM187" s="53"/>
      <c r="BN187" s="53">
        <f t="shared" si="34"/>
        <v>0</v>
      </c>
      <c r="BO187" s="142"/>
      <c r="BS187" s="143"/>
      <c r="BT187" s="143"/>
      <c r="BU187" s="144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</row>
    <row r="188" spans="1:95" s="35" customFormat="1" ht="12.75" customHeight="1">
      <c r="A188" s="35" t="s">
        <v>219</v>
      </c>
      <c r="B188" s="51"/>
      <c r="C188" s="35" t="s">
        <v>199</v>
      </c>
      <c r="D188" s="44"/>
      <c r="E188" s="53">
        <f t="shared" si="31"/>
        <v>904991</v>
      </c>
      <c r="F188" s="53"/>
      <c r="G188" s="53">
        <v>5380248</v>
      </c>
      <c r="H188" s="53"/>
      <c r="I188" s="53">
        <v>6285239</v>
      </c>
      <c r="J188" s="53"/>
      <c r="K188" s="53">
        <f t="shared" si="32"/>
        <v>167417</v>
      </c>
      <c r="L188" s="53"/>
      <c r="M188" s="53">
        <v>1475215</v>
      </c>
      <c r="N188" s="53"/>
      <c r="O188" s="53">
        <v>1642632</v>
      </c>
      <c r="P188" s="53"/>
      <c r="Q188" s="53">
        <v>3878449</v>
      </c>
      <c r="R188" s="53"/>
      <c r="S188" s="53">
        <v>0</v>
      </c>
      <c r="T188" s="53"/>
      <c r="U188" s="53">
        <v>764158</v>
      </c>
      <c r="V188" s="53"/>
      <c r="W188" s="53">
        <f t="shared" si="33"/>
        <v>4642607</v>
      </c>
      <c r="X188" s="51"/>
      <c r="Y188" s="51"/>
      <c r="Z188" s="35" t="s">
        <v>219</v>
      </c>
      <c r="AA188" s="53"/>
      <c r="AB188" s="35" t="s">
        <v>199</v>
      </c>
      <c r="AC188" s="51"/>
      <c r="AD188" s="53">
        <v>441404</v>
      </c>
      <c r="AE188" s="53"/>
      <c r="AF188" s="53">
        <f>845882-178336</f>
        <v>667546</v>
      </c>
      <c r="AG188" s="53"/>
      <c r="AH188" s="53">
        <v>178336</v>
      </c>
      <c r="AI188" s="53"/>
      <c r="AJ188" s="45">
        <f t="shared" si="30"/>
        <v>-404478</v>
      </c>
      <c r="AK188" s="45"/>
      <c r="AL188" s="53">
        <v>243363</v>
      </c>
      <c r="AM188" s="45"/>
      <c r="AN188" s="53">
        <v>0</v>
      </c>
      <c r="AO188" s="53"/>
      <c r="AP188" s="53">
        <v>0</v>
      </c>
      <c r="AQ188" s="53"/>
      <c r="AR188" s="53">
        <v>0</v>
      </c>
      <c r="AS188" s="53"/>
      <c r="AT188" s="45">
        <f t="shared" si="28"/>
        <v>-161115</v>
      </c>
      <c r="AU188" s="45"/>
      <c r="AV188" s="53">
        <v>0</v>
      </c>
      <c r="AW188" s="53"/>
      <c r="AX188" s="53">
        <v>0</v>
      </c>
      <c r="AY188" s="53"/>
      <c r="AZ188" s="53">
        <f t="shared" si="29"/>
        <v>737574</v>
      </c>
      <c r="BA188" s="51"/>
      <c r="BB188" s="35" t="s">
        <v>219</v>
      </c>
      <c r="BD188" s="35" t="s">
        <v>199</v>
      </c>
      <c r="BE188" s="53"/>
      <c r="BF188" s="53">
        <v>1320000</v>
      </c>
      <c r="BG188" s="53"/>
      <c r="BH188" s="53">
        <v>1060300</v>
      </c>
      <c r="BI188" s="53"/>
      <c r="BJ188" s="53">
        <v>1298756</v>
      </c>
      <c r="BK188" s="53"/>
      <c r="BL188" s="53">
        <v>45794</v>
      </c>
      <c r="BM188" s="53"/>
      <c r="BN188" s="53">
        <f t="shared" si="34"/>
        <v>3724850</v>
      </c>
      <c r="BO188" s="54"/>
      <c r="BS188" s="55"/>
      <c r="BT188" s="55"/>
      <c r="BU188" s="84"/>
      <c r="BV188" s="55"/>
      <c r="BW188" s="55"/>
      <c r="BX188" s="55"/>
      <c r="BY188" s="55"/>
      <c r="BZ188" s="55"/>
      <c r="CA188" s="55"/>
      <c r="CB188" s="55"/>
      <c r="CC188" s="55"/>
      <c r="CD188" s="55"/>
      <c r="CE188" s="55"/>
      <c r="CF188" s="55"/>
      <c r="CG188" s="55"/>
      <c r="CH188" s="55"/>
      <c r="CI188" s="55"/>
      <c r="CJ188" s="55"/>
      <c r="CK188" s="55"/>
      <c r="CL188" s="55"/>
      <c r="CM188" s="55"/>
      <c r="CN188" s="55"/>
      <c r="CO188" s="55"/>
      <c r="CP188" s="55"/>
      <c r="CQ188" s="55"/>
    </row>
    <row r="189" spans="1:95" s="126" customFormat="1" ht="12.75" hidden="1" customHeight="1">
      <c r="A189" s="35" t="s">
        <v>220</v>
      </c>
      <c r="B189" s="51"/>
      <c r="C189" s="35" t="s">
        <v>66</v>
      </c>
      <c r="D189" s="44"/>
      <c r="E189" s="53">
        <f t="shared" si="31"/>
        <v>0</v>
      </c>
      <c r="F189" s="53"/>
      <c r="G189" s="53"/>
      <c r="H189" s="53"/>
      <c r="I189" s="53"/>
      <c r="J189" s="53"/>
      <c r="K189" s="53">
        <f t="shared" si="32"/>
        <v>0</v>
      </c>
      <c r="L189" s="53"/>
      <c r="M189" s="53"/>
      <c r="N189" s="53"/>
      <c r="O189" s="53"/>
      <c r="P189" s="53"/>
      <c r="Q189" s="53"/>
      <c r="R189" s="53"/>
      <c r="S189" s="53">
        <v>0</v>
      </c>
      <c r="T189" s="53"/>
      <c r="U189" s="53"/>
      <c r="V189" s="53"/>
      <c r="W189" s="53">
        <f t="shared" si="33"/>
        <v>0</v>
      </c>
      <c r="X189" s="51"/>
      <c r="Y189" s="51"/>
      <c r="Z189" s="35" t="s">
        <v>220</v>
      </c>
      <c r="AA189" s="53"/>
      <c r="AB189" s="35" t="s">
        <v>66</v>
      </c>
      <c r="AC189" s="51"/>
      <c r="AD189" s="53"/>
      <c r="AE189" s="53"/>
      <c r="AF189" s="53"/>
      <c r="AG189" s="53"/>
      <c r="AH189" s="53"/>
      <c r="AI189" s="53"/>
      <c r="AJ189" s="45">
        <f t="shared" si="30"/>
        <v>0</v>
      </c>
      <c r="AK189" s="45"/>
      <c r="AL189" s="53"/>
      <c r="AM189" s="45"/>
      <c r="AN189" s="53"/>
      <c r="AO189" s="53"/>
      <c r="AP189" s="53"/>
      <c r="AQ189" s="53"/>
      <c r="AR189" s="53"/>
      <c r="AS189" s="53"/>
      <c r="AT189" s="45">
        <f t="shared" si="28"/>
        <v>0</v>
      </c>
      <c r="AU189" s="45"/>
      <c r="AV189" s="53">
        <v>0</v>
      </c>
      <c r="AW189" s="53"/>
      <c r="AX189" s="53">
        <v>0</v>
      </c>
      <c r="AY189" s="53"/>
      <c r="AZ189" s="53">
        <f t="shared" si="29"/>
        <v>0</v>
      </c>
      <c r="BA189" s="51"/>
      <c r="BB189" s="35" t="s">
        <v>220</v>
      </c>
      <c r="BC189" s="35"/>
      <c r="BD189" s="35" t="s">
        <v>66</v>
      </c>
      <c r="BE189" s="53"/>
      <c r="BF189" s="53"/>
      <c r="BG189" s="53"/>
      <c r="BH189" s="53"/>
      <c r="BI189" s="53"/>
      <c r="BJ189" s="53"/>
      <c r="BK189" s="53"/>
      <c r="BL189" s="53"/>
      <c r="BM189" s="53"/>
      <c r="BN189" s="53">
        <f t="shared" si="34"/>
        <v>0</v>
      </c>
      <c r="BO189" s="142"/>
      <c r="BS189" s="143"/>
      <c r="BT189" s="143"/>
      <c r="BU189" s="144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</row>
    <row r="190" spans="1:95" s="126" customFormat="1" ht="12.75" hidden="1" customHeight="1">
      <c r="A190" s="35" t="s">
        <v>221</v>
      </c>
      <c r="B190" s="51"/>
      <c r="C190" s="35" t="s">
        <v>27</v>
      </c>
      <c r="D190" s="44"/>
      <c r="E190" s="53">
        <f t="shared" si="31"/>
        <v>0</v>
      </c>
      <c r="F190" s="53"/>
      <c r="G190" s="53"/>
      <c r="H190" s="53"/>
      <c r="I190" s="53"/>
      <c r="J190" s="53"/>
      <c r="K190" s="53">
        <f t="shared" si="32"/>
        <v>0</v>
      </c>
      <c r="L190" s="53"/>
      <c r="M190" s="53"/>
      <c r="N190" s="53"/>
      <c r="O190" s="53"/>
      <c r="P190" s="53"/>
      <c r="Q190" s="53"/>
      <c r="R190" s="53"/>
      <c r="S190" s="53">
        <v>0</v>
      </c>
      <c r="T190" s="53"/>
      <c r="U190" s="53"/>
      <c r="V190" s="53"/>
      <c r="W190" s="53">
        <f t="shared" si="33"/>
        <v>0</v>
      </c>
      <c r="X190" s="51"/>
      <c r="Y190" s="51"/>
      <c r="Z190" s="35" t="s">
        <v>221</v>
      </c>
      <c r="AA190" s="53"/>
      <c r="AB190" s="35" t="s">
        <v>27</v>
      </c>
      <c r="AC190" s="51"/>
      <c r="AD190" s="53"/>
      <c r="AE190" s="53"/>
      <c r="AF190" s="53"/>
      <c r="AG190" s="53"/>
      <c r="AH190" s="53"/>
      <c r="AI190" s="53"/>
      <c r="AJ190" s="45">
        <f t="shared" si="30"/>
        <v>0</v>
      </c>
      <c r="AK190" s="45"/>
      <c r="AL190" s="53"/>
      <c r="AM190" s="45"/>
      <c r="AN190" s="53"/>
      <c r="AO190" s="53"/>
      <c r="AP190" s="53"/>
      <c r="AQ190" s="53"/>
      <c r="AR190" s="53"/>
      <c r="AS190" s="53"/>
      <c r="AT190" s="45">
        <f t="shared" si="28"/>
        <v>0</v>
      </c>
      <c r="AU190" s="45"/>
      <c r="AV190" s="53">
        <v>0</v>
      </c>
      <c r="AW190" s="53"/>
      <c r="AX190" s="53">
        <v>0</v>
      </c>
      <c r="AY190" s="53"/>
      <c r="AZ190" s="53">
        <f t="shared" si="29"/>
        <v>0</v>
      </c>
      <c r="BA190" s="51"/>
      <c r="BB190" s="35" t="s">
        <v>221</v>
      </c>
      <c r="BC190" s="35"/>
      <c r="BD190" s="35" t="s">
        <v>27</v>
      </c>
      <c r="BE190" s="53"/>
      <c r="BF190" s="53"/>
      <c r="BG190" s="53"/>
      <c r="BH190" s="53"/>
      <c r="BI190" s="53"/>
      <c r="BJ190" s="53"/>
      <c r="BK190" s="53"/>
      <c r="BL190" s="53"/>
      <c r="BM190" s="53"/>
      <c r="BN190" s="53">
        <f t="shared" si="34"/>
        <v>0</v>
      </c>
      <c r="BO190" s="142"/>
      <c r="BS190" s="143"/>
      <c r="BT190" s="143"/>
      <c r="BU190" s="144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</row>
    <row r="191" spans="1:95" s="35" customFormat="1" ht="12.75" customHeight="1">
      <c r="A191" s="35" t="s">
        <v>222</v>
      </c>
      <c r="B191" s="51"/>
      <c r="C191" s="35" t="s">
        <v>47</v>
      </c>
      <c r="D191" s="44"/>
      <c r="E191" s="53">
        <f t="shared" si="31"/>
        <v>443428</v>
      </c>
      <c r="F191" s="53"/>
      <c r="G191" s="53">
        <v>2537721</v>
      </c>
      <c r="H191" s="53"/>
      <c r="I191" s="53">
        <v>2981149</v>
      </c>
      <c r="J191" s="53"/>
      <c r="K191" s="53">
        <f t="shared" si="32"/>
        <v>303100</v>
      </c>
      <c r="L191" s="53"/>
      <c r="M191" s="53">
        <v>1570303</v>
      </c>
      <c r="N191" s="53"/>
      <c r="O191" s="53">
        <v>1873403</v>
      </c>
      <c r="P191" s="53"/>
      <c r="Q191" s="53">
        <v>898840</v>
      </c>
      <c r="R191" s="53"/>
      <c r="S191" s="53">
        <v>0</v>
      </c>
      <c r="T191" s="53"/>
      <c r="U191" s="53">
        <v>208906</v>
      </c>
      <c r="V191" s="53"/>
      <c r="W191" s="53">
        <f t="shared" si="33"/>
        <v>1107746</v>
      </c>
      <c r="X191" s="51"/>
      <c r="Y191" s="51"/>
      <c r="Z191" s="35" t="s">
        <v>222</v>
      </c>
      <c r="AA191" s="53"/>
      <c r="AB191" s="35" t="s">
        <v>47</v>
      </c>
      <c r="AC191" s="51"/>
      <c r="AD191" s="53">
        <v>203124</v>
      </c>
      <c r="AE191" s="53"/>
      <c r="AF191" s="53">
        <f>93958-66425</f>
        <v>27533</v>
      </c>
      <c r="AG191" s="53"/>
      <c r="AH191" s="53">
        <v>66425</v>
      </c>
      <c r="AI191" s="53"/>
      <c r="AJ191" s="45">
        <f t="shared" si="30"/>
        <v>109166</v>
      </c>
      <c r="AK191" s="45"/>
      <c r="AL191" s="53">
        <v>-87290</v>
      </c>
      <c r="AM191" s="45"/>
      <c r="AN191" s="53">
        <v>60000</v>
      </c>
      <c r="AO191" s="53"/>
      <c r="AP191" s="53">
        <v>0</v>
      </c>
      <c r="AQ191" s="53"/>
      <c r="AR191" s="53">
        <v>774000</v>
      </c>
      <c r="AS191" s="53"/>
      <c r="AT191" s="45">
        <f t="shared" si="28"/>
        <v>855876</v>
      </c>
      <c r="AU191" s="45"/>
      <c r="AV191" s="53">
        <v>0</v>
      </c>
      <c r="AW191" s="53"/>
      <c r="AX191" s="53">
        <v>0</v>
      </c>
      <c r="AY191" s="53"/>
      <c r="AZ191" s="53">
        <f t="shared" si="29"/>
        <v>140328</v>
      </c>
      <c r="BA191" s="51"/>
      <c r="BB191" s="35" t="s">
        <v>222</v>
      </c>
      <c r="BD191" s="35" t="s">
        <v>47</v>
      </c>
      <c r="BE191" s="53"/>
      <c r="BF191" s="53">
        <v>2905000</v>
      </c>
      <c r="BG191" s="53"/>
      <c r="BH191" s="53">
        <v>0</v>
      </c>
      <c r="BI191" s="53"/>
      <c r="BJ191" s="53">
        <f>51640+1076025</f>
        <v>1127665</v>
      </c>
      <c r="BK191" s="53"/>
      <c r="BL191" s="53">
        <v>0</v>
      </c>
      <c r="BM191" s="53"/>
      <c r="BN191" s="53">
        <f t="shared" si="34"/>
        <v>4032665</v>
      </c>
      <c r="BO191" s="54"/>
      <c r="BS191" s="55"/>
      <c r="BT191" s="55"/>
      <c r="BU191" s="84"/>
      <c r="BV191" s="55"/>
      <c r="BW191" s="55"/>
      <c r="BX191" s="55"/>
      <c r="BY191" s="55"/>
      <c r="BZ191" s="55"/>
      <c r="CA191" s="55"/>
      <c r="CB191" s="55"/>
      <c r="CC191" s="55"/>
      <c r="CD191" s="55"/>
      <c r="CE191" s="55"/>
      <c r="CF191" s="55"/>
      <c r="CG191" s="55"/>
      <c r="CH191" s="55"/>
      <c r="CI191" s="55"/>
      <c r="CJ191" s="55"/>
      <c r="CK191" s="55"/>
      <c r="CL191" s="55"/>
      <c r="CM191" s="55"/>
      <c r="CN191" s="55"/>
      <c r="CO191" s="55"/>
      <c r="CP191" s="55"/>
      <c r="CQ191" s="55"/>
    </row>
    <row r="192" spans="1:95" s="35" customFormat="1" ht="12.75" customHeight="1">
      <c r="A192" s="35" t="s">
        <v>223</v>
      </c>
      <c r="B192" s="51"/>
      <c r="C192" s="35" t="s">
        <v>94</v>
      </c>
      <c r="D192" s="44"/>
      <c r="E192" s="53">
        <f t="shared" si="31"/>
        <v>4832274</v>
      </c>
      <c r="F192" s="53"/>
      <c r="G192" s="53">
        <v>8625662</v>
      </c>
      <c r="H192" s="53"/>
      <c r="I192" s="53">
        <v>13457936</v>
      </c>
      <c r="J192" s="53"/>
      <c r="K192" s="53">
        <f t="shared" si="32"/>
        <v>318887</v>
      </c>
      <c r="L192" s="53"/>
      <c r="M192" s="53">
        <v>272467</v>
      </c>
      <c r="N192" s="53"/>
      <c r="O192" s="53">
        <v>591354</v>
      </c>
      <c r="P192" s="53"/>
      <c r="Q192" s="53">
        <v>8389912</v>
      </c>
      <c r="R192" s="53"/>
      <c r="S192" s="53">
        <v>0</v>
      </c>
      <c r="T192" s="53"/>
      <c r="U192" s="53">
        <v>4476670</v>
      </c>
      <c r="V192" s="53"/>
      <c r="W192" s="53">
        <f t="shared" si="33"/>
        <v>12866582</v>
      </c>
      <c r="X192" s="51"/>
      <c r="Y192" s="51"/>
      <c r="Z192" s="35" t="s">
        <v>223</v>
      </c>
      <c r="AA192" s="53"/>
      <c r="AB192" s="35" t="s">
        <v>94</v>
      </c>
      <c r="AC192" s="51"/>
      <c r="AD192" s="53">
        <v>1459687</v>
      </c>
      <c r="AE192" s="53"/>
      <c r="AF192" s="53">
        <f>1882622-429506</f>
        <v>1453116</v>
      </c>
      <c r="AG192" s="53"/>
      <c r="AH192" s="53">
        <v>429506</v>
      </c>
      <c r="AI192" s="53"/>
      <c r="AJ192" s="45">
        <f t="shared" si="30"/>
        <v>-422935</v>
      </c>
      <c r="AK192" s="45"/>
      <c r="AL192" s="53">
        <f>6149-2995</f>
        <v>3154</v>
      </c>
      <c r="AM192" s="45"/>
      <c r="AN192" s="53">
        <v>186541</v>
      </c>
      <c r="AO192" s="53"/>
      <c r="AP192" s="53">
        <v>0</v>
      </c>
      <c r="AQ192" s="53"/>
      <c r="AR192" s="53">
        <v>97552</v>
      </c>
      <c r="AS192" s="53"/>
      <c r="AT192" s="45">
        <f t="shared" si="28"/>
        <v>-135688</v>
      </c>
      <c r="AU192" s="45"/>
      <c r="AV192" s="53">
        <v>0</v>
      </c>
      <c r="AW192" s="53"/>
      <c r="AX192" s="53">
        <v>0</v>
      </c>
      <c r="AY192" s="53"/>
      <c r="AZ192" s="53">
        <f t="shared" si="29"/>
        <v>4513387</v>
      </c>
      <c r="BA192" s="51"/>
      <c r="BB192" s="35" t="s">
        <v>223</v>
      </c>
      <c r="BD192" s="35" t="s">
        <v>94</v>
      </c>
      <c r="BE192" s="53"/>
      <c r="BF192" s="53">
        <v>0</v>
      </c>
      <c r="BG192" s="53"/>
      <c r="BH192" s="53">
        <v>0</v>
      </c>
      <c r="BI192" s="53"/>
      <c r="BJ192" s="53">
        <v>235750</v>
      </c>
      <c r="BK192" s="53"/>
      <c r="BL192" s="53">
        <v>147520</v>
      </c>
      <c r="BM192" s="53"/>
      <c r="BN192" s="53">
        <f t="shared" si="34"/>
        <v>383270</v>
      </c>
      <c r="BO192" s="54"/>
      <c r="BS192" s="55"/>
      <c r="BT192" s="55"/>
      <c r="BU192" s="84"/>
      <c r="BV192" s="55"/>
      <c r="BW192" s="55"/>
      <c r="BX192" s="55"/>
      <c r="BY192" s="55"/>
      <c r="BZ192" s="55"/>
      <c r="CA192" s="55"/>
      <c r="CB192" s="55"/>
      <c r="CC192" s="55"/>
      <c r="CD192" s="55"/>
      <c r="CE192" s="55"/>
      <c r="CF192" s="55"/>
      <c r="CG192" s="55"/>
      <c r="CH192" s="55"/>
      <c r="CI192" s="55"/>
      <c r="CJ192" s="55"/>
      <c r="CK192" s="55"/>
      <c r="CL192" s="55"/>
      <c r="CM192" s="55"/>
      <c r="CN192" s="55"/>
      <c r="CO192" s="55"/>
      <c r="CP192" s="55"/>
      <c r="CQ192" s="55"/>
    </row>
    <row r="193" spans="1:227" s="35" customFormat="1" ht="12.75" customHeight="1">
      <c r="A193" s="35" t="s">
        <v>76</v>
      </c>
      <c r="B193" s="51"/>
      <c r="C193" s="35" t="s">
        <v>132</v>
      </c>
      <c r="D193" s="44"/>
      <c r="E193" s="53">
        <f>I193-G193</f>
        <v>12390807</v>
      </c>
      <c r="F193" s="53"/>
      <c r="G193" s="53">
        <v>23017246</v>
      </c>
      <c r="H193" s="53"/>
      <c r="I193" s="53">
        <v>35408053</v>
      </c>
      <c r="J193" s="53"/>
      <c r="K193" s="53">
        <f t="shared" si="32"/>
        <v>880370</v>
      </c>
      <c r="L193" s="53"/>
      <c r="M193" s="53">
        <v>16038571</v>
      </c>
      <c r="N193" s="53"/>
      <c r="O193" s="53">
        <v>16918941</v>
      </c>
      <c r="P193" s="53"/>
      <c r="Q193" s="53">
        <v>6983939</v>
      </c>
      <c r="R193" s="53"/>
      <c r="S193" s="53">
        <v>0</v>
      </c>
      <c r="T193" s="53"/>
      <c r="U193" s="53">
        <v>11505173</v>
      </c>
      <c r="V193" s="53"/>
      <c r="W193" s="53">
        <f t="shared" si="33"/>
        <v>18489112</v>
      </c>
      <c r="X193" s="51"/>
      <c r="Y193" s="51"/>
      <c r="Z193" s="35" t="s">
        <v>76</v>
      </c>
      <c r="AA193" s="53"/>
      <c r="AB193" s="35" t="s">
        <v>132</v>
      </c>
      <c r="AC193" s="51"/>
      <c r="AD193" s="53">
        <v>5499096</v>
      </c>
      <c r="AE193" s="53"/>
      <c r="AF193" s="53">
        <f>4626578-939661</f>
        <v>3686917</v>
      </c>
      <c r="AG193" s="53"/>
      <c r="AH193" s="53">
        <v>939661</v>
      </c>
      <c r="AI193" s="53"/>
      <c r="AJ193" s="45">
        <f t="shared" si="30"/>
        <v>872518</v>
      </c>
      <c r="AK193" s="45"/>
      <c r="AL193" s="53">
        <v>-957065</v>
      </c>
      <c r="AM193" s="45"/>
      <c r="AN193" s="53">
        <v>0</v>
      </c>
      <c r="AO193" s="53"/>
      <c r="AP193" s="53">
        <v>156085</v>
      </c>
      <c r="AQ193" s="53"/>
      <c r="AR193" s="53">
        <v>75286</v>
      </c>
      <c r="AS193" s="53"/>
      <c r="AT193" s="45">
        <f t="shared" ref="AT193:AT197" si="36">+AJ193+AL193+AN193-AP193+AR193</f>
        <v>-165346</v>
      </c>
      <c r="AU193" s="45"/>
      <c r="AV193" s="53">
        <v>0</v>
      </c>
      <c r="AW193" s="53"/>
      <c r="AX193" s="53">
        <v>0</v>
      </c>
      <c r="AY193" s="53"/>
      <c r="AZ193" s="53">
        <f t="shared" ref="AZ193:AZ197" si="37">E193-K193</f>
        <v>11510437</v>
      </c>
      <c r="BA193" s="51"/>
      <c r="BB193" s="35" t="s">
        <v>76</v>
      </c>
      <c r="BD193" s="35" t="s">
        <v>132</v>
      </c>
      <c r="BE193" s="53"/>
      <c r="BF193" s="53">
        <v>2294659</v>
      </c>
      <c r="BG193" s="53"/>
      <c r="BH193" s="53">
        <v>0</v>
      </c>
      <c r="BI193" s="53"/>
      <c r="BJ193" s="53">
        <v>15449907</v>
      </c>
      <c r="BK193" s="53"/>
      <c r="BL193" s="53">
        <f>515446+579962</f>
        <v>1095408</v>
      </c>
      <c r="BM193" s="53"/>
      <c r="BN193" s="53">
        <f t="shared" si="34"/>
        <v>18839974</v>
      </c>
      <c r="BO193" s="54"/>
      <c r="BS193" s="55"/>
      <c r="BT193" s="55"/>
      <c r="BU193" s="84"/>
      <c r="BV193" s="55"/>
      <c r="BW193" s="55"/>
      <c r="BX193" s="55"/>
      <c r="BY193" s="55"/>
      <c r="BZ193" s="55"/>
      <c r="CA193" s="55"/>
      <c r="CB193" s="55"/>
      <c r="CC193" s="55"/>
      <c r="CD193" s="55"/>
      <c r="CE193" s="55"/>
      <c r="CF193" s="55"/>
      <c r="CG193" s="55"/>
      <c r="CH193" s="55"/>
      <c r="CI193" s="55"/>
      <c r="CJ193" s="55"/>
      <c r="CK193" s="55"/>
      <c r="CL193" s="55"/>
      <c r="CM193" s="55"/>
      <c r="CN193" s="55"/>
      <c r="CO193" s="55"/>
      <c r="CP193" s="55"/>
      <c r="CQ193" s="55"/>
    </row>
    <row r="194" spans="1:227" s="126" customFormat="1" ht="12.75" hidden="1" customHeight="1">
      <c r="A194" s="35" t="s">
        <v>224</v>
      </c>
      <c r="B194" s="51"/>
      <c r="C194" s="35" t="s">
        <v>27</v>
      </c>
      <c r="D194" s="44"/>
      <c r="E194" s="53">
        <f>I194-G194</f>
        <v>0</v>
      </c>
      <c r="F194" s="53"/>
      <c r="G194" s="53"/>
      <c r="H194" s="53"/>
      <c r="I194" s="53"/>
      <c r="J194" s="53"/>
      <c r="K194" s="53">
        <f t="shared" si="32"/>
        <v>0</v>
      </c>
      <c r="L194" s="53"/>
      <c r="M194" s="53"/>
      <c r="N194" s="53"/>
      <c r="O194" s="53"/>
      <c r="P194" s="53"/>
      <c r="Q194" s="53"/>
      <c r="R194" s="53"/>
      <c r="S194" s="53">
        <v>0</v>
      </c>
      <c r="T194" s="53"/>
      <c r="U194" s="53"/>
      <c r="V194" s="53"/>
      <c r="W194" s="53">
        <f t="shared" si="33"/>
        <v>0</v>
      </c>
      <c r="X194" s="51"/>
      <c r="Y194" s="51"/>
      <c r="Z194" s="35" t="s">
        <v>224</v>
      </c>
      <c r="AA194" s="53"/>
      <c r="AB194" s="35" t="s">
        <v>27</v>
      </c>
      <c r="AC194" s="51"/>
      <c r="AD194" s="53"/>
      <c r="AE194" s="53"/>
      <c r="AF194" s="53"/>
      <c r="AG194" s="53"/>
      <c r="AH194" s="53"/>
      <c r="AI194" s="53"/>
      <c r="AJ194" s="45">
        <f t="shared" si="30"/>
        <v>0</v>
      </c>
      <c r="AK194" s="45"/>
      <c r="AL194" s="53"/>
      <c r="AM194" s="45"/>
      <c r="AN194" s="53"/>
      <c r="AO194" s="53"/>
      <c r="AP194" s="53"/>
      <c r="AQ194" s="53"/>
      <c r="AR194" s="53"/>
      <c r="AS194" s="53"/>
      <c r="AT194" s="45">
        <f t="shared" si="36"/>
        <v>0</v>
      </c>
      <c r="AU194" s="45"/>
      <c r="AV194" s="53">
        <v>0</v>
      </c>
      <c r="AW194" s="53"/>
      <c r="AX194" s="53">
        <v>0</v>
      </c>
      <c r="AY194" s="53"/>
      <c r="AZ194" s="53">
        <f t="shared" si="37"/>
        <v>0</v>
      </c>
      <c r="BA194" s="51"/>
      <c r="BB194" s="35" t="s">
        <v>224</v>
      </c>
      <c r="BC194" s="35"/>
      <c r="BD194" s="35" t="s">
        <v>27</v>
      </c>
      <c r="BE194" s="53"/>
      <c r="BF194" s="53"/>
      <c r="BG194" s="53"/>
      <c r="BH194" s="53"/>
      <c r="BI194" s="53"/>
      <c r="BJ194" s="53"/>
      <c r="BK194" s="53"/>
      <c r="BL194" s="53"/>
      <c r="BM194" s="53"/>
      <c r="BN194" s="53">
        <f t="shared" si="34"/>
        <v>0</v>
      </c>
      <c r="BO194" s="142"/>
      <c r="BS194" s="143"/>
      <c r="BT194" s="143"/>
      <c r="BU194" s="144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</row>
    <row r="195" spans="1:227" s="126" customFormat="1" ht="12.75" hidden="1" customHeight="1">
      <c r="A195" s="35" t="s">
        <v>225</v>
      </c>
      <c r="B195" s="51"/>
      <c r="C195" s="35" t="s">
        <v>27</v>
      </c>
      <c r="D195" s="44"/>
      <c r="E195" s="53">
        <f t="shared" si="31"/>
        <v>0</v>
      </c>
      <c r="F195" s="53"/>
      <c r="G195" s="53"/>
      <c r="H195" s="53"/>
      <c r="I195" s="53"/>
      <c r="J195" s="53"/>
      <c r="K195" s="53">
        <f t="shared" si="32"/>
        <v>0</v>
      </c>
      <c r="L195" s="53"/>
      <c r="M195" s="53"/>
      <c r="N195" s="53"/>
      <c r="O195" s="53"/>
      <c r="P195" s="53"/>
      <c r="Q195" s="53"/>
      <c r="R195" s="53"/>
      <c r="S195" s="53">
        <v>0</v>
      </c>
      <c r="T195" s="53"/>
      <c r="U195" s="53"/>
      <c r="V195" s="53"/>
      <c r="W195" s="53">
        <f t="shared" si="33"/>
        <v>0</v>
      </c>
      <c r="X195" s="51"/>
      <c r="Y195" s="51"/>
      <c r="Z195" s="35" t="s">
        <v>225</v>
      </c>
      <c r="AA195" s="53"/>
      <c r="AB195" s="35" t="s">
        <v>27</v>
      </c>
      <c r="AC195" s="51"/>
      <c r="AD195" s="53"/>
      <c r="AE195" s="53"/>
      <c r="AF195" s="53"/>
      <c r="AG195" s="53"/>
      <c r="AH195" s="53"/>
      <c r="AI195" s="53"/>
      <c r="AJ195" s="45">
        <f t="shared" si="30"/>
        <v>0</v>
      </c>
      <c r="AK195" s="45"/>
      <c r="AL195" s="53"/>
      <c r="AM195" s="45"/>
      <c r="AN195" s="53"/>
      <c r="AO195" s="53"/>
      <c r="AP195" s="53"/>
      <c r="AQ195" s="53"/>
      <c r="AR195" s="53"/>
      <c r="AS195" s="53"/>
      <c r="AT195" s="45">
        <f t="shared" si="36"/>
        <v>0</v>
      </c>
      <c r="AU195" s="45"/>
      <c r="AV195" s="53">
        <v>0</v>
      </c>
      <c r="AW195" s="53"/>
      <c r="AX195" s="53">
        <v>0</v>
      </c>
      <c r="AY195" s="53"/>
      <c r="AZ195" s="53">
        <f t="shared" si="37"/>
        <v>0</v>
      </c>
      <c r="BA195" s="51"/>
      <c r="BB195" s="35" t="s">
        <v>225</v>
      </c>
      <c r="BC195" s="35"/>
      <c r="BD195" s="35" t="s">
        <v>27</v>
      </c>
      <c r="BE195" s="53"/>
      <c r="BF195" s="53"/>
      <c r="BG195" s="53"/>
      <c r="BH195" s="53"/>
      <c r="BI195" s="53"/>
      <c r="BJ195" s="53"/>
      <c r="BK195" s="53"/>
      <c r="BL195" s="53"/>
      <c r="BM195" s="53"/>
      <c r="BN195" s="53">
        <f t="shared" si="34"/>
        <v>0</v>
      </c>
      <c r="BO195" s="142"/>
      <c r="BS195" s="143"/>
      <c r="BT195" s="143"/>
      <c r="BU195" s="144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</row>
    <row r="196" spans="1:227" s="126" customFormat="1" ht="12.75" hidden="1" customHeight="1">
      <c r="A196" s="35" t="s">
        <v>226</v>
      </c>
      <c r="B196" s="51"/>
      <c r="C196" s="35" t="s">
        <v>45</v>
      </c>
      <c r="D196" s="44"/>
      <c r="E196" s="53">
        <f t="shared" si="31"/>
        <v>0</v>
      </c>
      <c r="F196" s="53"/>
      <c r="G196" s="53"/>
      <c r="H196" s="53"/>
      <c r="I196" s="53"/>
      <c r="J196" s="53"/>
      <c r="K196" s="53">
        <f t="shared" si="32"/>
        <v>0</v>
      </c>
      <c r="L196" s="53"/>
      <c r="M196" s="53"/>
      <c r="N196" s="53"/>
      <c r="O196" s="53"/>
      <c r="P196" s="53"/>
      <c r="Q196" s="53"/>
      <c r="R196" s="53"/>
      <c r="S196" s="53">
        <v>0</v>
      </c>
      <c r="T196" s="53"/>
      <c r="U196" s="53"/>
      <c r="V196" s="53"/>
      <c r="W196" s="53">
        <f t="shared" si="33"/>
        <v>0</v>
      </c>
      <c r="X196" s="51"/>
      <c r="Y196" s="51"/>
      <c r="Z196" s="35" t="s">
        <v>226</v>
      </c>
      <c r="AA196" s="53"/>
      <c r="AB196" s="35" t="s">
        <v>45</v>
      </c>
      <c r="AC196" s="51"/>
      <c r="AD196" s="53"/>
      <c r="AE196" s="53"/>
      <c r="AF196" s="53"/>
      <c r="AG196" s="53"/>
      <c r="AH196" s="53"/>
      <c r="AI196" s="53"/>
      <c r="AJ196" s="45">
        <f t="shared" si="30"/>
        <v>0</v>
      </c>
      <c r="AK196" s="45"/>
      <c r="AL196" s="53"/>
      <c r="AM196" s="45"/>
      <c r="AN196" s="53"/>
      <c r="AO196" s="53"/>
      <c r="AP196" s="53"/>
      <c r="AQ196" s="53"/>
      <c r="AR196" s="53"/>
      <c r="AS196" s="53"/>
      <c r="AT196" s="45">
        <f t="shared" si="36"/>
        <v>0</v>
      </c>
      <c r="AU196" s="45"/>
      <c r="AV196" s="53">
        <v>0</v>
      </c>
      <c r="AW196" s="53"/>
      <c r="AX196" s="53">
        <v>0</v>
      </c>
      <c r="AY196" s="53"/>
      <c r="AZ196" s="53">
        <f t="shared" si="37"/>
        <v>0</v>
      </c>
      <c r="BA196" s="51"/>
      <c r="BB196" s="35" t="s">
        <v>226</v>
      </c>
      <c r="BC196" s="35"/>
      <c r="BD196" s="35" t="s">
        <v>45</v>
      </c>
      <c r="BE196" s="53"/>
      <c r="BF196" s="53"/>
      <c r="BG196" s="53"/>
      <c r="BH196" s="53"/>
      <c r="BI196" s="53"/>
      <c r="BJ196" s="53"/>
      <c r="BK196" s="53"/>
      <c r="BL196" s="53"/>
      <c r="BM196" s="53"/>
      <c r="BN196" s="53">
        <f t="shared" si="34"/>
        <v>0</v>
      </c>
      <c r="BO196" s="142"/>
      <c r="BS196" s="143"/>
      <c r="BT196" s="143"/>
      <c r="BU196" s="144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</row>
    <row r="197" spans="1:227" s="35" customFormat="1" ht="12.75" customHeight="1">
      <c r="A197" s="35" t="s">
        <v>227</v>
      </c>
      <c r="C197" s="35" t="s">
        <v>17</v>
      </c>
      <c r="D197" s="44"/>
      <c r="E197" s="53">
        <f t="shared" si="31"/>
        <v>210782</v>
      </c>
      <c r="F197" s="53"/>
      <c r="G197" s="53">
        <v>554646</v>
      </c>
      <c r="H197" s="53"/>
      <c r="I197" s="53">
        <v>765428</v>
      </c>
      <c r="J197" s="53"/>
      <c r="K197" s="53">
        <f t="shared" si="32"/>
        <v>232800</v>
      </c>
      <c r="L197" s="53"/>
      <c r="M197" s="53">
        <v>16832</v>
      </c>
      <c r="N197" s="53"/>
      <c r="O197" s="53">
        <v>249632</v>
      </c>
      <c r="P197" s="53"/>
      <c r="Q197" s="53">
        <v>374646</v>
      </c>
      <c r="R197" s="53"/>
      <c r="S197" s="53">
        <v>0</v>
      </c>
      <c r="T197" s="53"/>
      <c r="U197" s="53">
        <v>141150</v>
      </c>
      <c r="V197" s="53"/>
      <c r="W197" s="53">
        <f t="shared" si="33"/>
        <v>515796</v>
      </c>
      <c r="X197" s="51"/>
      <c r="Y197" s="51"/>
      <c r="Z197" s="35" t="s">
        <v>227</v>
      </c>
      <c r="AA197" s="53"/>
      <c r="AB197" s="35" t="s">
        <v>17</v>
      </c>
      <c r="AD197" s="53">
        <v>612258</v>
      </c>
      <c r="AE197" s="53"/>
      <c r="AF197" s="53">
        <f>572793-47884</f>
        <v>524909</v>
      </c>
      <c r="AG197" s="53"/>
      <c r="AH197" s="53">
        <v>47884</v>
      </c>
      <c r="AI197" s="53"/>
      <c r="AJ197" s="45">
        <f t="shared" si="30"/>
        <v>39465</v>
      </c>
      <c r="AK197" s="45"/>
      <c r="AL197" s="53">
        <v>-10421</v>
      </c>
      <c r="AM197" s="45"/>
      <c r="AN197" s="53">
        <v>0</v>
      </c>
      <c r="AO197" s="53"/>
      <c r="AP197" s="53">
        <v>0</v>
      </c>
      <c r="AQ197" s="53"/>
      <c r="AR197" s="53">
        <v>0</v>
      </c>
      <c r="AS197" s="53"/>
      <c r="AT197" s="45">
        <f t="shared" si="36"/>
        <v>29044</v>
      </c>
      <c r="AU197" s="45"/>
      <c r="AV197" s="53">
        <v>0</v>
      </c>
      <c r="AW197" s="53"/>
      <c r="AX197" s="53">
        <v>0</v>
      </c>
      <c r="AY197" s="53"/>
      <c r="AZ197" s="53">
        <f t="shared" si="37"/>
        <v>-22018</v>
      </c>
      <c r="BA197" s="51"/>
      <c r="BB197" s="35" t="s">
        <v>227</v>
      </c>
      <c r="BD197" s="35" t="s">
        <v>17</v>
      </c>
      <c r="BE197" s="53"/>
      <c r="BF197" s="53">
        <v>1750000</v>
      </c>
      <c r="BG197" s="53"/>
      <c r="BH197" s="53">
        <v>0</v>
      </c>
      <c r="BI197" s="53"/>
      <c r="BJ197" s="53">
        <v>313233</v>
      </c>
      <c r="BK197" s="53"/>
      <c r="BL197" s="53">
        <f>51113+180000+113076</f>
        <v>344189</v>
      </c>
      <c r="BM197" s="53"/>
      <c r="BN197" s="53">
        <f t="shared" si="34"/>
        <v>2407422</v>
      </c>
      <c r="BO197" s="54"/>
      <c r="BS197" s="55"/>
      <c r="BT197" s="55"/>
      <c r="BU197" s="84"/>
      <c r="BV197" s="55"/>
      <c r="BW197" s="55"/>
      <c r="BX197" s="55"/>
      <c r="BY197" s="55"/>
      <c r="BZ197" s="55"/>
      <c r="CA197" s="55"/>
      <c r="CB197" s="55"/>
      <c r="CC197" s="55"/>
      <c r="CD197" s="55"/>
      <c r="CE197" s="55"/>
      <c r="CF197" s="55"/>
      <c r="CG197" s="55"/>
      <c r="CH197" s="55"/>
      <c r="CI197" s="55"/>
      <c r="CJ197" s="55"/>
      <c r="CK197" s="55"/>
      <c r="CL197" s="55"/>
      <c r="CM197" s="55"/>
      <c r="CN197" s="55"/>
      <c r="CO197" s="55"/>
      <c r="CP197" s="55"/>
      <c r="CQ197" s="55"/>
    </row>
    <row r="198" spans="1:227" s="35" customFormat="1" ht="12.75" customHeight="1">
      <c r="A198" s="35" t="s">
        <v>228</v>
      </c>
      <c r="B198" s="51"/>
      <c r="C198" s="35" t="s">
        <v>153</v>
      </c>
      <c r="D198" s="44"/>
      <c r="E198" s="53">
        <f t="shared" si="31"/>
        <v>1162779</v>
      </c>
      <c r="F198" s="53"/>
      <c r="G198" s="53">
        <v>10577539</v>
      </c>
      <c r="H198" s="53"/>
      <c r="I198" s="53">
        <v>11740318</v>
      </c>
      <c r="J198" s="53"/>
      <c r="K198" s="53">
        <f t="shared" si="32"/>
        <v>258134</v>
      </c>
      <c r="L198" s="53"/>
      <c r="M198" s="53">
        <v>2763528</v>
      </c>
      <c r="N198" s="53"/>
      <c r="O198" s="53">
        <v>3021662</v>
      </c>
      <c r="P198" s="53"/>
      <c r="Q198" s="53">
        <v>7717560</v>
      </c>
      <c r="R198" s="53"/>
      <c r="S198" s="53">
        <v>0</v>
      </c>
      <c r="T198" s="53"/>
      <c r="U198" s="53">
        <v>1001096</v>
      </c>
      <c r="V198" s="53"/>
      <c r="W198" s="53">
        <f t="shared" si="33"/>
        <v>8718656</v>
      </c>
      <c r="X198" s="51"/>
      <c r="Y198" s="51"/>
      <c r="Z198" s="35" t="s">
        <v>228</v>
      </c>
      <c r="AA198" s="53"/>
      <c r="AB198" s="35" t="s">
        <v>153</v>
      </c>
      <c r="AC198" s="51"/>
      <c r="AD198" s="53">
        <v>1938460</v>
      </c>
      <c r="AE198" s="53"/>
      <c r="AF198" s="53">
        <f>1628663-346441</f>
        <v>1282222</v>
      </c>
      <c r="AG198" s="53"/>
      <c r="AH198" s="53">
        <v>346441</v>
      </c>
      <c r="AI198" s="53"/>
      <c r="AJ198" s="45">
        <f>+AD198-AF198-AH198</f>
        <v>309797</v>
      </c>
      <c r="AK198" s="45"/>
      <c r="AL198" s="53">
        <v>-62624</v>
      </c>
      <c r="AM198" s="45"/>
      <c r="AN198" s="53">
        <v>0</v>
      </c>
      <c r="AO198" s="53"/>
      <c r="AP198" s="53">
        <v>0</v>
      </c>
      <c r="AQ198" s="53"/>
      <c r="AR198" s="53">
        <v>693905</v>
      </c>
      <c r="AS198" s="53"/>
      <c r="AT198" s="45">
        <f>+AJ198+AL198+AN198-AP198+AR198</f>
        <v>941078</v>
      </c>
      <c r="AU198" s="45"/>
      <c r="AV198" s="53">
        <v>0</v>
      </c>
      <c r="AW198" s="53"/>
      <c r="AX198" s="53">
        <v>0</v>
      </c>
      <c r="AY198" s="53"/>
      <c r="AZ198" s="53">
        <f>E198-K198</f>
        <v>904645</v>
      </c>
      <c r="BA198" s="51"/>
      <c r="BB198" s="35" t="s">
        <v>228</v>
      </c>
      <c r="BD198" s="35" t="s">
        <v>153</v>
      </c>
      <c r="BE198" s="53"/>
      <c r="BF198" s="53">
        <v>0</v>
      </c>
      <c r="BG198" s="53"/>
      <c r="BH198" s="53">
        <v>0</v>
      </c>
      <c r="BI198" s="53"/>
      <c r="BJ198" s="53">
        <f>171428+4042043</f>
        <v>4213471</v>
      </c>
      <c r="BK198" s="53"/>
      <c r="BL198" s="53">
        <v>370699</v>
      </c>
      <c r="BM198" s="53"/>
      <c r="BN198" s="53">
        <f t="shared" si="34"/>
        <v>4584170</v>
      </c>
      <c r="BO198" s="54"/>
      <c r="BP198" s="55"/>
      <c r="BS198" s="55"/>
      <c r="BT198" s="55"/>
      <c r="BU198" s="84"/>
      <c r="BV198" s="55"/>
      <c r="BW198" s="55"/>
      <c r="BX198" s="55"/>
      <c r="BY198" s="55"/>
      <c r="BZ198" s="55"/>
      <c r="CA198" s="55"/>
      <c r="CB198" s="55"/>
      <c r="CC198" s="55"/>
      <c r="CD198" s="55"/>
      <c r="CE198" s="55"/>
      <c r="CF198" s="55"/>
      <c r="CG198" s="55"/>
      <c r="CH198" s="55"/>
      <c r="CI198" s="55"/>
      <c r="CJ198" s="55"/>
      <c r="CK198" s="55"/>
      <c r="CL198" s="55"/>
      <c r="CM198" s="55"/>
      <c r="CN198" s="55"/>
      <c r="CO198" s="55"/>
      <c r="CP198" s="55"/>
      <c r="CQ198" s="55"/>
    </row>
    <row r="199" spans="1:227" s="35" customFormat="1" ht="12.75" customHeight="1">
      <c r="A199" s="35" t="s">
        <v>229</v>
      </c>
      <c r="B199" s="51"/>
      <c r="C199" s="35" t="s">
        <v>228</v>
      </c>
      <c r="D199" s="44"/>
      <c r="E199" s="53">
        <f t="shared" si="31"/>
        <v>3731731</v>
      </c>
      <c r="F199" s="53"/>
      <c r="G199" s="53">
        <v>7669440</v>
      </c>
      <c r="H199" s="53"/>
      <c r="I199" s="53">
        <v>11401171</v>
      </c>
      <c r="J199" s="53"/>
      <c r="K199" s="53">
        <v>1112972</v>
      </c>
      <c r="L199" s="53"/>
      <c r="M199" s="53">
        <v>249416</v>
      </c>
      <c r="N199" s="53"/>
      <c r="O199" s="53">
        <v>1362388</v>
      </c>
      <c r="P199" s="53"/>
      <c r="Q199" s="53">
        <v>7179860</v>
      </c>
      <c r="R199" s="53"/>
      <c r="S199" s="53">
        <v>160420</v>
      </c>
      <c r="T199" s="53"/>
      <c r="U199" s="53">
        <v>2698503</v>
      </c>
      <c r="V199" s="53"/>
      <c r="W199" s="53">
        <f t="shared" si="33"/>
        <v>10038783</v>
      </c>
      <c r="Z199" s="35" t="s">
        <v>229</v>
      </c>
      <c r="AA199" s="53"/>
      <c r="AB199" s="35" t="s">
        <v>228</v>
      </c>
      <c r="AC199" s="51"/>
      <c r="AD199" s="53">
        <v>3557415</v>
      </c>
      <c r="AE199" s="53"/>
      <c r="AF199" s="53">
        <f>3574134-342522</f>
        <v>3231612</v>
      </c>
      <c r="AG199" s="53"/>
      <c r="AH199" s="53">
        <v>342522</v>
      </c>
      <c r="AI199" s="53"/>
      <c r="AJ199" s="45">
        <f>+AD199-AF199-AH199</f>
        <v>-16719</v>
      </c>
      <c r="AK199" s="45"/>
      <c r="AL199" s="53">
        <v>135966</v>
      </c>
      <c r="AM199" s="45"/>
      <c r="AN199" s="53">
        <v>0</v>
      </c>
      <c r="AO199" s="53"/>
      <c r="AP199" s="53">
        <v>84346</v>
      </c>
      <c r="AQ199" s="53"/>
      <c r="AR199" s="53">
        <v>98081</v>
      </c>
      <c r="AS199" s="53"/>
      <c r="AT199" s="45">
        <f>+AJ199+AL199+AN199-AP199+AR199</f>
        <v>132982</v>
      </c>
      <c r="AU199" s="45"/>
      <c r="AV199" s="53">
        <v>0</v>
      </c>
      <c r="AW199" s="53"/>
      <c r="AX199" s="53">
        <v>0</v>
      </c>
      <c r="AY199" s="53"/>
      <c r="AZ199" s="53">
        <f t="shared" ref="AZ199:AZ213" si="38">E199-K199</f>
        <v>2618759</v>
      </c>
      <c r="BA199" s="51"/>
      <c r="BB199" s="35" t="s">
        <v>229</v>
      </c>
      <c r="BD199" s="35" t="s">
        <v>228</v>
      </c>
      <c r="BE199" s="53"/>
      <c r="BF199" s="53">
        <f>6485000+650000</f>
        <v>7135000</v>
      </c>
      <c r="BG199" s="53"/>
      <c r="BH199" s="53">
        <v>0</v>
      </c>
      <c r="BI199" s="53"/>
      <c r="BJ199" s="53">
        <v>0</v>
      </c>
      <c r="BK199" s="53"/>
      <c r="BL199" s="53">
        <f>7529727-7135000</f>
        <v>394727</v>
      </c>
      <c r="BM199" s="53"/>
      <c r="BN199" s="53">
        <f t="shared" si="34"/>
        <v>7529727</v>
      </c>
      <c r="BO199" s="54"/>
      <c r="BS199" s="55"/>
      <c r="BT199" s="55"/>
      <c r="BU199" s="84"/>
      <c r="BV199" s="55"/>
      <c r="BW199" s="55"/>
      <c r="BX199" s="55"/>
      <c r="BY199" s="55"/>
      <c r="BZ199" s="55"/>
      <c r="CA199" s="55"/>
      <c r="CB199" s="55"/>
      <c r="CC199" s="55"/>
      <c r="CD199" s="55"/>
      <c r="CE199" s="55"/>
      <c r="CF199" s="55"/>
      <c r="CG199" s="55"/>
      <c r="CH199" s="55"/>
      <c r="CI199" s="55"/>
      <c r="CJ199" s="55"/>
      <c r="CK199" s="55"/>
      <c r="CL199" s="55"/>
      <c r="CM199" s="55"/>
      <c r="CN199" s="55"/>
      <c r="CO199" s="55"/>
      <c r="CP199" s="55"/>
      <c r="CQ199" s="55"/>
    </row>
    <row r="200" spans="1:227" s="126" customFormat="1" ht="12.75" hidden="1" customHeight="1">
      <c r="A200" s="35" t="s">
        <v>230</v>
      </c>
      <c r="B200" s="51"/>
      <c r="C200" s="35" t="s">
        <v>45</v>
      </c>
      <c r="D200" s="44"/>
      <c r="E200" s="53">
        <f t="shared" si="31"/>
        <v>0</v>
      </c>
      <c r="F200" s="53"/>
      <c r="G200" s="53"/>
      <c r="H200" s="53"/>
      <c r="I200" s="53"/>
      <c r="J200" s="53"/>
      <c r="K200" s="53">
        <f t="shared" si="32"/>
        <v>0</v>
      </c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>
        <f t="shared" si="33"/>
        <v>0</v>
      </c>
      <c r="X200" s="51"/>
      <c r="Y200" s="51"/>
      <c r="Z200" s="35" t="s">
        <v>230</v>
      </c>
      <c r="AA200" s="53"/>
      <c r="AB200" s="35" t="s">
        <v>45</v>
      </c>
      <c r="AC200" s="51"/>
      <c r="AD200" s="53"/>
      <c r="AE200" s="53"/>
      <c r="AF200" s="53"/>
      <c r="AG200" s="53"/>
      <c r="AH200" s="53"/>
      <c r="AI200" s="53"/>
      <c r="AJ200" s="45">
        <f t="shared" ref="AJ200:AJ213" si="39">+AD200-AF200-AH200</f>
        <v>0</v>
      </c>
      <c r="AK200" s="45"/>
      <c r="AL200" s="53"/>
      <c r="AM200" s="45"/>
      <c r="AN200" s="53"/>
      <c r="AO200" s="53"/>
      <c r="AP200" s="53"/>
      <c r="AQ200" s="53"/>
      <c r="AR200" s="53"/>
      <c r="AS200" s="53"/>
      <c r="AT200" s="45">
        <f t="shared" ref="AT200:AT213" si="40">+AJ200+AL200+AN200-AP200+AR200</f>
        <v>0</v>
      </c>
      <c r="AU200" s="45"/>
      <c r="AV200" s="53">
        <v>0</v>
      </c>
      <c r="AW200" s="53"/>
      <c r="AX200" s="53">
        <v>0</v>
      </c>
      <c r="AY200" s="53"/>
      <c r="AZ200" s="53">
        <f t="shared" si="38"/>
        <v>0</v>
      </c>
      <c r="BA200" s="51"/>
      <c r="BB200" s="35" t="s">
        <v>230</v>
      </c>
      <c r="BC200" s="35"/>
      <c r="BD200" s="35" t="s">
        <v>45</v>
      </c>
      <c r="BE200" s="53"/>
      <c r="BF200" s="53"/>
      <c r="BG200" s="53"/>
      <c r="BH200" s="53"/>
      <c r="BI200" s="53"/>
      <c r="BJ200" s="53"/>
      <c r="BK200" s="53"/>
      <c r="BL200" s="53"/>
      <c r="BM200" s="53"/>
      <c r="BN200" s="53">
        <f t="shared" si="34"/>
        <v>0</v>
      </c>
      <c r="BO200" s="142"/>
      <c r="BS200" s="143"/>
      <c r="BT200" s="143"/>
      <c r="BU200" s="144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</row>
    <row r="201" spans="1:227" s="64" customFormat="1" ht="12.75" customHeight="1">
      <c r="A201" s="35" t="s">
        <v>231</v>
      </c>
      <c r="B201" s="51"/>
      <c r="C201" s="35" t="s">
        <v>27</v>
      </c>
      <c r="D201" s="44"/>
      <c r="E201" s="53">
        <f t="shared" si="31"/>
        <v>61601673</v>
      </c>
      <c r="F201" s="53"/>
      <c r="G201" s="53">
        <v>6220825</v>
      </c>
      <c r="H201" s="53"/>
      <c r="I201" s="53">
        <v>67822498</v>
      </c>
      <c r="J201" s="53"/>
      <c r="K201" s="53">
        <f t="shared" si="32"/>
        <v>9935772</v>
      </c>
      <c r="L201" s="53"/>
      <c r="M201" s="53">
        <v>1969095</v>
      </c>
      <c r="N201" s="53"/>
      <c r="O201" s="53">
        <v>11904867</v>
      </c>
      <c r="P201" s="53"/>
      <c r="Q201" s="53">
        <v>48491602</v>
      </c>
      <c r="R201" s="53"/>
      <c r="S201" s="53">
        <v>0</v>
      </c>
      <c r="T201" s="53"/>
      <c r="U201" s="53">
        <v>5456937</v>
      </c>
      <c r="V201" s="53"/>
      <c r="W201" s="53">
        <f t="shared" si="33"/>
        <v>53948539</v>
      </c>
      <c r="X201" s="51"/>
      <c r="Y201" s="51"/>
      <c r="Z201" s="35" t="s">
        <v>231</v>
      </c>
      <c r="AA201" s="53"/>
      <c r="AB201" s="35" t="s">
        <v>27</v>
      </c>
      <c r="AC201" s="51"/>
      <c r="AD201" s="53">
        <v>5869697</v>
      </c>
      <c r="AE201" s="53"/>
      <c r="AF201" s="53">
        <f>5476844-1828649</f>
        <v>3648195</v>
      </c>
      <c r="AG201" s="53"/>
      <c r="AH201" s="53">
        <v>1828649</v>
      </c>
      <c r="AI201" s="53"/>
      <c r="AJ201" s="45">
        <v>1778688</v>
      </c>
      <c r="AK201" s="45"/>
      <c r="AL201" s="53">
        <v>-528819</v>
      </c>
      <c r="AM201" s="45"/>
      <c r="AN201" s="53">
        <v>170212</v>
      </c>
      <c r="AO201" s="53"/>
      <c r="AP201" s="53">
        <v>0</v>
      </c>
      <c r="AQ201" s="53"/>
      <c r="AR201" s="53">
        <v>274077</v>
      </c>
      <c r="AS201" s="53"/>
      <c r="AT201" s="45">
        <f t="shared" si="40"/>
        <v>1694158</v>
      </c>
      <c r="AU201" s="45"/>
      <c r="AV201" s="53">
        <v>0</v>
      </c>
      <c r="AW201" s="53"/>
      <c r="AX201" s="53">
        <v>0</v>
      </c>
      <c r="AY201" s="53"/>
      <c r="AZ201" s="53">
        <f t="shared" si="38"/>
        <v>51665901</v>
      </c>
      <c r="BA201" s="51"/>
      <c r="BB201" s="35" t="s">
        <v>231</v>
      </c>
      <c r="BC201" s="35"/>
      <c r="BD201" s="35" t="s">
        <v>27</v>
      </c>
      <c r="BE201" s="53"/>
      <c r="BF201" s="53">
        <v>0</v>
      </c>
      <c r="BG201" s="53"/>
      <c r="BH201" s="53">
        <v>0</v>
      </c>
      <c r="BI201" s="53"/>
      <c r="BJ201" s="53">
        <v>13110071</v>
      </c>
      <c r="BK201" s="53"/>
      <c r="BL201" s="53">
        <v>561357</v>
      </c>
      <c r="BM201" s="53"/>
      <c r="BN201" s="53">
        <f t="shared" si="34"/>
        <v>13671428</v>
      </c>
      <c r="BO201" s="91"/>
      <c r="BS201" s="90"/>
      <c r="BT201" s="90"/>
      <c r="BU201" s="95"/>
      <c r="BV201" s="90"/>
      <c r="BW201" s="90"/>
      <c r="BX201" s="90"/>
      <c r="BY201" s="90"/>
      <c r="BZ201" s="90"/>
      <c r="CA201" s="90"/>
      <c r="CB201" s="90"/>
      <c r="CC201" s="90"/>
      <c r="CD201" s="90"/>
      <c r="CE201" s="90"/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</row>
    <row r="202" spans="1:227" s="126" customFormat="1" ht="12.75" hidden="1" customHeight="1">
      <c r="A202" s="35" t="s">
        <v>232</v>
      </c>
      <c r="B202" s="51"/>
      <c r="C202" s="35" t="s">
        <v>27</v>
      </c>
      <c r="D202" s="44"/>
      <c r="E202" s="53">
        <f t="shared" si="31"/>
        <v>0</v>
      </c>
      <c r="F202" s="53"/>
      <c r="G202" s="53"/>
      <c r="H202" s="53"/>
      <c r="I202" s="53"/>
      <c r="J202" s="53"/>
      <c r="K202" s="53">
        <f t="shared" si="32"/>
        <v>0</v>
      </c>
      <c r="L202" s="53"/>
      <c r="M202" s="53"/>
      <c r="N202" s="53"/>
      <c r="O202" s="53"/>
      <c r="P202" s="53"/>
      <c r="Q202" s="53"/>
      <c r="R202" s="53"/>
      <c r="S202" s="53">
        <v>0</v>
      </c>
      <c r="T202" s="53"/>
      <c r="U202" s="53"/>
      <c r="V202" s="53"/>
      <c r="W202" s="53">
        <f t="shared" si="33"/>
        <v>0</v>
      </c>
      <c r="X202" s="51"/>
      <c r="Y202" s="51"/>
      <c r="Z202" s="35" t="s">
        <v>232</v>
      </c>
      <c r="AA202" s="53"/>
      <c r="AB202" s="35" t="s">
        <v>27</v>
      </c>
      <c r="AC202" s="51"/>
      <c r="AD202" s="53"/>
      <c r="AE202" s="53"/>
      <c r="AF202" s="53"/>
      <c r="AG202" s="53"/>
      <c r="AH202" s="53"/>
      <c r="AI202" s="53"/>
      <c r="AJ202" s="45">
        <f t="shared" si="39"/>
        <v>0</v>
      </c>
      <c r="AK202" s="45"/>
      <c r="AL202" s="53"/>
      <c r="AM202" s="45"/>
      <c r="AN202" s="53"/>
      <c r="AO202" s="53"/>
      <c r="AP202" s="53"/>
      <c r="AQ202" s="53"/>
      <c r="AR202" s="53"/>
      <c r="AS202" s="53"/>
      <c r="AT202" s="45">
        <f t="shared" si="40"/>
        <v>0</v>
      </c>
      <c r="AU202" s="45"/>
      <c r="AV202" s="53">
        <v>0</v>
      </c>
      <c r="AW202" s="53"/>
      <c r="AX202" s="53">
        <v>0</v>
      </c>
      <c r="AY202" s="53"/>
      <c r="AZ202" s="53">
        <f t="shared" si="38"/>
        <v>0</v>
      </c>
      <c r="BA202" s="51"/>
      <c r="BB202" s="35" t="s">
        <v>232</v>
      </c>
      <c r="BC202" s="35"/>
      <c r="BD202" s="35" t="s">
        <v>27</v>
      </c>
      <c r="BE202" s="53"/>
      <c r="BF202" s="53"/>
      <c r="BG202" s="53"/>
      <c r="BH202" s="53"/>
      <c r="BI202" s="53"/>
      <c r="BJ202" s="53"/>
      <c r="BK202" s="53"/>
      <c r="BL202" s="53"/>
      <c r="BM202" s="53"/>
      <c r="BN202" s="53">
        <f t="shared" si="34"/>
        <v>0</v>
      </c>
      <c r="BO202" s="142"/>
      <c r="BP202" s="145"/>
      <c r="BQ202" s="145"/>
      <c r="BR202" s="145"/>
      <c r="BS202" s="143"/>
      <c r="BT202" s="143"/>
      <c r="BU202" s="144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5"/>
      <c r="CS202" s="145"/>
      <c r="CT202" s="145"/>
      <c r="CU202" s="145"/>
      <c r="CV202" s="145"/>
      <c r="CW202" s="145"/>
      <c r="CX202" s="145"/>
      <c r="CY202" s="145"/>
      <c r="CZ202" s="145"/>
      <c r="DA202" s="145"/>
      <c r="DB202" s="145"/>
      <c r="DC202" s="145"/>
      <c r="DD202" s="145"/>
      <c r="DE202" s="145"/>
      <c r="DF202" s="145"/>
      <c r="DG202" s="145"/>
      <c r="DH202" s="145"/>
      <c r="DI202" s="145"/>
      <c r="DJ202" s="145"/>
      <c r="DK202" s="145"/>
      <c r="DL202" s="145"/>
      <c r="DM202" s="145"/>
      <c r="DN202" s="145"/>
      <c r="DO202" s="145"/>
      <c r="DP202" s="145"/>
      <c r="DQ202" s="145"/>
      <c r="DR202" s="145"/>
      <c r="DS202" s="145"/>
      <c r="DT202" s="145"/>
      <c r="DU202" s="145"/>
      <c r="DV202" s="145"/>
      <c r="DW202" s="145"/>
      <c r="DX202" s="145"/>
      <c r="DY202" s="145"/>
      <c r="DZ202" s="145"/>
      <c r="EA202" s="145"/>
      <c r="EB202" s="145"/>
      <c r="EC202" s="145"/>
      <c r="ED202" s="145"/>
      <c r="EE202" s="145"/>
      <c r="EF202" s="145"/>
      <c r="EG202" s="145"/>
      <c r="EH202" s="145"/>
      <c r="EI202" s="145"/>
      <c r="EJ202" s="145"/>
      <c r="EK202" s="145"/>
      <c r="EL202" s="145"/>
      <c r="EM202" s="145"/>
      <c r="EN202" s="145"/>
      <c r="EO202" s="145"/>
      <c r="EP202" s="145"/>
      <c r="EQ202" s="145"/>
      <c r="ER202" s="145"/>
      <c r="ES202" s="145"/>
      <c r="ET202" s="145"/>
      <c r="EU202" s="145"/>
      <c r="EV202" s="145"/>
      <c r="EW202" s="145"/>
      <c r="EX202" s="145"/>
      <c r="EY202" s="145"/>
      <c r="EZ202" s="145"/>
      <c r="FA202" s="145"/>
      <c r="FB202" s="145"/>
      <c r="FC202" s="145"/>
      <c r="FD202" s="145"/>
      <c r="FE202" s="145"/>
      <c r="FF202" s="145"/>
      <c r="FG202" s="145"/>
      <c r="FH202" s="145"/>
      <c r="FI202" s="145"/>
      <c r="FJ202" s="145"/>
      <c r="FK202" s="145"/>
      <c r="FL202" s="145"/>
      <c r="FM202" s="145"/>
      <c r="FN202" s="145"/>
      <c r="FO202" s="145"/>
      <c r="FP202" s="145"/>
      <c r="FQ202" s="145"/>
      <c r="FR202" s="145"/>
      <c r="FS202" s="145"/>
      <c r="FT202" s="145"/>
      <c r="FU202" s="145"/>
      <c r="FV202" s="145"/>
      <c r="FW202" s="145"/>
      <c r="FX202" s="145"/>
      <c r="FY202" s="145"/>
      <c r="FZ202" s="145"/>
      <c r="GA202" s="145"/>
      <c r="GB202" s="145"/>
      <c r="GC202" s="145"/>
      <c r="GD202" s="145"/>
      <c r="GE202" s="145"/>
      <c r="GF202" s="145"/>
      <c r="GG202" s="145"/>
      <c r="GH202" s="145"/>
      <c r="GI202" s="145"/>
      <c r="GJ202" s="145"/>
      <c r="GK202" s="145"/>
      <c r="GL202" s="145"/>
      <c r="GM202" s="145"/>
      <c r="GN202" s="145"/>
      <c r="GO202" s="145"/>
      <c r="GP202" s="145"/>
      <c r="GQ202" s="145"/>
      <c r="GR202" s="145"/>
      <c r="GS202" s="145"/>
      <c r="GT202" s="145"/>
      <c r="GU202" s="145"/>
      <c r="GV202" s="145"/>
      <c r="GW202" s="145"/>
      <c r="GX202" s="145"/>
      <c r="GY202" s="145"/>
      <c r="GZ202" s="145"/>
      <c r="HA202" s="145"/>
      <c r="HB202" s="145"/>
      <c r="HC202" s="145"/>
      <c r="HD202" s="145"/>
      <c r="HE202" s="145"/>
      <c r="HF202" s="145"/>
      <c r="HG202" s="145"/>
      <c r="HH202" s="145"/>
      <c r="HI202" s="145"/>
      <c r="HJ202" s="145"/>
      <c r="HK202" s="145"/>
      <c r="HL202" s="145"/>
      <c r="HM202" s="145"/>
      <c r="HN202" s="145"/>
      <c r="HO202" s="145"/>
      <c r="HP202" s="145"/>
      <c r="HQ202" s="145"/>
      <c r="HR202" s="145"/>
      <c r="HS202" s="145"/>
    </row>
    <row r="203" spans="1:227" s="35" customFormat="1" ht="12.75" customHeight="1">
      <c r="A203" s="35" t="s">
        <v>233</v>
      </c>
      <c r="B203" s="51"/>
      <c r="C203" s="35" t="s">
        <v>111</v>
      </c>
      <c r="D203" s="44"/>
      <c r="E203" s="53">
        <f t="shared" si="31"/>
        <v>358255</v>
      </c>
      <c r="F203" s="53"/>
      <c r="G203" s="53">
        <v>11359523</v>
      </c>
      <c r="H203" s="53"/>
      <c r="I203" s="53">
        <v>11717778</v>
      </c>
      <c r="J203" s="53"/>
      <c r="K203" s="53">
        <f t="shared" si="32"/>
        <v>288063</v>
      </c>
      <c r="L203" s="53"/>
      <c r="M203" s="53">
        <v>3322982</v>
      </c>
      <c r="N203" s="53"/>
      <c r="O203" s="53">
        <v>3611045</v>
      </c>
      <c r="P203" s="53"/>
      <c r="Q203" s="53">
        <v>7824813</v>
      </c>
      <c r="R203" s="53"/>
      <c r="S203" s="53">
        <v>0</v>
      </c>
      <c r="T203" s="53"/>
      <c r="U203" s="53">
        <v>281920</v>
      </c>
      <c r="V203" s="53"/>
      <c r="W203" s="53">
        <f t="shared" si="33"/>
        <v>8106733</v>
      </c>
      <c r="X203" s="51"/>
      <c r="Y203" s="51"/>
      <c r="Z203" s="35" t="s">
        <v>233</v>
      </c>
      <c r="AA203" s="53"/>
      <c r="AB203" s="35" t="s">
        <v>111</v>
      </c>
      <c r="AC203" s="51"/>
      <c r="AD203" s="53">
        <v>3084379</v>
      </c>
      <c r="AE203" s="53"/>
      <c r="AF203" s="53">
        <f>2800127-611016</f>
        <v>2189111</v>
      </c>
      <c r="AG203" s="53"/>
      <c r="AH203" s="53">
        <v>611016</v>
      </c>
      <c r="AI203" s="53"/>
      <c r="AJ203" s="45">
        <f t="shared" si="39"/>
        <v>284252</v>
      </c>
      <c r="AK203" s="45"/>
      <c r="AL203" s="53">
        <v>-457668</v>
      </c>
      <c r="AM203" s="45"/>
      <c r="AN203" s="53">
        <v>600000</v>
      </c>
      <c r="AO203" s="53"/>
      <c r="AP203" s="53">
        <v>0</v>
      </c>
      <c r="AQ203" s="53"/>
      <c r="AR203" s="53">
        <f>92447+52224</f>
        <v>144671</v>
      </c>
      <c r="AS203" s="53"/>
      <c r="AT203" s="45">
        <f t="shared" si="40"/>
        <v>571255</v>
      </c>
      <c r="AU203" s="45"/>
      <c r="AV203" s="53">
        <v>0</v>
      </c>
      <c r="AW203" s="53"/>
      <c r="AX203" s="53">
        <v>0</v>
      </c>
      <c r="AY203" s="53"/>
      <c r="AZ203" s="53">
        <f t="shared" si="38"/>
        <v>70192</v>
      </c>
      <c r="BA203" s="51"/>
      <c r="BB203" s="35" t="s">
        <v>233</v>
      </c>
      <c r="BD203" s="35" t="s">
        <v>111</v>
      </c>
      <c r="BE203" s="53"/>
      <c r="BF203" s="53">
        <v>0</v>
      </c>
      <c r="BG203" s="53"/>
      <c r="BH203" s="53">
        <v>0</v>
      </c>
      <c r="BI203" s="53"/>
      <c r="BJ203" s="53">
        <v>0</v>
      </c>
      <c r="BK203" s="53"/>
      <c r="BL203" s="53">
        <v>0</v>
      </c>
      <c r="BM203" s="53"/>
      <c r="BN203" s="53">
        <f t="shared" si="34"/>
        <v>0</v>
      </c>
      <c r="BO203" s="54"/>
      <c r="BS203" s="55"/>
      <c r="BT203" s="55"/>
      <c r="BU203" s="84"/>
      <c r="BV203" s="55"/>
      <c r="BW203" s="55"/>
      <c r="BX203" s="55"/>
      <c r="BY203" s="55"/>
      <c r="BZ203" s="55"/>
      <c r="CA203" s="55"/>
      <c r="CB203" s="55"/>
      <c r="CC203" s="55"/>
      <c r="CD203" s="55"/>
      <c r="CE203" s="55"/>
      <c r="CF203" s="55"/>
      <c r="CG203" s="55"/>
      <c r="CH203" s="55"/>
      <c r="CI203" s="55"/>
      <c r="CJ203" s="55"/>
      <c r="CK203" s="55"/>
      <c r="CL203" s="55"/>
      <c r="CM203" s="55"/>
      <c r="CN203" s="55"/>
      <c r="CO203" s="55"/>
      <c r="CP203" s="55"/>
      <c r="CQ203" s="55"/>
    </row>
    <row r="204" spans="1:227" s="126" customFormat="1" ht="12.75" hidden="1" customHeight="1">
      <c r="A204" s="35" t="s">
        <v>234</v>
      </c>
      <c r="B204" s="51"/>
      <c r="C204" s="35" t="s">
        <v>45</v>
      </c>
      <c r="D204" s="44"/>
      <c r="E204" s="53">
        <f t="shared" si="31"/>
        <v>0</v>
      </c>
      <c r="F204" s="53"/>
      <c r="G204" s="53"/>
      <c r="H204" s="53"/>
      <c r="I204" s="53"/>
      <c r="J204" s="53"/>
      <c r="K204" s="53">
        <f t="shared" si="32"/>
        <v>0</v>
      </c>
      <c r="L204" s="53"/>
      <c r="M204" s="53"/>
      <c r="N204" s="53"/>
      <c r="O204" s="53"/>
      <c r="P204" s="53"/>
      <c r="Q204" s="53"/>
      <c r="R204" s="53"/>
      <c r="S204" s="53">
        <v>0</v>
      </c>
      <c r="T204" s="53"/>
      <c r="U204" s="53"/>
      <c r="V204" s="53"/>
      <c r="W204" s="53">
        <f t="shared" si="33"/>
        <v>0</v>
      </c>
      <c r="X204" s="51"/>
      <c r="Y204" s="51"/>
      <c r="Z204" s="35" t="s">
        <v>234</v>
      </c>
      <c r="AA204" s="53"/>
      <c r="AB204" s="35" t="s">
        <v>45</v>
      </c>
      <c r="AC204" s="51"/>
      <c r="AD204" s="53"/>
      <c r="AE204" s="53"/>
      <c r="AF204" s="53"/>
      <c r="AG204" s="53"/>
      <c r="AH204" s="53"/>
      <c r="AI204" s="53"/>
      <c r="AJ204" s="45">
        <f t="shared" si="39"/>
        <v>0</v>
      </c>
      <c r="AK204" s="45"/>
      <c r="AL204" s="53"/>
      <c r="AM204" s="45"/>
      <c r="AN204" s="53"/>
      <c r="AO204" s="53"/>
      <c r="AP204" s="53"/>
      <c r="AQ204" s="53"/>
      <c r="AR204" s="53"/>
      <c r="AS204" s="53"/>
      <c r="AT204" s="45">
        <f t="shared" si="40"/>
        <v>0</v>
      </c>
      <c r="AU204" s="45"/>
      <c r="AV204" s="53">
        <v>0</v>
      </c>
      <c r="AW204" s="53"/>
      <c r="AX204" s="53">
        <v>0</v>
      </c>
      <c r="AY204" s="53"/>
      <c r="AZ204" s="53">
        <f t="shared" si="38"/>
        <v>0</v>
      </c>
      <c r="BA204" s="51"/>
      <c r="BB204" s="35" t="s">
        <v>234</v>
      </c>
      <c r="BC204" s="35"/>
      <c r="BD204" s="35" t="s">
        <v>45</v>
      </c>
      <c r="BE204" s="53"/>
      <c r="BF204" s="53"/>
      <c r="BG204" s="53"/>
      <c r="BH204" s="53"/>
      <c r="BI204" s="53"/>
      <c r="BJ204" s="53"/>
      <c r="BK204" s="53"/>
      <c r="BL204" s="53"/>
      <c r="BM204" s="53"/>
      <c r="BN204" s="53">
        <f t="shared" si="34"/>
        <v>0</v>
      </c>
      <c r="BO204" s="142"/>
      <c r="BS204" s="143"/>
      <c r="BT204" s="143"/>
      <c r="BU204" s="144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</row>
    <row r="205" spans="1:227" s="35" customFormat="1" ht="12.75" customHeight="1">
      <c r="A205" s="35" t="s">
        <v>235</v>
      </c>
      <c r="B205" s="51"/>
      <c r="C205" s="35" t="s">
        <v>183</v>
      </c>
      <c r="D205" s="44"/>
      <c r="E205" s="53">
        <f>I205-G205</f>
        <v>12232658</v>
      </c>
      <c r="F205" s="53"/>
      <c r="G205" s="53">
        <v>14162951</v>
      </c>
      <c r="H205" s="53"/>
      <c r="I205" s="53">
        <v>26395609</v>
      </c>
      <c r="J205" s="53"/>
      <c r="K205" s="53">
        <f>O205-M205</f>
        <v>1467424</v>
      </c>
      <c r="L205" s="53"/>
      <c r="M205" s="53">
        <v>4846732</v>
      </c>
      <c r="N205" s="53"/>
      <c r="O205" s="53">
        <v>6314156</v>
      </c>
      <c r="P205" s="53"/>
      <c r="Q205" s="53">
        <v>9675708</v>
      </c>
      <c r="R205" s="53"/>
      <c r="S205" s="53">
        <v>0</v>
      </c>
      <c r="T205" s="53"/>
      <c r="U205" s="53">
        <v>10405745</v>
      </c>
      <c r="V205" s="53"/>
      <c r="W205" s="53">
        <f>SUM(Q205:U205)</f>
        <v>20081453</v>
      </c>
      <c r="X205" s="51"/>
      <c r="Y205" s="51"/>
      <c r="Z205" s="35" t="s">
        <v>235</v>
      </c>
      <c r="AA205" s="53"/>
      <c r="AB205" s="35" t="s">
        <v>183</v>
      </c>
      <c r="AC205" s="51"/>
      <c r="AD205" s="53">
        <v>7178289</v>
      </c>
      <c r="AE205" s="53"/>
      <c r="AF205" s="53">
        <f>7251768-1157608</f>
        <v>6094160</v>
      </c>
      <c r="AG205" s="53"/>
      <c r="AH205" s="53">
        <v>1157608</v>
      </c>
      <c r="AI205" s="53"/>
      <c r="AJ205" s="45">
        <f t="shared" si="39"/>
        <v>-73479</v>
      </c>
      <c r="AK205" s="45"/>
      <c r="AL205" s="53">
        <v>398874</v>
      </c>
      <c r="AM205" s="45"/>
      <c r="AN205" s="53">
        <v>61681</v>
      </c>
      <c r="AO205" s="53"/>
      <c r="AP205" s="53">
        <v>135000</v>
      </c>
      <c r="AQ205" s="53"/>
      <c r="AR205" s="53">
        <v>430128</v>
      </c>
      <c r="AS205" s="53"/>
      <c r="AT205" s="45">
        <f t="shared" si="40"/>
        <v>682204</v>
      </c>
      <c r="AU205" s="45"/>
      <c r="AV205" s="53">
        <v>0</v>
      </c>
      <c r="AW205" s="53"/>
      <c r="AX205" s="53">
        <v>0</v>
      </c>
      <c r="AY205" s="53"/>
      <c r="AZ205" s="53">
        <f t="shared" si="38"/>
        <v>10765234</v>
      </c>
      <c r="BA205" s="51"/>
      <c r="BB205" s="35" t="s">
        <v>235</v>
      </c>
      <c r="BD205" s="35" t="s">
        <v>183</v>
      </c>
      <c r="BE205" s="53"/>
      <c r="BF205" s="53">
        <v>5151</v>
      </c>
      <c r="BG205" s="53"/>
      <c r="BH205" s="53">
        <v>0</v>
      </c>
      <c r="BI205" s="53"/>
      <c r="BJ205" s="53">
        <v>0</v>
      </c>
      <c r="BK205" s="53"/>
      <c r="BL205" s="53">
        <v>0</v>
      </c>
      <c r="BM205" s="53"/>
      <c r="BN205" s="53">
        <f t="shared" si="34"/>
        <v>5151</v>
      </c>
      <c r="BO205" s="54"/>
      <c r="BS205" s="55"/>
      <c r="BT205" s="55"/>
      <c r="BU205" s="84"/>
      <c r="BV205" s="55"/>
      <c r="BW205" s="55"/>
      <c r="BX205" s="55"/>
      <c r="BY205" s="55"/>
      <c r="BZ205" s="55"/>
      <c r="CA205" s="55"/>
      <c r="CB205" s="55"/>
      <c r="CC205" s="55"/>
      <c r="CD205" s="55"/>
      <c r="CE205" s="55"/>
      <c r="CF205" s="55"/>
      <c r="CG205" s="55"/>
      <c r="CH205" s="55"/>
      <c r="CI205" s="55"/>
      <c r="CJ205" s="55"/>
      <c r="CK205" s="55"/>
      <c r="CL205" s="55"/>
      <c r="CM205" s="55"/>
      <c r="CN205" s="55"/>
      <c r="CO205" s="55"/>
      <c r="CP205" s="55"/>
      <c r="CQ205" s="55"/>
    </row>
    <row r="206" spans="1:227" s="126" customFormat="1" ht="12.75" hidden="1" customHeight="1">
      <c r="A206" s="35" t="s">
        <v>236</v>
      </c>
      <c r="B206" s="51"/>
      <c r="C206" s="35" t="s">
        <v>45</v>
      </c>
      <c r="D206" s="44"/>
      <c r="E206" s="53">
        <f t="shared" si="31"/>
        <v>0</v>
      </c>
      <c r="F206" s="53"/>
      <c r="G206" s="53"/>
      <c r="H206" s="53"/>
      <c r="I206" s="53"/>
      <c r="J206" s="53"/>
      <c r="K206" s="53">
        <f t="shared" si="32"/>
        <v>0</v>
      </c>
      <c r="L206" s="53"/>
      <c r="M206" s="53"/>
      <c r="N206" s="53"/>
      <c r="O206" s="53"/>
      <c r="P206" s="53"/>
      <c r="Q206" s="53"/>
      <c r="R206" s="53"/>
      <c r="S206" s="53">
        <v>0</v>
      </c>
      <c r="T206" s="53"/>
      <c r="U206" s="53"/>
      <c r="V206" s="53"/>
      <c r="W206" s="53">
        <f t="shared" si="33"/>
        <v>0</v>
      </c>
      <c r="X206" s="51"/>
      <c r="Y206" s="51"/>
      <c r="Z206" s="35" t="s">
        <v>236</v>
      </c>
      <c r="AA206" s="53"/>
      <c r="AB206" s="35" t="s">
        <v>45</v>
      </c>
      <c r="AC206" s="51"/>
      <c r="AD206" s="53"/>
      <c r="AE206" s="53"/>
      <c r="AF206" s="53"/>
      <c r="AG206" s="53"/>
      <c r="AH206" s="53"/>
      <c r="AI206" s="53"/>
      <c r="AJ206" s="45">
        <f t="shared" si="39"/>
        <v>0</v>
      </c>
      <c r="AK206" s="45"/>
      <c r="AL206" s="53"/>
      <c r="AM206" s="45"/>
      <c r="AN206" s="53"/>
      <c r="AO206" s="53"/>
      <c r="AP206" s="53"/>
      <c r="AQ206" s="53"/>
      <c r="AR206" s="53"/>
      <c r="AS206" s="53"/>
      <c r="AT206" s="45">
        <f t="shared" si="40"/>
        <v>0</v>
      </c>
      <c r="AU206" s="45"/>
      <c r="AV206" s="53">
        <v>0</v>
      </c>
      <c r="AW206" s="53"/>
      <c r="AX206" s="53">
        <v>0</v>
      </c>
      <c r="AY206" s="53"/>
      <c r="AZ206" s="53">
        <f t="shared" si="38"/>
        <v>0</v>
      </c>
      <c r="BA206" s="51"/>
      <c r="BB206" s="35" t="s">
        <v>236</v>
      </c>
      <c r="BC206" s="35"/>
      <c r="BD206" s="35" t="s">
        <v>45</v>
      </c>
      <c r="BE206" s="53"/>
      <c r="BF206" s="53"/>
      <c r="BG206" s="53"/>
      <c r="BH206" s="53"/>
      <c r="BI206" s="53"/>
      <c r="BJ206" s="53"/>
      <c r="BK206" s="53"/>
      <c r="BL206" s="53"/>
      <c r="BM206" s="53"/>
      <c r="BN206" s="53">
        <f t="shared" si="34"/>
        <v>0</v>
      </c>
      <c r="BO206" s="142"/>
      <c r="BS206" s="143"/>
      <c r="BT206" s="143"/>
      <c r="BU206" s="144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</row>
    <row r="207" spans="1:227" s="35" customFormat="1" ht="12.75" customHeight="1">
      <c r="A207" s="35" t="s">
        <v>237</v>
      </c>
      <c r="B207" s="51"/>
      <c r="C207" s="35" t="s">
        <v>33</v>
      </c>
      <c r="D207" s="44"/>
      <c r="E207" s="53">
        <f t="shared" si="31"/>
        <v>316911</v>
      </c>
      <c r="F207" s="53"/>
      <c r="G207" s="53">
        <v>2359311</v>
      </c>
      <c r="H207" s="53"/>
      <c r="I207" s="53">
        <v>2676222</v>
      </c>
      <c r="J207" s="53"/>
      <c r="K207" s="53">
        <f t="shared" si="32"/>
        <v>405638</v>
      </c>
      <c r="L207" s="53"/>
      <c r="M207" s="53">
        <v>304355</v>
      </c>
      <c r="N207" s="53"/>
      <c r="O207" s="53">
        <v>709993</v>
      </c>
      <c r="P207" s="53"/>
      <c r="Q207" s="53">
        <v>1996299</v>
      </c>
      <c r="R207" s="53"/>
      <c r="S207" s="53">
        <v>0</v>
      </c>
      <c r="T207" s="53"/>
      <c r="U207" s="53">
        <v>-30070</v>
      </c>
      <c r="V207" s="53"/>
      <c r="W207" s="53">
        <f t="shared" si="33"/>
        <v>1966229</v>
      </c>
      <c r="X207" s="51"/>
      <c r="Y207" s="51"/>
      <c r="Z207" s="35" t="s">
        <v>237</v>
      </c>
      <c r="AA207" s="53"/>
      <c r="AB207" s="35" t="s">
        <v>33</v>
      </c>
      <c r="AC207" s="51"/>
      <c r="AD207" s="53">
        <v>888238</v>
      </c>
      <c r="AE207" s="53"/>
      <c r="AF207" s="53">
        <f>1178432-257408</f>
        <v>921024</v>
      </c>
      <c r="AG207" s="53"/>
      <c r="AH207" s="53">
        <v>257408</v>
      </c>
      <c r="AI207" s="53"/>
      <c r="AJ207" s="45">
        <f t="shared" si="39"/>
        <v>-290194</v>
      </c>
      <c r="AK207" s="45"/>
      <c r="AL207" s="53">
        <v>-12321</v>
      </c>
      <c r="AM207" s="45"/>
      <c r="AN207" s="53">
        <v>39629</v>
      </c>
      <c r="AO207" s="53"/>
      <c r="AP207" s="53">
        <v>0</v>
      </c>
      <c r="AQ207" s="53"/>
      <c r="AR207" s="53">
        <v>332418</v>
      </c>
      <c r="AS207" s="53"/>
      <c r="AT207" s="45">
        <f t="shared" si="40"/>
        <v>69532</v>
      </c>
      <c r="AU207" s="45"/>
      <c r="AV207" s="53">
        <v>0</v>
      </c>
      <c r="AW207" s="53"/>
      <c r="AX207" s="53">
        <v>0</v>
      </c>
      <c r="AY207" s="53"/>
      <c r="AZ207" s="53">
        <f t="shared" si="38"/>
        <v>-88727</v>
      </c>
      <c r="BA207" s="51"/>
      <c r="BB207" s="35" t="s">
        <v>237</v>
      </c>
      <c r="BD207" s="35" t="s">
        <v>33</v>
      </c>
      <c r="BE207" s="53"/>
      <c r="BF207" s="53">
        <v>6673204</v>
      </c>
      <c r="BG207" s="53"/>
      <c r="BH207" s="53">
        <v>0</v>
      </c>
      <c r="BI207" s="53"/>
      <c r="BJ207" s="53">
        <v>390456</v>
      </c>
      <c r="BK207" s="53"/>
      <c r="BL207" s="53">
        <v>22207</v>
      </c>
      <c r="BM207" s="53"/>
      <c r="BN207" s="53">
        <f t="shared" si="34"/>
        <v>7085867</v>
      </c>
      <c r="BO207" s="54"/>
      <c r="BS207" s="55"/>
      <c r="BT207" s="55"/>
      <c r="BU207" s="84"/>
      <c r="BV207" s="55"/>
      <c r="BW207" s="55"/>
      <c r="BX207" s="55"/>
      <c r="BY207" s="55"/>
      <c r="BZ207" s="55"/>
      <c r="CA207" s="55"/>
      <c r="CB207" s="55"/>
      <c r="CC207" s="55"/>
      <c r="CD207" s="55"/>
      <c r="CE207" s="55"/>
      <c r="CF207" s="55"/>
      <c r="CG207" s="55"/>
      <c r="CH207" s="55"/>
      <c r="CI207" s="55"/>
      <c r="CJ207" s="55"/>
      <c r="CK207" s="55"/>
      <c r="CL207" s="55"/>
      <c r="CM207" s="55"/>
      <c r="CN207" s="55"/>
      <c r="CO207" s="55"/>
      <c r="CP207" s="55"/>
      <c r="CQ207" s="55"/>
    </row>
    <row r="208" spans="1:227" s="35" customFormat="1" ht="12.75" customHeight="1">
      <c r="A208" s="35" t="s">
        <v>238</v>
      </c>
      <c r="B208" s="51"/>
      <c r="C208" s="35" t="s">
        <v>239</v>
      </c>
      <c r="D208" s="44"/>
      <c r="E208" s="53">
        <f t="shared" si="31"/>
        <v>1535000</v>
      </c>
      <c r="F208" s="53"/>
      <c r="G208" s="53">
        <v>4774957</v>
      </c>
      <c r="H208" s="53"/>
      <c r="I208" s="53">
        <v>6309957</v>
      </c>
      <c r="J208" s="53"/>
      <c r="K208" s="53">
        <f t="shared" si="32"/>
        <v>48291</v>
      </c>
      <c r="L208" s="53"/>
      <c r="M208" s="53">
        <v>82064</v>
      </c>
      <c r="N208" s="53"/>
      <c r="O208" s="53">
        <v>130355</v>
      </c>
      <c r="P208" s="53"/>
      <c r="Q208" s="53">
        <v>4774957</v>
      </c>
      <c r="R208" s="53"/>
      <c r="S208" s="53">
        <v>0</v>
      </c>
      <c r="T208" s="53"/>
      <c r="U208" s="53">
        <v>1404645</v>
      </c>
      <c r="V208" s="53"/>
      <c r="W208" s="53">
        <f t="shared" si="33"/>
        <v>6179602</v>
      </c>
      <c r="X208" s="51"/>
      <c r="Y208" s="51"/>
      <c r="Z208" s="35" t="s">
        <v>238</v>
      </c>
      <c r="AA208" s="53"/>
      <c r="AB208" s="35" t="s">
        <v>239</v>
      </c>
      <c r="AC208" s="51"/>
      <c r="AD208" s="53">
        <v>1162790</v>
      </c>
      <c r="AE208" s="53"/>
      <c r="AF208" s="53">
        <f>1248085-232894</f>
        <v>1015191</v>
      </c>
      <c r="AG208" s="53"/>
      <c r="AH208" s="53">
        <v>232894</v>
      </c>
      <c r="AI208" s="53"/>
      <c r="AJ208" s="45">
        <f t="shared" si="39"/>
        <v>-85295</v>
      </c>
      <c r="AK208" s="45"/>
      <c r="AL208" s="53">
        <v>13231</v>
      </c>
      <c r="AM208" s="45"/>
      <c r="AN208" s="53">
        <v>0</v>
      </c>
      <c r="AO208" s="53"/>
      <c r="AP208" s="53">
        <v>0</v>
      </c>
      <c r="AQ208" s="53"/>
      <c r="AR208" s="53">
        <v>14978</v>
      </c>
      <c r="AS208" s="53"/>
      <c r="AT208" s="45">
        <f t="shared" si="40"/>
        <v>-57086</v>
      </c>
      <c r="AU208" s="45"/>
      <c r="AV208" s="53">
        <v>0</v>
      </c>
      <c r="AW208" s="53"/>
      <c r="AX208" s="53">
        <v>0</v>
      </c>
      <c r="AY208" s="53"/>
      <c r="AZ208" s="53">
        <f t="shared" si="38"/>
        <v>1486709</v>
      </c>
      <c r="BA208" s="51"/>
      <c r="BB208" s="35" t="s">
        <v>238</v>
      </c>
      <c r="BD208" s="35" t="s">
        <v>239</v>
      </c>
      <c r="BE208" s="53"/>
      <c r="BF208" s="53">
        <v>0</v>
      </c>
      <c r="BG208" s="53"/>
      <c r="BH208" s="53">
        <v>0</v>
      </c>
      <c r="BI208" s="53"/>
      <c r="BJ208" s="53">
        <v>12045000</v>
      </c>
      <c r="BK208" s="53"/>
      <c r="BL208" s="53">
        <v>4116168</v>
      </c>
      <c r="BM208" s="53"/>
      <c r="BN208" s="53">
        <f t="shared" si="34"/>
        <v>16161168</v>
      </c>
      <c r="BO208" s="54"/>
      <c r="BS208" s="55"/>
      <c r="BT208" s="55"/>
      <c r="BU208" s="84"/>
      <c r="BV208" s="55"/>
      <c r="BW208" s="55"/>
      <c r="BX208" s="55"/>
      <c r="BY208" s="55"/>
      <c r="BZ208" s="55"/>
      <c r="CA208" s="55"/>
      <c r="CB208" s="55"/>
      <c r="CC208" s="55"/>
      <c r="CD208" s="55"/>
      <c r="CE208" s="55"/>
      <c r="CF208" s="55"/>
      <c r="CG208" s="55"/>
      <c r="CH208" s="55"/>
      <c r="CI208" s="55"/>
      <c r="CJ208" s="55"/>
      <c r="CK208" s="55"/>
      <c r="CL208" s="55"/>
      <c r="CM208" s="55"/>
      <c r="CN208" s="55"/>
      <c r="CO208" s="55"/>
      <c r="CP208" s="55"/>
      <c r="CQ208" s="55"/>
    </row>
    <row r="209" spans="1:95" s="35" customFormat="1" ht="12.75" customHeight="1">
      <c r="A209" s="35" t="s">
        <v>486</v>
      </c>
      <c r="B209" s="51"/>
      <c r="C209" s="35" t="s">
        <v>249</v>
      </c>
      <c r="D209" s="44"/>
      <c r="E209" s="53">
        <f>I209-G209</f>
        <v>39732198</v>
      </c>
      <c r="F209" s="53"/>
      <c r="G209" s="53">
        <v>6189665</v>
      </c>
      <c r="H209" s="53"/>
      <c r="I209" s="53">
        <v>45921863</v>
      </c>
      <c r="J209" s="53"/>
      <c r="K209" s="53">
        <f>O209-M209</f>
        <v>2123274</v>
      </c>
      <c r="L209" s="53"/>
      <c r="M209" s="53">
        <v>32192203</v>
      </c>
      <c r="N209" s="53"/>
      <c r="O209" s="53">
        <v>34315477</v>
      </c>
      <c r="P209" s="53"/>
      <c r="Q209" s="53">
        <v>6147679</v>
      </c>
      <c r="R209" s="53"/>
      <c r="S209" s="53">
        <v>0</v>
      </c>
      <c r="T209" s="53"/>
      <c r="U209" s="53">
        <v>5458707</v>
      </c>
      <c r="V209" s="53"/>
      <c r="W209" s="53">
        <f>SUM(Q209:U209)</f>
        <v>11606386</v>
      </c>
      <c r="X209" s="51"/>
      <c r="Y209" s="51"/>
      <c r="Z209" s="35" t="s">
        <v>486</v>
      </c>
      <c r="AA209" s="53"/>
      <c r="AB209" s="35" t="s">
        <v>249</v>
      </c>
      <c r="AC209" s="51"/>
      <c r="AD209" s="53">
        <v>6182944</v>
      </c>
      <c r="AE209" s="53"/>
      <c r="AF209" s="53">
        <f>3919970-823401</f>
        <v>3096569</v>
      </c>
      <c r="AG209" s="53"/>
      <c r="AH209" s="53">
        <v>823401</v>
      </c>
      <c r="AI209" s="53"/>
      <c r="AJ209" s="45">
        <f>+AD209-AF209-AH209</f>
        <v>2262974</v>
      </c>
      <c r="AK209" s="45"/>
      <c r="AL209" s="53">
        <v>-1117782</v>
      </c>
      <c r="AM209" s="45"/>
      <c r="AN209" s="53">
        <v>0</v>
      </c>
      <c r="AO209" s="53"/>
      <c r="AP209" s="53">
        <v>0</v>
      </c>
      <c r="AQ209" s="53"/>
      <c r="AR209" s="53">
        <v>0</v>
      </c>
      <c r="AS209" s="53"/>
      <c r="AT209" s="45">
        <f>+AJ209+AL209+AN209-AP209+AR209</f>
        <v>1145192</v>
      </c>
      <c r="AU209" s="45"/>
      <c r="AV209" s="53">
        <v>0</v>
      </c>
      <c r="AW209" s="53"/>
      <c r="AX209" s="53">
        <v>0</v>
      </c>
      <c r="AY209" s="53"/>
      <c r="AZ209" s="53">
        <f>E209-K209</f>
        <v>37608924</v>
      </c>
      <c r="BA209" s="51"/>
      <c r="BB209" s="35" t="s">
        <v>486</v>
      </c>
      <c r="BD209" s="35" t="s">
        <v>249</v>
      </c>
      <c r="BE209" s="53"/>
      <c r="BF209" s="53">
        <f>745000+962084</f>
        <v>1707084</v>
      </c>
      <c r="BG209" s="53"/>
      <c r="BH209" s="53">
        <v>0</v>
      </c>
      <c r="BI209" s="53"/>
      <c r="BJ209" s="53">
        <f>3253292+22120171+6210358+41108+51496+201010</f>
        <v>31877435</v>
      </c>
      <c r="BK209" s="53"/>
      <c r="BL209" s="53">
        <v>141560</v>
      </c>
      <c r="BM209" s="53"/>
      <c r="BN209" s="53">
        <f>SUM(BF209:BL209)</f>
        <v>33726079</v>
      </c>
      <c r="BO209" s="54"/>
      <c r="BS209" s="55"/>
      <c r="BT209" s="55"/>
      <c r="BU209" s="84"/>
      <c r="BV209" s="55"/>
      <c r="BW209" s="55"/>
      <c r="BX209" s="55"/>
      <c r="BY209" s="55"/>
      <c r="BZ209" s="55"/>
      <c r="CA209" s="55"/>
      <c r="CB209" s="55"/>
      <c r="CC209" s="55"/>
      <c r="CD209" s="55"/>
      <c r="CE209" s="55"/>
      <c r="CF209" s="55"/>
      <c r="CG209" s="55"/>
      <c r="CH209" s="55"/>
      <c r="CI209" s="55"/>
      <c r="CJ209" s="55"/>
      <c r="CK209" s="55"/>
      <c r="CL209" s="55"/>
      <c r="CM209" s="55"/>
      <c r="CN209" s="55"/>
      <c r="CO209" s="55"/>
      <c r="CP209" s="55"/>
      <c r="CQ209" s="55"/>
    </row>
    <row r="210" spans="1:95" s="35" customFormat="1" ht="12.75" customHeight="1">
      <c r="A210" s="35" t="s">
        <v>240</v>
      </c>
      <c r="B210" s="51"/>
      <c r="C210" s="35" t="s">
        <v>13</v>
      </c>
      <c r="D210" s="44"/>
      <c r="E210" s="53">
        <f t="shared" si="31"/>
        <v>3545132</v>
      </c>
      <c r="F210" s="53"/>
      <c r="G210" s="53">
        <v>19603906</v>
      </c>
      <c r="H210" s="53"/>
      <c r="I210" s="53">
        <v>23149038</v>
      </c>
      <c r="J210" s="53"/>
      <c r="K210" s="53">
        <f t="shared" si="32"/>
        <v>737650</v>
      </c>
      <c r="L210" s="53"/>
      <c r="M210" s="53">
        <v>2081734</v>
      </c>
      <c r="N210" s="53"/>
      <c r="O210" s="53">
        <v>2819384</v>
      </c>
      <c r="P210" s="53"/>
      <c r="Q210" s="53">
        <v>17650809</v>
      </c>
      <c r="R210" s="53"/>
      <c r="S210" s="53">
        <v>0</v>
      </c>
      <c r="T210" s="53"/>
      <c r="U210" s="53">
        <v>2678845</v>
      </c>
      <c r="V210" s="53"/>
      <c r="W210" s="53">
        <f t="shared" si="33"/>
        <v>20329654</v>
      </c>
      <c r="X210" s="51"/>
      <c r="Y210" s="51"/>
      <c r="Z210" s="35" t="s">
        <v>240</v>
      </c>
      <c r="AA210" s="53"/>
      <c r="AB210" s="35" t="s">
        <v>13</v>
      </c>
      <c r="AC210" s="51"/>
      <c r="AD210" s="53">
        <v>5059431</v>
      </c>
      <c r="AE210" s="53"/>
      <c r="AF210" s="53">
        <f>4046929-404358</f>
        <v>3642571</v>
      </c>
      <c r="AG210" s="53"/>
      <c r="AH210" s="53">
        <v>404358</v>
      </c>
      <c r="AI210" s="53"/>
      <c r="AJ210" s="45">
        <f t="shared" si="39"/>
        <v>1012502</v>
      </c>
      <c r="AK210" s="45"/>
      <c r="AL210" s="53">
        <f>342964-48915</f>
        <v>294049</v>
      </c>
      <c r="AM210" s="45"/>
      <c r="AN210" s="53">
        <v>0</v>
      </c>
      <c r="AO210" s="53"/>
      <c r="AP210" s="53">
        <v>72408</v>
      </c>
      <c r="AQ210" s="53"/>
      <c r="AR210" s="53">
        <v>0</v>
      </c>
      <c r="AS210" s="53"/>
      <c r="AT210" s="45">
        <f t="shared" si="40"/>
        <v>1234143</v>
      </c>
      <c r="AU210" s="45"/>
      <c r="AV210" s="53">
        <v>0</v>
      </c>
      <c r="AW210" s="53"/>
      <c r="AX210" s="53">
        <v>0</v>
      </c>
      <c r="AY210" s="53"/>
      <c r="AZ210" s="53">
        <f t="shared" si="38"/>
        <v>2807482</v>
      </c>
      <c r="BA210" s="51"/>
      <c r="BB210" s="35" t="s">
        <v>240</v>
      </c>
      <c r="BD210" s="35" t="s">
        <v>13</v>
      </c>
      <c r="BE210" s="53"/>
      <c r="BF210" s="53">
        <v>6127948</v>
      </c>
      <c r="BG210" s="53"/>
      <c r="BH210" s="53">
        <v>0</v>
      </c>
      <c r="BI210" s="53"/>
      <c r="BJ210" s="53">
        <v>196936</v>
      </c>
      <c r="BK210" s="53"/>
      <c r="BL210" s="53">
        <f>1200000+291483+225189</f>
        <v>1716672</v>
      </c>
      <c r="BM210" s="53"/>
      <c r="BN210" s="53">
        <f t="shared" si="34"/>
        <v>8041556</v>
      </c>
      <c r="BO210" s="54"/>
      <c r="BS210" s="55"/>
      <c r="BT210" s="55"/>
      <c r="BU210" s="84"/>
      <c r="BV210" s="55"/>
      <c r="BW210" s="55"/>
      <c r="BX210" s="55"/>
      <c r="BY210" s="55"/>
      <c r="BZ210" s="55"/>
      <c r="CA210" s="55"/>
      <c r="CB210" s="55"/>
      <c r="CC210" s="55"/>
      <c r="CD210" s="55"/>
      <c r="CE210" s="55"/>
      <c r="CF210" s="55"/>
      <c r="CG210" s="55"/>
      <c r="CH210" s="55"/>
      <c r="CI210" s="55"/>
      <c r="CJ210" s="55"/>
      <c r="CK210" s="55"/>
      <c r="CL210" s="55"/>
      <c r="CM210" s="55"/>
      <c r="CN210" s="55"/>
      <c r="CO210" s="55"/>
      <c r="CP210" s="55"/>
      <c r="CQ210" s="55"/>
    </row>
    <row r="211" spans="1:95" s="126" customFormat="1" ht="12.75" hidden="1" customHeight="1">
      <c r="A211" s="64" t="s">
        <v>241</v>
      </c>
      <c r="B211" s="64"/>
      <c r="C211" s="64" t="s">
        <v>22</v>
      </c>
      <c r="D211" s="46"/>
      <c r="E211" s="53">
        <f t="shared" si="31"/>
        <v>0</v>
      </c>
      <c r="F211" s="53"/>
      <c r="G211" s="53"/>
      <c r="H211" s="53"/>
      <c r="I211" s="53"/>
      <c r="J211" s="53"/>
      <c r="K211" s="53">
        <f t="shared" si="32"/>
        <v>0</v>
      </c>
      <c r="L211" s="53"/>
      <c r="M211" s="53"/>
      <c r="N211" s="53"/>
      <c r="O211" s="53"/>
      <c r="P211" s="53"/>
      <c r="Q211" s="53"/>
      <c r="R211" s="53"/>
      <c r="S211" s="53">
        <v>0</v>
      </c>
      <c r="T211" s="53"/>
      <c r="U211" s="53"/>
      <c r="V211" s="53"/>
      <c r="W211" s="53">
        <f t="shared" si="33"/>
        <v>0</v>
      </c>
      <c r="X211" s="51"/>
      <c r="Y211" s="51"/>
      <c r="Z211" s="64" t="s">
        <v>241</v>
      </c>
      <c r="AA211" s="79"/>
      <c r="AB211" s="64" t="s">
        <v>22</v>
      </c>
      <c r="AC211" s="64"/>
      <c r="AD211" s="53"/>
      <c r="AE211" s="53"/>
      <c r="AF211" s="53"/>
      <c r="AG211" s="53"/>
      <c r="AH211" s="53"/>
      <c r="AI211" s="53"/>
      <c r="AJ211" s="45">
        <f t="shared" si="39"/>
        <v>0</v>
      </c>
      <c r="AK211" s="45"/>
      <c r="AL211" s="53"/>
      <c r="AM211" s="45"/>
      <c r="AN211" s="53"/>
      <c r="AO211" s="53"/>
      <c r="AP211" s="53"/>
      <c r="AQ211" s="53"/>
      <c r="AR211" s="53"/>
      <c r="AS211" s="53"/>
      <c r="AT211" s="45">
        <f t="shared" si="40"/>
        <v>0</v>
      </c>
      <c r="AU211" s="45"/>
      <c r="AV211" s="53">
        <v>0</v>
      </c>
      <c r="AW211" s="53"/>
      <c r="AX211" s="53">
        <v>0</v>
      </c>
      <c r="AY211" s="53"/>
      <c r="AZ211" s="53">
        <f t="shared" si="38"/>
        <v>0</v>
      </c>
      <c r="BA211" s="51"/>
      <c r="BB211" s="64" t="s">
        <v>241</v>
      </c>
      <c r="BC211" s="64"/>
      <c r="BD211" s="64" t="s">
        <v>22</v>
      </c>
      <c r="BE211" s="79"/>
      <c r="BF211" s="53"/>
      <c r="BG211" s="53"/>
      <c r="BH211" s="53"/>
      <c r="BI211" s="53"/>
      <c r="BJ211" s="53"/>
      <c r="BK211" s="53"/>
      <c r="BL211" s="53"/>
      <c r="BM211" s="53"/>
      <c r="BN211" s="53">
        <f t="shared" si="34"/>
        <v>0</v>
      </c>
      <c r="BO211" s="142"/>
      <c r="BS211" s="143"/>
      <c r="BT211" s="143"/>
      <c r="BU211" s="144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</row>
    <row r="212" spans="1:95" s="126" customFormat="1" ht="12.75" hidden="1" customHeight="1">
      <c r="A212" s="35" t="s">
        <v>242</v>
      </c>
      <c r="B212" s="51"/>
      <c r="C212" s="35" t="s">
        <v>27</v>
      </c>
      <c r="D212" s="44"/>
      <c r="E212" s="53">
        <f t="shared" si="31"/>
        <v>0</v>
      </c>
      <c r="F212" s="53"/>
      <c r="G212" s="53"/>
      <c r="H212" s="53"/>
      <c r="I212" s="53"/>
      <c r="J212" s="53"/>
      <c r="K212" s="53">
        <f t="shared" si="32"/>
        <v>0</v>
      </c>
      <c r="L212" s="53"/>
      <c r="M212" s="53"/>
      <c r="N212" s="53"/>
      <c r="O212" s="53"/>
      <c r="P212" s="53"/>
      <c r="Q212" s="53"/>
      <c r="R212" s="53"/>
      <c r="S212" s="53">
        <v>0</v>
      </c>
      <c r="T212" s="53"/>
      <c r="U212" s="53"/>
      <c r="V212" s="53"/>
      <c r="W212" s="53">
        <f t="shared" si="33"/>
        <v>0</v>
      </c>
      <c r="X212" s="51"/>
      <c r="Y212" s="51"/>
      <c r="Z212" s="35" t="s">
        <v>242</v>
      </c>
      <c r="AA212" s="53"/>
      <c r="AB212" s="35" t="s">
        <v>27</v>
      </c>
      <c r="AC212" s="51"/>
      <c r="AD212" s="53"/>
      <c r="AE212" s="53"/>
      <c r="AF212" s="53"/>
      <c r="AG212" s="53"/>
      <c r="AH212" s="53"/>
      <c r="AI212" s="53"/>
      <c r="AJ212" s="45">
        <f t="shared" si="39"/>
        <v>0</v>
      </c>
      <c r="AK212" s="45"/>
      <c r="AL212" s="53"/>
      <c r="AM212" s="45"/>
      <c r="AN212" s="53"/>
      <c r="AO212" s="53"/>
      <c r="AP212" s="53"/>
      <c r="AQ212" s="53"/>
      <c r="AR212" s="53"/>
      <c r="AS212" s="53"/>
      <c r="AT212" s="45">
        <f t="shared" si="40"/>
        <v>0</v>
      </c>
      <c r="AU212" s="45"/>
      <c r="AV212" s="53">
        <v>0</v>
      </c>
      <c r="AW212" s="53"/>
      <c r="AX212" s="53">
        <v>0</v>
      </c>
      <c r="AY212" s="53"/>
      <c r="AZ212" s="53">
        <f t="shared" si="38"/>
        <v>0</v>
      </c>
      <c r="BA212" s="51"/>
      <c r="BB212" s="35" t="s">
        <v>242</v>
      </c>
      <c r="BC212" s="35"/>
      <c r="BD212" s="35" t="s">
        <v>27</v>
      </c>
      <c r="BE212" s="53"/>
      <c r="BF212" s="53"/>
      <c r="BG212" s="53"/>
      <c r="BH212" s="53"/>
      <c r="BI212" s="53"/>
      <c r="BJ212" s="53"/>
      <c r="BK212" s="53"/>
      <c r="BL212" s="53"/>
      <c r="BM212" s="53"/>
      <c r="BN212" s="53">
        <f t="shared" si="34"/>
        <v>0</v>
      </c>
      <c r="BO212" s="142"/>
      <c r="BS212" s="143"/>
      <c r="BT212" s="143"/>
      <c r="BU212" s="144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</row>
    <row r="213" spans="1:95" s="35" customFormat="1" ht="12.75" customHeight="1">
      <c r="A213" s="35" t="s">
        <v>243</v>
      </c>
      <c r="C213" s="35" t="s">
        <v>163</v>
      </c>
      <c r="D213" s="44"/>
      <c r="E213" s="53">
        <f t="shared" ref="E213" si="41">I213-G213</f>
        <v>1334796</v>
      </c>
      <c r="F213" s="53"/>
      <c r="G213" s="53">
        <v>6578289</v>
      </c>
      <c r="H213" s="53"/>
      <c r="I213" s="53">
        <v>7913085</v>
      </c>
      <c r="J213" s="53"/>
      <c r="K213" s="53">
        <f t="shared" ref="K213" si="42">O213-M213</f>
        <v>226647</v>
      </c>
      <c r="L213" s="53"/>
      <c r="M213" s="53">
        <v>204274</v>
      </c>
      <c r="N213" s="53"/>
      <c r="O213" s="53">
        <v>430921</v>
      </c>
      <c r="P213" s="53"/>
      <c r="Q213" s="53">
        <v>6578289</v>
      </c>
      <c r="R213" s="53"/>
      <c r="S213" s="53">
        <v>0</v>
      </c>
      <c r="T213" s="53"/>
      <c r="U213" s="53">
        <v>903875</v>
      </c>
      <c r="V213" s="53"/>
      <c r="W213" s="53">
        <f t="shared" ref="W213" si="43">SUM(Q213:U213)</f>
        <v>7482164</v>
      </c>
      <c r="Z213" s="35" t="s">
        <v>243</v>
      </c>
      <c r="AA213" s="53"/>
      <c r="AB213" s="35" t="s">
        <v>163</v>
      </c>
      <c r="AD213" s="53">
        <v>3372060</v>
      </c>
      <c r="AE213" s="53"/>
      <c r="AF213" s="53">
        <f>3479514-245933</f>
        <v>3233581</v>
      </c>
      <c r="AG213" s="53"/>
      <c r="AH213" s="53">
        <v>245933</v>
      </c>
      <c r="AI213" s="53"/>
      <c r="AJ213" s="45">
        <f t="shared" si="39"/>
        <v>-107454</v>
      </c>
      <c r="AK213" s="45"/>
      <c r="AL213" s="53">
        <v>32229</v>
      </c>
      <c r="AM213" s="45"/>
      <c r="AN213" s="53">
        <v>0</v>
      </c>
      <c r="AO213" s="53"/>
      <c r="AP213" s="53">
        <v>72369</v>
      </c>
      <c r="AQ213" s="53"/>
      <c r="AR213" s="53">
        <v>0</v>
      </c>
      <c r="AS213" s="53"/>
      <c r="AT213" s="45">
        <f t="shared" si="40"/>
        <v>-147594</v>
      </c>
      <c r="AU213" s="45"/>
      <c r="AV213" s="53">
        <v>0</v>
      </c>
      <c r="AW213" s="53"/>
      <c r="AX213" s="53">
        <v>0</v>
      </c>
      <c r="AY213" s="53"/>
      <c r="AZ213" s="53">
        <f t="shared" si="38"/>
        <v>1108149</v>
      </c>
      <c r="BA213" s="65"/>
      <c r="BB213" s="35" t="s">
        <v>243</v>
      </c>
      <c r="BD213" s="35" t="s">
        <v>163</v>
      </c>
      <c r="BE213" s="53"/>
      <c r="BF213" s="53">
        <v>0</v>
      </c>
      <c r="BG213" s="53"/>
      <c r="BH213" s="53">
        <v>0</v>
      </c>
      <c r="BI213" s="53"/>
      <c r="BJ213" s="53">
        <v>0</v>
      </c>
      <c r="BK213" s="53"/>
      <c r="BL213" s="53">
        <v>330110</v>
      </c>
      <c r="BM213" s="53"/>
      <c r="BN213" s="53">
        <f t="shared" ref="BN213" si="44">SUM(BF213:BL213)</f>
        <v>330110</v>
      </c>
      <c r="BO213" s="54"/>
      <c r="BS213" s="55"/>
      <c r="BT213" s="55"/>
      <c r="BU213" s="84"/>
      <c r="BV213" s="55"/>
      <c r="BW213" s="55"/>
      <c r="BX213" s="55"/>
      <c r="BY213" s="55"/>
      <c r="BZ213" s="55"/>
      <c r="CA213" s="55"/>
      <c r="CB213" s="55"/>
      <c r="CC213" s="55"/>
      <c r="CD213" s="55"/>
      <c r="CE213" s="55"/>
      <c r="CF213" s="55"/>
      <c r="CG213" s="55"/>
      <c r="CH213" s="55"/>
      <c r="CI213" s="55"/>
      <c r="CJ213" s="55"/>
      <c r="CK213" s="55"/>
      <c r="CL213" s="55"/>
      <c r="CM213" s="55"/>
      <c r="CN213" s="55"/>
      <c r="CO213" s="55"/>
      <c r="CP213" s="55"/>
      <c r="CQ213" s="55"/>
    </row>
    <row r="214" spans="1:95" s="35" customFormat="1" ht="12.75" customHeight="1">
      <c r="A214" s="35" t="s">
        <v>244</v>
      </c>
      <c r="B214" s="51"/>
      <c r="C214" s="35" t="s">
        <v>13</v>
      </c>
      <c r="D214" s="44"/>
      <c r="E214" s="53">
        <f>I214-G214</f>
        <v>3519311</v>
      </c>
      <c r="F214" s="53"/>
      <c r="G214" s="53">
        <v>5636087</v>
      </c>
      <c r="H214" s="53"/>
      <c r="I214" s="53">
        <v>9155398</v>
      </c>
      <c r="J214" s="53"/>
      <c r="K214" s="53">
        <f t="shared" ref="K214:K254" si="45">O214-M214</f>
        <v>479847</v>
      </c>
      <c r="L214" s="53"/>
      <c r="M214" s="53">
        <v>224711</v>
      </c>
      <c r="N214" s="53"/>
      <c r="O214" s="53">
        <v>704558</v>
      </c>
      <c r="P214" s="53"/>
      <c r="Q214" s="53">
        <v>5374087</v>
      </c>
      <c r="R214" s="53"/>
      <c r="S214" s="53">
        <v>0</v>
      </c>
      <c r="T214" s="53"/>
      <c r="U214" s="53">
        <v>3076753</v>
      </c>
      <c r="V214" s="53"/>
      <c r="W214" s="53">
        <f t="shared" ref="W214:W254" si="46">SUM(Q214:U214)</f>
        <v>8450840</v>
      </c>
      <c r="X214" s="51"/>
      <c r="Y214" s="51"/>
      <c r="Z214" s="35" t="s">
        <v>244</v>
      </c>
      <c r="AA214" s="53"/>
      <c r="AB214" s="35" t="s">
        <v>13</v>
      </c>
      <c r="AC214" s="51"/>
      <c r="AD214" s="53">
        <v>1728212</v>
      </c>
      <c r="AE214" s="53"/>
      <c r="AF214" s="53">
        <f>1767640-258108</f>
        <v>1509532</v>
      </c>
      <c r="AG214" s="53"/>
      <c r="AH214" s="53">
        <v>258108</v>
      </c>
      <c r="AI214" s="53"/>
      <c r="AJ214" s="45">
        <f t="shared" ref="AJ214:AJ232" si="47">+AD214-AF214-AH214</f>
        <v>-39428</v>
      </c>
      <c r="AK214" s="45"/>
      <c r="AL214" s="53">
        <v>-65804</v>
      </c>
      <c r="AM214" s="45"/>
      <c r="AN214" s="53">
        <v>0</v>
      </c>
      <c r="AO214" s="53"/>
      <c r="AP214" s="53">
        <v>48401</v>
      </c>
      <c r="AQ214" s="53"/>
      <c r="AR214" s="53">
        <v>0</v>
      </c>
      <c r="AS214" s="53"/>
      <c r="AT214" s="45">
        <f t="shared" ref="AT214:AT232" si="48">+AJ214+AL214+AN214-AP214+AR214</f>
        <v>-153633</v>
      </c>
      <c r="AU214" s="45"/>
      <c r="AV214" s="53">
        <v>0</v>
      </c>
      <c r="AW214" s="53"/>
      <c r="AX214" s="53">
        <v>0</v>
      </c>
      <c r="AY214" s="53"/>
      <c r="AZ214" s="53">
        <f t="shared" ref="AZ214:AZ232" si="49">E214-K214</f>
        <v>3039464</v>
      </c>
      <c r="BA214" s="51"/>
      <c r="BB214" s="35" t="s">
        <v>244</v>
      </c>
      <c r="BD214" s="35" t="s">
        <v>13</v>
      </c>
      <c r="BE214" s="53"/>
      <c r="BF214" s="53">
        <v>0</v>
      </c>
      <c r="BG214" s="53"/>
      <c r="BH214" s="53">
        <f>145000+85000</f>
        <v>230000</v>
      </c>
      <c r="BI214" s="53"/>
      <c r="BJ214" s="53">
        <v>0</v>
      </c>
      <c r="BK214" s="53"/>
      <c r="BL214" s="53">
        <v>82046</v>
      </c>
      <c r="BM214" s="53"/>
      <c r="BN214" s="53">
        <f t="shared" ref="BN214:BN254" si="50">SUM(BF214:BL214)</f>
        <v>312046</v>
      </c>
      <c r="BO214" s="54"/>
      <c r="BS214" s="55"/>
      <c r="BT214" s="55"/>
      <c r="BU214" s="84"/>
      <c r="BV214" s="55"/>
      <c r="BW214" s="55"/>
      <c r="BX214" s="55"/>
      <c r="BY214" s="55"/>
      <c r="BZ214" s="55"/>
      <c r="CA214" s="55"/>
      <c r="CB214" s="55"/>
      <c r="CC214" s="55"/>
      <c r="CD214" s="55"/>
      <c r="CE214" s="55"/>
      <c r="CF214" s="55"/>
      <c r="CG214" s="55"/>
      <c r="CH214" s="55"/>
      <c r="CI214" s="55"/>
      <c r="CJ214" s="55"/>
      <c r="CK214" s="55"/>
      <c r="CL214" s="55"/>
      <c r="CM214" s="55"/>
      <c r="CN214" s="55"/>
      <c r="CO214" s="55"/>
      <c r="CP214" s="55"/>
      <c r="CQ214" s="55"/>
    </row>
    <row r="215" spans="1:95" s="35" customFormat="1" ht="12.75" hidden="1" customHeight="1">
      <c r="A215" s="35" t="s">
        <v>245</v>
      </c>
      <c r="B215" s="51"/>
      <c r="C215" s="35" t="s">
        <v>110</v>
      </c>
      <c r="D215" s="44"/>
      <c r="E215" s="53">
        <f t="shared" ref="E215:E254" si="51">I215-G215</f>
        <v>0</v>
      </c>
      <c r="F215" s="53"/>
      <c r="G215" s="53"/>
      <c r="H215" s="53"/>
      <c r="I215" s="53"/>
      <c r="J215" s="53"/>
      <c r="K215" s="53">
        <f t="shared" si="45"/>
        <v>0</v>
      </c>
      <c r="L215" s="53"/>
      <c r="M215" s="53"/>
      <c r="N215" s="53"/>
      <c r="O215" s="53"/>
      <c r="P215" s="53"/>
      <c r="Q215" s="53"/>
      <c r="R215" s="53"/>
      <c r="S215" s="53">
        <v>0</v>
      </c>
      <c r="T215" s="53"/>
      <c r="U215" s="53"/>
      <c r="V215" s="53"/>
      <c r="W215" s="53">
        <f t="shared" si="46"/>
        <v>0</v>
      </c>
      <c r="Z215" s="35" t="s">
        <v>245</v>
      </c>
      <c r="AA215" s="53"/>
      <c r="AB215" s="35" t="s">
        <v>110</v>
      </c>
      <c r="AC215" s="51"/>
      <c r="AD215" s="53"/>
      <c r="AE215" s="53"/>
      <c r="AF215" s="53"/>
      <c r="AG215" s="53"/>
      <c r="AH215" s="53"/>
      <c r="AI215" s="53"/>
      <c r="AJ215" s="45">
        <f t="shared" si="47"/>
        <v>0</v>
      </c>
      <c r="AK215" s="45"/>
      <c r="AL215" s="53"/>
      <c r="AM215" s="45"/>
      <c r="AN215" s="53"/>
      <c r="AO215" s="53"/>
      <c r="AP215" s="53"/>
      <c r="AQ215" s="53"/>
      <c r="AR215" s="53"/>
      <c r="AS215" s="53"/>
      <c r="AT215" s="45">
        <f t="shared" si="48"/>
        <v>0</v>
      </c>
      <c r="AU215" s="45"/>
      <c r="AV215" s="53">
        <v>0</v>
      </c>
      <c r="AW215" s="53"/>
      <c r="AX215" s="53">
        <v>0</v>
      </c>
      <c r="AY215" s="53"/>
      <c r="AZ215" s="53">
        <f t="shared" si="49"/>
        <v>0</v>
      </c>
      <c r="BA215" s="51"/>
      <c r="BB215" s="35" t="s">
        <v>245</v>
      </c>
      <c r="BD215" s="35" t="s">
        <v>110</v>
      </c>
      <c r="BE215" s="53"/>
      <c r="BF215" s="53"/>
      <c r="BG215" s="53"/>
      <c r="BH215" s="53"/>
      <c r="BI215" s="53"/>
      <c r="BJ215" s="53"/>
      <c r="BK215" s="53"/>
      <c r="BL215" s="53"/>
      <c r="BM215" s="53"/>
      <c r="BN215" s="53">
        <f t="shared" si="50"/>
        <v>0</v>
      </c>
      <c r="BO215" s="54"/>
      <c r="BP215" s="55"/>
      <c r="BS215" s="55"/>
      <c r="BT215" s="55"/>
      <c r="BU215" s="84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</row>
    <row r="216" spans="1:95" s="35" customFormat="1" ht="12.75" customHeight="1">
      <c r="A216" s="35" t="s">
        <v>246</v>
      </c>
      <c r="B216" s="51"/>
      <c r="C216" s="35" t="s">
        <v>209</v>
      </c>
      <c r="D216" s="44"/>
      <c r="E216" s="53">
        <v>3515537</v>
      </c>
      <c r="F216" s="53"/>
      <c r="G216" s="53">
        <v>7717700</v>
      </c>
      <c r="H216" s="53"/>
      <c r="I216" s="53">
        <v>11233237</v>
      </c>
      <c r="J216" s="53"/>
      <c r="K216" s="53">
        <v>156733</v>
      </c>
      <c r="L216" s="53"/>
      <c r="M216" s="53">
        <v>117612</v>
      </c>
      <c r="N216" s="53"/>
      <c r="O216" s="53">
        <v>274345</v>
      </c>
      <c r="P216" s="53"/>
      <c r="Q216" s="53">
        <v>7728646</v>
      </c>
      <c r="R216" s="53"/>
      <c r="S216" s="53">
        <v>0</v>
      </c>
      <c r="T216" s="53"/>
      <c r="U216" s="53">
        <v>3230246</v>
      </c>
      <c r="V216" s="53"/>
      <c r="W216" s="53">
        <f t="shared" si="46"/>
        <v>10958892</v>
      </c>
      <c r="X216" s="51"/>
      <c r="Y216" s="51"/>
      <c r="Z216" s="35" t="s">
        <v>246</v>
      </c>
      <c r="AA216" s="53"/>
      <c r="AB216" s="35" t="s">
        <v>209</v>
      </c>
      <c r="AC216" s="51"/>
      <c r="AD216" s="53">
        <v>2223862</v>
      </c>
      <c r="AE216" s="53"/>
      <c r="AF216" s="53">
        <f>2170096-306447</f>
        <v>1863649</v>
      </c>
      <c r="AG216" s="53"/>
      <c r="AH216" s="53">
        <v>306447</v>
      </c>
      <c r="AI216" s="53"/>
      <c r="AJ216" s="45">
        <f t="shared" si="47"/>
        <v>53766</v>
      </c>
      <c r="AK216" s="45"/>
      <c r="AL216" s="53">
        <v>78384</v>
      </c>
      <c r="AM216" s="45"/>
      <c r="AN216" s="53">
        <v>0</v>
      </c>
      <c r="AO216" s="53"/>
      <c r="AP216" s="53">
        <v>7536</v>
      </c>
      <c r="AQ216" s="53"/>
      <c r="AR216" s="53">
        <v>219648</v>
      </c>
      <c r="AS216" s="53"/>
      <c r="AT216" s="45">
        <f t="shared" si="48"/>
        <v>344262</v>
      </c>
      <c r="AU216" s="45"/>
      <c r="AV216" s="53">
        <v>0</v>
      </c>
      <c r="AW216" s="53"/>
      <c r="AX216" s="53">
        <v>0</v>
      </c>
      <c r="AY216" s="53"/>
      <c r="AZ216" s="53">
        <f t="shared" si="49"/>
        <v>3358804</v>
      </c>
      <c r="BA216" s="51"/>
      <c r="BB216" s="35" t="s">
        <v>246</v>
      </c>
      <c r="BD216" s="35" t="s">
        <v>209</v>
      </c>
      <c r="BE216" s="53"/>
      <c r="BF216" s="53">
        <v>0</v>
      </c>
      <c r="BG216" s="53"/>
      <c r="BH216" s="53">
        <v>75000</v>
      </c>
      <c r="BI216" s="53"/>
      <c r="BJ216" s="53">
        <v>0</v>
      </c>
      <c r="BK216" s="53"/>
      <c r="BL216" s="53">
        <v>343923</v>
      </c>
      <c r="BM216" s="53"/>
      <c r="BN216" s="53">
        <f t="shared" si="50"/>
        <v>418923</v>
      </c>
      <c r="BO216" s="54"/>
      <c r="BS216" s="55"/>
      <c r="BT216" s="55"/>
      <c r="BU216" s="84"/>
      <c r="BV216" s="55"/>
      <c r="BW216" s="55"/>
      <c r="BX216" s="55"/>
      <c r="BY216" s="55"/>
      <c r="BZ216" s="55"/>
      <c r="CA216" s="55"/>
      <c r="CB216" s="55"/>
      <c r="CC216" s="55"/>
      <c r="CD216" s="55"/>
      <c r="CE216" s="55"/>
      <c r="CF216" s="55"/>
      <c r="CG216" s="55"/>
      <c r="CH216" s="55"/>
      <c r="CI216" s="55"/>
      <c r="CJ216" s="55"/>
      <c r="CK216" s="55"/>
      <c r="CL216" s="55"/>
      <c r="CM216" s="55"/>
      <c r="CN216" s="55"/>
      <c r="CO216" s="55"/>
      <c r="CP216" s="55"/>
      <c r="CQ216" s="55"/>
    </row>
    <row r="217" spans="1:95" s="35" customFormat="1" ht="12.75" customHeight="1">
      <c r="A217" s="35" t="s">
        <v>247</v>
      </c>
      <c r="C217" s="35" t="s">
        <v>163</v>
      </c>
      <c r="D217" s="44"/>
      <c r="E217" s="53">
        <v>82123000</v>
      </c>
      <c r="F217" s="53"/>
      <c r="G217" s="53">
        <v>195281000</v>
      </c>
      <c r="H217" s="53"/>
      <c r="I217" s="53">
        <v>277404000</v>
      </c>
      <c r="J217" s="53"/>
      <c r="K217" s="53">
        <v>43406000</v>
      </c>
      <c r="L217" s="53"/>
      <c r="M217" s="53">
        <v>90105000</v>
      </c>
      <c r="N217" s="53"/>
      <c r="O217" s="53">
        <v>133511000</v>
      </c>
      <c r="P217" s="53"/>
      <c r="Q217" s="53">
        <v>97946000</v>
      </c>
      <c r="R217" s="53"/>
      <c r="S217" s="53">
        <f>768000+25298000</f>
        <v>26066000</v>
      </c>
      <c r="T217" s="53"/>
      <c r="U217" s="53">
        <v>19881000</v>
      </c>
      <c r="V217" s="53"/>
      <c r="W217" s="53">
        <f t="shared" si="46"/>
        <v>143893000</v>
      </c>
      <c r="X217" s="51"/>
      <c r="Y217" s="51"/>
      <c r="Z217" s="35" t="s">
        <v>247</v>
      </c>
      <c r="AA217" s="53"/>
      <c r="AB217" s="35" t="s">
        <v>163</v>
      </c>
      <c r="AD217" s="53">
        <v>38070000</v>
      </c>
      <c r="AE217" s="53"/>
      <c r="AF217" s="53">
        <f>32072000-5000000</f>
        <v>27072000</v>
      </c>
      <c r="AG217" s="53"/>
      <c r="AH217" s="53">
        <v>5000000</v>
      </c>
      <c r="AI217" s="53"/>
      <c r="AJ217" s="45">
        <v>5998000</v>
      </c>
      <c r="AK217" s="45"/>
      <c r="AL217" s="53">
        <v>-2693000</v>
      </c>
      <c r="AM217" s="45"/>
      <c r="AN217" s="53">
        <v>0</v>
      </c>
      <c r="AO217" s="53"/>
      <c r="AP217" s="53">
        <v>88000</v>
      </c>
      <c r="AQ217" s="53"/>
      <c r="AR217" s="53">
        <v>0</v>
      </c>
      <c r="AS217" s="53"/>
      <c r="AT217" s="45">
        <f t="shared" si="48"/>
        <v>3217000</v>
      </c>
      <c r="AU217" s="45"/>
      <c r="AV217" s="53">
        <v>0</v>
      </c>
      <c r="AW217" s="53"/>
      <c r="AX217" s="53">
        <v>0</v>
      </c>
      <c r="AY217" s="53"/>
      <c r="AZ217" s="53">
        <f t="shared" si="49"/>
        <v>38717000</v>
      </c>
      <c r="BA217" s="51"/>
      <c r="BB217" s="35" t="s">
        <v>247</v>
      </c>
      <c r="BD217" s="35" t="s">
        <v>163</v>
      </c>
      <c r="BE217" s="53"/>
      <c r="BF217" s="53">
        <v>79962000</v>
      </c>
      <c r="BG217" s="53"/>
      <c r="BH217" s="53">
        <v>0</v>
      </c>
      <c r="BI217" s="53"/>
      <c r="BJ217" s="53">
        <v>0</v>
      </c>
      <c r="BK217" s="53"/>
      <c r="BL217" s="53">
        <v>7554000</v>
      </c>
      <c r="BM217" s="53"/>
      <c r="BN217" s="53">
        <f t="shared" si="50"/>
        <v>87516000</v>
      </c>
      <c r="BO217" s="54"/>
      <c r="BS217" s="55"/>
      <c r="BT217" s="55"/>
      <c r="BU217" s="84"/>
      <c r="BV217" s="55"/>
      <c r="BW217" s="55"/>
      <c r="BX217" s="55"/>
      <c r="BY217" s="55"/>
      <c r="BZ217" s="55"/>
      <c r="CA217" s="55"/>
      <c r="CB217" s="55"/>
      <c r="CC217" s="55"/>
      <c r="CD217" s="55"/>
      <c r="CE217" s="55"/>
      <c r="CF217" s="55"/>
      <c r="CG217" s="55"/>
      <c r="CH217" s="55"/>
      <c r="CI217" s="55"/>
      <c r="CJ217" s="55"/>
      <c r="CK217" s="55"/>
      <c r="CL217" s="55"/>
      <c r="CM217" s="55"/>
      <c r="CN217" s="55"/>
      <c r="CO217" s="55"/>
      <c r="CP217" s="55"/>
      <c r="CQ217" s="55"/>
    </row>
    <row r="218" spans="1:95" s="35" customFormat="1" ht="12.75" customHeight="1">
      <c r="A218" s="35" t="s">
        <v>248</v>
      </c>
      <c r="B218" s="51"/>
      <c r="C218" s="35" t="s">
        <v>249</v>
      </c>
      <c r="D218" s="44"/>
      <c r="E218" s="53">
        <v>635585</v>
      </c>
      <c r="F218" s="53"/>
      <c r="G218" s="53">
        <v>14252925</v>
      </c>
      <c r="H218" s="53"/>
      <c r="I218" s="53">
        <v>14888510</v>
      </c>
      <c r="J218" s="53"/>
      <c r="K218" s="53">
        <f>O218-M218</f>
        <v>638266</v>
      </c>
      <c r="L218" s="53"/>
      <c r="M218" s="53">
        <v>12580201</v>
      </c>
      <c r="N218" s="53"/>
      <c r="O218" s="53">
        <v>13218467</v>
      </c>
      <c r="P218" s="53"/>
      <c r="Q218" s="53">
        <v>1131073</v>
      </c>
      <c r="R218" s="53"/>
      <c r="S218" s="53">
        <v>0</v>
      </c>
      <c r="T218" s="53"/>
      <c r="U218" s="53">
        <v>538970</v>
      </c>
      <c r="V218" s="53"/>
      <c r="W218" s="53">
        <f>SUM(Q218:U218)</f>
        <v>1670043</v>
      </c>
      <c r="Z218" s="35" t="s">
        <v>248</v>
      </c>
      <c r="AA218" s="53"/>
      <c r="AB218" s="35" t="s">
        <v>249</v>
      </c>
      <c r="AC218" s="51"/>
      <c r="AD218" s="53">
        <v>2113644</v>
      </c>
      <c r="AE218" s="53"/>
      <c r="AF218" s="53">
        <f>1469773-402671</f>
        <v>1067102</v>
      </c>
      <c r="AG218" s="53"/>
      <c r="AH218" s="53">
        <v>402671</v>
      </c>
      <c r="AI218" s="53"/>
      <c r="AJ218" s="45">
        <f>+AD218-AF218-AH218</f>
        <v>643871</v>
      </c>
      <c r="AK218" s="45"/>
      <c r="AL218" s="53">
        <v>-425893</v>
      </c>
      <c r="AM218" s="45"/>
      <c r="AN218" s="53">
        <v>0</v>
      </c>
      <c r="AO218" s="53"/>
      <c r="AP218" s="53">
        <v>0</v>
      </c>
      <c r="AQ218" s="53"/>
      <c r="AR218" s="53">
        <v>268600</v>
      </c>
      <c r="AS218" s="53"/>
      <c r="AT218" s="45">
        <f>+AJ218+AL218+AN218-AP218+AR218</f>
        <v>486578</v>
      </c>
      <c r="AU218" s="45"/>
      <c r="AV218" s="53">
        <v>0</v>
      </c>
      <c r="AW218" s="53"/>
      <c r="AX218" s="53">
        <v>0</v>
      </c>
      <c r="AY218" s="53"/>
      <c r="AZ218" s="53">
        <f>E218-K218</f>
        <v>-2681</v>
      </c>
      <c r="BA218" s="51"/>
      <c r="BB218" s="35" t="s">
        <v>248</v>
      </c>
      <c r="BD218" s="35" t="s">
        <v>249</v>
      </c>
      <c r="BE218" s="53"/>
      <c r="BF218" s="53">
        <v>0</v>
      </c>
      <c r="BG218" s="53"/>
      <c r="BH218" s="53">
        <v>0</v>
      </c>
      <c r="BI218" s="53"/>
      <c r="BJ218" s="53">
        <f>1244128+677724</f>
        <v>1921852</v>
      </c>
      <c r="BK218" s="53"/>
      <c r="BL218" s="53">
        <v>82129</v>
      </c>
      <c r="BM218" s="53"/>
      <c r="BN218" s="53">
        <f>SUM(BF218:BL218)</f>
        <v>2003981</v>
      </c>
      <c r="BO218" s="54"/>
      <c r="BP218" s="55"/>
      <c r="BS218" s="55"/>
      <c r="BT218" s="55"/>
      <c r="BU218" s="84"/>
      <c r="BV218" s="55"/>
      <c r="BW218" s="55"/>
      <c r="BX218" s="55"/>
      <c r="BY218" s="55"/>
      <c r="BZ218" s="55"/>
      <c r="CA218" s="55"/>
      <c r="CB218" s="55"/>
      <c r="CC218" s="55"/>
      <c r="CD218" s="55"/>
      <c r="CE218" s="55"/>
      <c r="CF218" s="55"/>
      <c r="CG218" s="55"/>
      <c r="CH218" s="55"/>
      <c r="CI218" s="55"/>
      <c r="CJ218" s="55"/>
      <c r="CK218" s="55"/>
      <c r="CL218" s="55"/>
      <c r="CM218" s="55"/>
      <c r="CN218" s="55"/>
      <c r="CO218" s="55"/>
      <c r="CP218" s="55"/>
      <c r="CQ218" s="55"/>
    </row>
    <row r="219" spans="1:95" s="35" customFormat="1" ht="12.75" customHeight="1">
      <c r="A219" s="35" t="s">
        <v>250</v>
      </c>
      <c r="B219" s="51"/>
      <c r="C219" s="35" t="s">
        <v>103</v>
      </c>
      <c r="D219" s="44"/>
      <c r="E219" s="53">
        <f t="shared" si="51"/>
        <v>2068391</v>
      </c>
      <c r="F219" s="53"/>
      <c r="G219" s="53">
        <v>10437316</v>
      </c>
      <c r="H219" s="53"/>
      <c r="I219" s="53">
        <v>12505707</v>
      </c>
      <c r="J219" s="53"/>
      <c r="K219" s="53">
        <f t="shared" si="45"/>
        <v>2657873</v>
      </c>
      <c r="L219" s="53"/>
      <c r="M219" s="53">
        <v>7328002</v>
      </c>
      <c r="N219" s="53"/>
      <c r="O219" s="53">
        <v>9985875</v>
      </c>
      <c r="P219" s="53"/>
      <c r="Q219" s="53">
        <v>316795</v>
      </c>
      <c r="R219" s="53"/>
      <c r="S219" s="53">
        <v>0</v>
      </c>
      <c r="T219" s="53"/>
      <c r="U219" s="53">
        <v>2203037</v>
      </c>
      <c r="V219" s="53"/>
      <c r="W219" s="53">
        <f t="shared" si="46"/>
        <v>2519832</v>
      </c>
      <c r="X219" s="51"/>
      <c r="Y219" s="51"/>
      <c r="Z219" s="35" t="s">
        <v>250</v>
      </c>
      <c r="AA219" s="53"/>
      <c r="AB219" s="35" t="s">
        <v>103</v>
      </c>
      <c r="AC219" s="51"/>
      <c r="AD219" s="53">
        <v>1183718</v>
      </c>
      <c r="AE219" s="53"/>
      <c r="AF219" s="53">
        <f>1037015-221689</f>
        <v>815326</v>
      </c>
      <c r="AG219" s="53"/>
      <c r="AH219" s="53">
        <v>221689</v>
      </c>
      <c r="AI219" s="53"/>
      <c r="AJ219" s="45">
        <f t="shared" si="47"/>
        <v>146703</v>
      </c>
      <c r="AK219" s="45"/>
      <c r="AL219" s="53">
        <v>-431962</v>
      </c>
      <c r="AM219" s="45"/>
      <c r="AN219" s="53">
        <v>0</v>
      </c>
      <c r="AO219" s="53"/>
      <c r="AP219" s="53">
        <v>10000</v>
      </c>
      <c r="AQ219" s="53"/>
      <c r="AR219" s="53">
        <v>0</v>
      </c>
      <c r="AS219" s="53"/>
      <c r="AT219" s="45">
        <f t="shared" si="48"/>
        <v>-295259</v>
      </c>
      <c r="AU219" s="45"/>
      <c r="AV219" s="53">
        <v>0</v>
      </c>
      <c r="AW219" s="53"/>
      <c r="AX219" s="53">
        <v>0</v>
      </c>
      <c r="AY219" s="53"/>
      <c r="AZ219" s="53">
        <f t="shared" si="49"/>
        <v>-589482</v>
      </c>
      <c r="BA219" s="51"/>
      <c r="BB219" s="35" t="s">
        <v>250</v>
      </c>
      <c r="BD219" s="35" t="s">
        <v>103</v>
      </c>
      <c r="BE219" s="53"/>
      <c r="BF219" s="53">
        <v>39507</v>
      </c>
      <c r="BG219" s="53"/>
      <c r="BH219" s="53">
        <v>7385000</v>
      </c>
      <c r="BI219" s="53"/>
      <c r="BJ219" s="53">
        <v>0</v>
      </c>
      <c r="BK219" s="53"/>
      <c r="BL219" s="53">
        <v>62019</v>
      </c>
      <c r="BM219" s="53"/>
      <c r="BN219" s="53">
        <f t="shared" si="50"/>
        <v>7486526</v>
      </c>
      <c r="BO219" s="54"/>
      <c r="BS219" s="55"/>
      <c r="BT219" s="55"/>
      <c r="BU219" s="84"/>
      <c r="BV219" s="55"/>
      <c r="BW219" s="55"/>
      <c r="BX219" s="55"/>
      <c r="BY219" s="55"/>
      <c r="BZ219" s="55"/>
      <c r="CA219" s="55"/>
      <c r="CB219" s="55"/>
      <c r="CC219" s="55"/>
      <c r="CD219" s="55"/>
      <c r="CE219" s="55"/>
      <c r="CF219" s="55"/>
      <c r="CG219" s="55"/>
      <c r="CH219" s="55"/>
      <c r="CI219" s="55"/>
      <c r="CJ219" s="55"/>
      <c r="CK219" s="55"/>
      <c r="CL219" s="55"/>
      <c r="CM219" s="55"/>
      <c r="CN219" s="55"/>
      <c r="CO219" s="55"/>
      <c r="CP219" s="55"/>
      <c r="CQ219" s="55"/>
    </row>
    <row r="220" spans="1:95" s="35" customFormat="1" ht="12.75" customHeight="1">
      <c r="A220" s="35" t="s">
        <v>251</v>
      </c>
      <c r="B220" s="51"/>
      <c r="C220" s="35" t="s">
        <v>66</v>
      </c>
      <c r="D220" s="44"/>
      <c r="E220" s="53">
        <f t="shared" si="51"/>
        <v>939086</v>
      </c>
      <c r="F220" s="53"/>
      <c r="G220" s="53">
        <v>445625</v>
      </c>
      <c r="H220" s="53"/>
      <c r="I220" s="53">
        <v>1384711</v>
      </c>
      <c r="J220" s="53"/>
      <c r="K220" s="53">
        <f t="shared" si="45"/>
        <v>624025</v>
      </c>
      <c r="L220" s="53"/>
      <c r="M220" s="53">
        <v>9684</v>
      </c>
      <c r="N220" s="53"/>
      <c r="O220" s="53">
        <v>633709</v>
      </c>
      <c r="P220" s="53"/>
      <c r="Q220" s="53">
        <v>320625</v>
      </c>
      <c r="R220" s="53"/>
      <c r="S220" s="53">
        <v>0</v>
      </c>
      <c r="T220" s="53"/>
      <c r="U220" s="53">
        <v>430377</v>
      </c>
      <c r="V220" s="53"/>
      <c r="W220" s="53">
        <f t="shared" si="46"/>
        <v>751002</v>
      </c>
      <c r="Z220" s="35" t="s">
        <v>251</v>
      </c>
      <c r="AA220" s="53"/>
      <c r="AB220" s="35" t="s">
        <v>66</v>
      </c>
      <c r="AC220" s="51"/>
      <c r="AD220" s="53">
        <v>1593358</v>
      </c>
      <c r="AE220" s="53"/>
      <c r="AF220" s="53">
        <f>1394159-120687</f>
        <v>1273472</v>
      </c>
      <c r="AG220" s="53"/>
      <c r="AH220" s="53">
        <v>120687</v>
      </c>
      <c r="AI220" s="53"/>
      <c r="AJ220" s="45">
        <f t="shared" si="47"/>
        <v>199199</v>
      </c>
      <c r="AK220" s="45"/>
      <c r="AL220" s="53">
        <v>-23386</v>
      </c>
      <c r="AM220" s="45"/>
      <c r="AN220" s="53">
        <v>0</v>
      </c>
      <c r="AO220" s="53"/>
      <c r="AP220" s="53">
        <v>10000</v>
      </c>
      <c r="AQ220" s="53"/>
      <c r="AR220" s="53">
        <v>0</v>
      </c>
      <c r="AS220" s="53"/>
      <c r="AT220" s="45">
        <f t="shared" si="48"/>
        <v>165813</v>
      </c>
      <c r="AU220" s="45"/>
      <c r="AV220" s="53">
        <v>0</v>
      </c>
      <c r="AW220" s="53"/>
      <c r="AX220" s="53">
        <v>0</v>
      </c>
      <c r="AY220" s="53"/>
      <c r="AZ220" s="53">
        <f t="shared" si="49"/>
        <v>315061</v>
      </c>
      <c r="BA220" s="51"/>
      <c r="BB220" s="35" t="s">
        <v>251</v>
      </c>
      <c r="BD220" s="35" t="s">
        <v>66</v>
      </c>
      <c r="BE220" s="53"/>
      <c r="BF220" s="53">
        <v>16748</v>
      </c>
      <c r="BG220" s="53"/>
      <c r="BH220" s="53">
        <v>0</v>
      </c>
      <c r="BI220" s="53"/>
      <c r="BJ220" s="53">
        <v>0</v>
      </c>
      <c r="BK220" s="53"/>
      <c r="BL220" s="53">
        <v>55159</v>
      </c>
      <c r="BM220" s="53"/>
      <c r="BN220" s="53">
        <f t="shared" si="50"/>
        <v>71907</v>
      </c>
      <c r="BO220" s="54"/>
      <c r="BP220" s="55"/>
      <c r="BS220" s="55"/>
      <c r="BT220" s="55"/>
      <c r="BU220" s="84"/>
      <c r="BV220" s="55"/>
      <c r="BW220" s="55"/>
      <c r="BX220" s="55"/>
      <c r="BY220" s="55"/>
      <c r="BZ220" s="55"/>
      <c r="CA220" s="55"/>
      <c r="CB220" s="55"/>
      <c r="CC220" s="55"/>
      <c r="CD220" s="55"/>
      <c r="CE220" s="55"/>
      <c r="CF220" s="55"/>
      <c r="CG220" s="55"/>
      <c r="CH220" s="55"/>
      <c r="CI220" s="55"/>
      <c r="CJ220" s="55"/>
      <c r="CK220" s="55"/>
      <c r="CL220" s="55"/>
      <c r="CM220" s="55"/>
      <c r="CN220" s="55"/>
      <c r="CO220" s="55"/>
      <c r="CP220" s="55"/>
      <c r="CQ220" s="55"/>
    </row>
    <row r="221" spans="1:95" s="35" customFormat="1" ht="12.75" customHeight="1">
      <c r="A221" s="35" t="s">
        <v>252</v>
      </c>
      <c r="B221" s="51"/>
      <c r="C221" s="35" t="s">
        <v>209</v>
      </c>
      <c r="D221" s="44"/>
      <c r="E221" s="53">
        <f t="shared" si="51"/>
        <v>7555915</v>
      </c>
      <c r="F221" s="53"/>
      <c r="G221" s="53">
        <f>431365+21149646</f>
        <v>21581011</v>
      </c>
      <c r="H221" s="53"/>
      <c r="I221" s="53">
        <v>29136926</v>
      </c>
      <c r="J221" s="53"/>
      <c r="K221" s="53">
        <f t="shared" si="45"/>
        <v>1971179</v>
      </c>
      <c r="L221" s="53"/>
      <c r="M221" s="53">
        <f>232455+6750000</f>
        <v>6982455</v>
      </c>
      <c r="N221" s="53"/>
      <c r="O221" s="53">
        <v>8953634</v>
      </c>
      <c r="P221" s="53"/>
      <c r="Q221" s="53">
        <v>13866011</v>
      </c>
      <c r="R221" s="53"/>
      <c r="S221" s="53">
        <v>0</v>
      </c>
      <c r="T221" s="53"/>
      <c r="U221" s="53">
        <v>6317281</v>
      </c>
      <c r="V221" s="53"/>
      <c r="W221" s="53">
        <f t="shared" si="46"/>
        <v>20183292</v>
      </c>
      <c r="X221" s="51"/>
      <c r="Y221" s="51"/>
      <c r="Z221" s="35" t="s">
        <v>252</v>
      </c>
      <c r="AA221" s="53"/>
      <c r="AB221" s="35" t="s">
        <v>209</v>
      </c>
      <c r="AC221" s="51"/>
      <c r="AD221" s="53">
        <v>4121530</v>
      </c>
      <c r="AE221" s="53"/>
      <c r="AF221" s="53">
        <f>4638141-955317</f>
        <v>3682824</v>
      </c>
      <c r="AG221" s="53"/>
      <c r="AH221" s="53">
        <v>955317</v>
      </c>
      <c r="AI221" s="53"/>
      <c r="AJ221" s="45">
        <f t="shared" si="47"/>
        <v>-516611</v>
      </c>
      <c r="AK221" s="45"/>
      <c r="AL221" s="53">
        <v>-177756</v>
      </c>
      <c r="AM221" s="45"/>
      <c r="AN221" s="53">
        <v>0</v>
      </c>
      <c r="AO221" s="53"/>
      <c r="AP221" s="53">
        <v>0</v>
      </c>
      <c r="AQ221" s="53"/>
      <c r="AR221" s="53">
        <v>243478</v>
      </c>
      <c r="AS221" s="53"/>
      <c r="AT221" s="45">
        <f t="shared" si="48"/>
        <v>-450889</v>
      </c>
      <c r="AU221" s="45"/>
      <c r="AV221" s="53">
        <v>0</v>
      </c>
      <c r="AW221" s="53"/>
      <c r="AX221" s="53">
        <v>0</v>
      </c>
      <c r="AY221" s="53"/>
      <c r="AZ221" s="53">
        <f t="shared" si="49"/>
        <v>5584736</v>
      </c>
      <c r="BA221" s="51"/>
      <c r="BB221" s="35" t="s">
        <v>252</v>
      </c>
      <c r="BD221" s="35" t="s">
        <v>209</v>
      </c>
      <c r="BE221" s="53"/>
      <c r="BF221" s="53">
        <f>735000+860000+460000+1040000+1705000+3955000</f>
        <v>8755000</v>
      </c>
      <c r="BG221" s="53"/>
      <c r="BH221" s="53">
        <v>0</v>
      </c>
      <c r="BI221" s="53"/>
      <c r="BJ221" s="53">
        <v>0</v>
      </c>
      <c r="BK221" s="53"/>
      <c r="BL221" s="53">
        <v>580352</v>
      </c>
      <c r="BM221" s="53"/>
      <c r="BN221" s="53">
        <f t="shared" si="50"/>
        <v>9335352</v>
      </c>
      <c r="BO221" s="54"/>
      <c r="BS221" s="55"/>
      <c r="BT221" s="55"/>
      <c r="BU221" s="84"/>
      <c r="BV221" s="55"/>
      <c r="BW221" s="55"/>
      <c r="BX221" s="55"/>
      <c r="BY221" s="55"/>
      <c r="BZ221" s="55"/>
      <c r="CA221" s="55"/>
      <c r="CB221" s="55"/>
      <c r="CC221" s="55"/>
      <c r="CD221" s="55"/>
      <c r="CE221" s="55"/>
      <c r="CF221" s="55"/>
      <c r="CG221" s="55"/>
      <c r="CH221" s="55"/>
      <c r="CI221" s="55"/>
      <c r="CJ221" s="55"/>
      <c r="CK221" s="55"/>
      <c r="CL221" s="55"/>
      <c r="CM221" s="55"/>
      <c r="CN221" s="55"/>
      <c r="CO221" s="55"/>
      <c r="CP221" s="55"/>
      <c r="CQ221" s="55"/>
    </row>
    <row r="222" spans="1:95" s="126" customFormat="1" ht="12.75" hidden="1" customHeight="1">
      <c r="A222" s="126" t="s">
        <v>253</v>
      </c>
      <c r="B222" s="124"/>
      <c r="C222" s="126" t="s">
        <v>13</v>
      </c>
      <c r="D222" s="121"/>
      <c r="E222" s="140">
        <f t="shared" si="51"/>
        <v>0</v>
      </c>
      <c r="F222" s="140"/>
      <c r="G222" s="140"/>
      <c r="H222" s="140"/>
      <c r="I222" s="140"/>
      <c r="J222" s="140"/>
      <c r="K222" s="140">
        <f t="shared" si="45"/>
        <v>0</v>
      </c>
      <c r="L222" s="140"/>
      <c r="M222" s="140"/>
      <c r="N222" s="140"/>
      <c r="O222" s="140"/>
      <c r="P222" s="140"/>
      <c r="Q222" s="140"/>
      <c r="R222" s="140"/>
      <c r="S222" s="140">
        <v>0</v>
      </c>
      <c r="T222" s="140"/>
      <c r="U222" s="140"/>
      <c r="V222" s="140"/>
      <c r="W222" s="140">
        <f t="shared" si="46"/>
        <v>0</v>
      </c>
      <c r="X222" s="124"/>
      <c r="Y222" s="124"/>
      <c r="Z222" s="126" t="s">
        <v>253</v>
      </c>
      <c r="AA222" s="140"/>
      <c r="AB222" s="126" t="s">
        <v>13</v>
      </c>
      <c r="AC222" s="124"/>
      <c r="AD222" s="140"/>
      <c r="AE222" s="140"/>
      <c r="AF222" s="140"/>
      <c r="AG222" s="140"/>
      <c r="AH222" s="140"/>
      <c r="AI222" s="140"/>
      <c r="AJ222" s="127">
        <f t="shared" si="47"/>
        <v>0</v>
      </c>
      <c r="AK222" s="127"/>
      <c r="AL222" s="140"/>
      <c r="AM222" s="127"/>
      <c r="AN222" s="140"/>
      <c r="AO222" s="140"/>
      <c r="AP222" s="140"/>
      <c r="AQ222" s="140"/>
      <c r="AR222" s="140"/>
      <c r="AS222" s="140"/>
      <c r="AT222" s="127">
        <f t="shared" si="48"/>
        <v>0</v>
      </c>
      <c r="AU222" s="127"/>
      <c r="AV222" s="140">
        <v>0</v>
      </c>
      <c r="AW222" s="140"/>
      <c r="AX222" s="140">
        <v>0</v>
      </c>
      <c r="AY222" s="140"/>
      <c r="AZ222" s="140">
        <f t="shared" si="49"/>
        <v>0</v>
      </c>
      <c r="BA222" s="124"/>
      <c r="BB222" s="126" t="s">
        <v>253</v>
      </c>
      <c r="BD222" s="126" t="s">
        <v>13</v>
      </c>
      <c r="BE222" s="140"/>
      <c r="BF222" s="140"/>
      <c r="BG222" s="140"/>
      <c r="BH222" s="140"/>
      <c r="BI222" s="140"/>
      <c r="BJ222" s="140"/>
      <c r="BK222" s="140"/>
      <c r="BL222" s="140"/>
      <c r="BM222" s="140"/>
      <c r="BN222" s="140">
        <f t="shared" si="50"/>
        <v>0</v>
      </c>
      <c r="BO222" s="142"/>
      <c r="BS222" s="143"/>
      <c r="BT222" s="143"/>
      <c r="BU222" s="144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</row>
    <row r="223" spans="1:95" s="35" customFormat="1" ht="12.75" customHeight="1">
      <c r="A223" s="35" t="s">
        <v>254</v>
      </c>
      <c r="B223" s="51"/>
      <c r="C223" s="35" t="s">
        <v>89</v>
      </c>
      <c r="D223" s="44"/>
      <c r="E223" s="53">
        <f t="shared" si="51"/>
        <v>350307</v>
      </c>
      <c r="F223" s="53"/>
      <c r="G223" s="53">
        <v>4317532</v>
      </c>
      <c r="H223" s="53"/>
      <c r="I223" s="53">
        <v>4667839</v>
      </c>
      <c r="J223" s="53"/>
      <c r="K223" s="53">
        <f t="shared" si="45"/>
        <v>121724</v>
      </c>
      <c r="L223" s="53"/>
      <c r="M223" s="53">
        <v>4395307</v>
      </c>
      <c r="N223" s="53"/>
      <c r="O223" s="53">
        <v>4517031</v>
      </c>
      <c r="P223" s="53"/>
      <c r="Q223" s="53">
        <v>524959</v>
      </c>
      <c r="R223" s="53"/>
      <c r="S223" s="53">
        <v>0</v>
      </c>
      <c r="T223" s="53"/>
      <c r="U223" s="53">
        <v>-374151</v>
      </c>
      <c r="V223" s="53"/>
      <c r="W223" s="53">
        <f t="shared" si="46"/>
        <v>150808</v>
      </c>
      <c r="X223" s="51"/>
      <c r="Y223" s="51"/>
      <c r="Z223" s="35" t="s">
        <v>254</v>
      </c>
      <c r="AA223" s="53"/>
      <c r="AB223" s="35" t="s">
        <v>89</v>
      </c>
      <c r="AC223" s="51"/>
      <c r="AD223" s="53">
        <v>390282</v>
      </c>
      <c r="AE223" s="53"/>
      <c r="AF223" s="53">
        <f>427446-50560</f>
        <v>376886</v>
      </c>
      <c r="AG223" s="53"/>
      <c r="AH223" s="53">
        <v>50560</v>
      </c>
      <c r="AI223" s="53"/>
      <c r="AJ223" s="45">
        <v>-37164</v>
      </c>
      <c r="AK223" s="45"/>
      <c r="AL223" s="53">
        <v>-134772</v>
      </c>
      <c r="AM223" s="45"/>
      <c r="AN223" s="53">
        <v>0</v>
      </c>
      <c r="AO223" s="53"/>
      <c r="AP223" s="53">
        <v>0</v>
      </c>
      <c r="AQ223" s="53"/>
      <c r="AR223" s="53">
        <v>38624</v>
      </c>
      <c r="AS223" s="53"/>
      <c r="AT223" s="45">
        <f t="shared" si="48"/>
        <v>-133312</v>
      </c>
      <c r="AU223" s="45"/>
      <c r="AV223" s="53">
        <v>0</v>
      </c>
      <c r="AW223" s="53"/>
      <c r="AX223" s="53">
        <v>0</v>
      </c>
      <c r="AY223" s="53"/>
      <c r="AZ223" s="53">
        <f t="shared" si="49"/>
        <v>228583</v>
      </c>
      <c r="BA223" s="51"/>
      <c r="BB223" s="35" t="s">
        <v>254</v>
      </c>
      <c r="BD223" s="35" t="s">
        <v>89</v>
      </c>
      <c r="BE223" s="53"/>
      <c r="BF223" s="53">
        <v>4500307</v>
      </c>
      <c r="BG223" s="53"/>
      <c r="BH223" s="53">
        <v>0</v>
      </c>
      <c r="BI223" s="53"/>
      <c r="BJ223" s="53">
        <v>0</v>
      </c>
      <c r="BK223" s="53"/>
      <c r="BL223" s="53">
        <v>0</v>
      </c>
      <c r="BM223" s="53"/>
      <c r="BN223" s="53">
        <f t="shared" si="50"/>
        <v>4500307</v>
      </c>
      <c r="BO223" s="54"/>
      <c r="BS223" s="55"/>
      <c r="BT223" s="55"/>
      <c r="BU223" s="84"/>
      <c r="BV223" s="55"/>
      <c r="BW223" s="55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55"/>
      <c r="CI223" s="55"/>
      <c r="CJ223" s="55"/>
      <c r="CK223" s="55"/>
      <c r="CL223" s="55"/>
      <c r="CM223" s="55"/>
      <c r="CN223" s="55"/>
      <c r="CO223" s="55"/>
      <c r="CP223" s="55"/>
      <c r="CQ223" s="55"/>
    </row>
    <row r="224" spans="1:95" s="35" customFormat="1" ht="12.75" customHeight="1">
      <c r="A224" s="35" t="s">
        <v>159</v>
      </c>
      <c r="C224" s="35" t="s">
        <v>66</v>
      </c>
      <c r="D224" s="44"/>
      <c r="E224" s="53">
        <f>I224-G224</f>
        <v>343242</v>
      </c>
      <c r="F224" s="53"/>
      <c r="G224" s="53">
        <v>3303786</v>
      </c>
      <c r="H224" s="53"/>
      <c r="I224" s="53">
        <v>3647028</v>
      </c>
      <c r="J224" s="53"/>
      <c r="K224" s="53">
        <f>O224-M224</f>
        <v>57090</v>
      </c>
      <c r="L224" s="53"/>
      <c r="M224" s="53">
        <v>142918</v>
      </c>
      <c r="N224" s="53"/>
      <c r="O224" s="53">
        <v>200008</v>
      </c>
      <c r="P224" s="53"/>
      <c r="Q224" s="53">
        <v>3148036</v>
      </c>
      <c r="R224" s="53"/>
      <c r="S224" s="53">
        <v>0</v>
      </c>
      <c r="T224" s="53"/>
      <c r="U224" s="53">
        <v>298984</v>
      </c>
      <c r="V224" s="53"/>
      <c r="W224" s="53">
        <f>SUM(Q224:U224)</f>
        <v>3447020</v>
      </c>
      <c r="X224" s="51"/>
      <c r="Y224" s="51"/>
      <c r="Z224" s="35" t="s">
        <v>159</v>
      </c>
      <c r="AA224" s="53"/>
      <c r="AB224" s="35" t="s">
        <v>66</v>
      </c>
      <c r="AD224" s="53">
        <v>484470</v>
      </c>
      <c r="AE224" s="53"/>
      <c r="AF224" s="53">
        <f>568806-137998</f>
        <v>430808</v>
      </c>
      <c r="AG224" s="53"/>
      <c r="AH224" s="53">
        <v>137998</v>
      </c>
      <c r="AI224" s="53"/>
      <c r="AJ224" s="45">
        <f>+AD224-AF224-AH224</f>
        <v>-84336</v>
      </c>
      <c r="AK224" s="45"/>
      <c r="AL224" s="53">
        <v>994</v>
      </c>
      <c r="AM224" s="45"/>
      <c r="AN224" s="53">
        <v>0</v>
      </c>
      <c r="AO224" s="53"/>
      <c r="AP224" s="53">
        <v>1347</v>
      </c>
      <c r="AQ224" s="53"/>
      <c r="AR224" s="53">
        <v>0</v>
      </c>
      <c r="AS224" s="53"/>
      <c r="AT224" s="45">
        <f>+AJ224+AL224+AN224-AP224+AR224</f>
        <v>-84689</v>
      </c>
      <c r="AU224" s="45"/>
      <c r="AV224" s="53">
        <v>0</v>
      </c>
      <c r="AW224" s="53"/>
      <c r="AX224" s="53">
        <v>0</v>
      </c>
      <c r="AY224" s="53"/>
      <c r="AZ224" s="53">
        <f>E224-K224</f>
        <v>286152</v>
      </c>
      <c r="BA224" s="51"/>
      <c r="BB224" s="35" t="s">
        <v>159</v>
      </c>
      <c r="BD224" s="35" t="s">
        <v>66</v>
      </c>
      <c r="BE224" s="53"/>
      <c r="BF224" s="53">
        <v>230750</v>
      </c>
      <c r="BG224" s="53"/>
      <c r="BH224" s="53">
        <v>0</v>
      </c>
      <c r="BI224" s="53"/>
      <c r="BJ224" s="53">
        <v>590471</v>
      </c>
      <c r="BK224" s="53"/>
      <c r="BL224" s="53">
        <f>6878+66138</f>
        <v>73016</v>
      </c>
      <c r="BM224" s="53"/>
      <c r="BN224" s="53">
        <f>SUM(BF224:BL224)</f>
        <v>894237</v>
      </c>
      <c r="BO224" s="54"/>
      <c r="BS224" s="55"/>
      <c r="BT224" s="55"/>
      <c r="BU224" s="84"/>
      <c r="BV224" s="55"/>
      <c r="BW224" s="55"/>
      <c r="BX224" s="55"/>
      <c r="BY224" s="55"/>
      <c r="BZ224" s="55"/>
      <c r="CA224" s="55"/>
      <c r="CB224" s="55"/>
      <c r="CC224" s="55"/>
      <c r="CD224" s="55"/>
      <c r="CE224" s="55"/>
      <c r="CF224" s="55"/>
      <c r="CG224" s="55"/>
      <c r="CH224" s="55"/>
      <c r="CI224" s="55"/>
      <c r="CJ224" s="55"/>
      <c r="CK224" s="55"/>
      <c r="CL224" s="55"/>
      <c r="CM224" s="55"/>
      <c r="CN224" s="55"/>
      <c r="CO224" s="55"/>
      <c r="CP224" s="55"/>
      <c r="CQ224" s="55"/>
    </row>
    <row r="225" spans="1:95" s="126" customFormat="1" ht="12.75" hidden="1" customHeight="1">
      <c r="A225" s="126" t="s">
        <v>255</v>
      </c>
      <c r="B225" s="124"/>
      <c r="C225" s="126" t="s">
        <v>27</v>
      </c>
      <c r="D225" s="121"/>
      <c r="E225" s="140">
        <f t="shared" si="51"/>
        <v>0</v>
      </c>
      <c r="F225" s="140"/>
      <c r="G225" s="140"/>
      <c r="H225" s="140"/>
      <c r="I225" s="140"/>
      <c r="J225" s="140"/>
      <c r="K225" s="140">
        <f t="shared" si="45"/>
        <v>0</v>
      </c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  <c r="W225" s="140">
        <f t="shared" si="46"/>
        <v>0</v>
      </c>
      <c r="X225" s="124"/>
      <c r="Y225" s="124"/>
      <c r="Z225" s="126" t="s">
        <v>255</v>
      </c>
      <c r="AA225" s="140"/>
      <c r="AB225" s="126" t="s">
        <v>27</v>
      </c>
      <c r="AC225" s="124"/>
      <c r="AD225" s="140"/>
      <c r="AE225" s="140"/>
      <c r="AF225" s="140"/>
      <c r="AG225" s="140"/>
      <c r="AH225" s="140"/>
      <c r="AI225" s="140"/>
      <c r="AJ225" s="127">
        <f t="shared" si="47"/>
        <v>0</v>
      </c>
      <c r="AK225" s="127"/>
      <c r="AL225" s="140"/>
      <c r="AM225" s="127"/>
      <c r="AN225" s="140"/>
      <c r="AO225" s="140"/>
      <c r="AP225" s="140"/>
      <c r="AQ225" s="140"/>
      <c r="AR225" s="140"/>
      <c r="AS225" s="140"/>
      <c r="AT225" s="127">
        <f t="shared" si="48"/>
        <v>0</v>
      </c>
      <c r="AU225" s="127"/>
      <c r="AV225" s="140">
        <v>0</v>
      </c>
      <c r="AW225" s="140"/>
      <c r="AX225" s="140">
        <v>0</v>
      </c>
      <c r="AY225" s="140"/>
      <c r="AZ225" s="140">
        <f t="shared" si="49"/>
        <v>0</v>
      </c>
      <c r="BA225" s="124"/>
      <c r="BB225" s="126" t="s">
        <v>255</v>
      </c>
      <c r="BD225" s="126" t="s">
        <v>27</v>
      </c>
      <c r="BE225" s="140"/>
      <c r="BF225" s="140"/>
      <c r="BG225" s="140"/>
      <c r="BH225" s="140"/>
      <c r="BI225" s="140"/>
      <c r="BJ225" s="140"/>
      <c r="BK225" s="140"/>
      <c r="BL225" s="140"/>
      <c r="BM225" s="140"/>
      <c r="BN225" s="140">
        <f t="shared" si="50"/>
        <v>0</v>
      </c>
      <c r="BO225" s="142"/>
      <c r="BS225" s="143"/>
      <c r="BT225" s="143"/>
      <c r="BU225" s="144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</row>
    <row r="226" spans="1:95" s="35" customFormat="1" ht="12.75" customHeight="1">
      <c r="A226" s="35" t="s">
        <v>256</v>
      </c>
      <c r="C226" s="35" t="s">
        <v>43</v>
      </c>
      <c r="D226" s="44"/>
      <c r="E226" s="53">
        <f>I226-G226</f>
        <v>133367</v>
      </c>
      <c r="F226" s="53"/>
      <c r="G226" s="53">
        <v>6368914</v>
      </c>
      <c r="H226" s="53"/>
      <c r="I226" s="53">
        <v>6502281</v>
      </c>
      <c r="J226" s="53"/>
      <c r="K226" s="53">
        <f>O226-M226</f>
        <v>106882</v>
      </c>
      <c r="L226" s="53"/>
      <c r="M226" s="53">
        <v>619874</v>
      </c>
      <c r="N226" s="53"/>
      <c r="O226" s="53">
        <v>726756</v>
      </c>
      <c r="P226" s="53"/>
      <c r="Q226" s="53">
        <v>5653159</v>
      </c>
      <c r="R226" s="53"/>
      <c r="S226" s="53">
        <v>0</v>
      </c>
      <c r="T226" s="53"/>
      <c r="U226" s="53">
        <v>122366</v>
      </c>
      <c r="V226" s="53"/>
      <c r="W226" s="53">
        <f>SUM(Q226:U226)</f>
        <v>5775525</v>
      </c>
      <c r="X226" s="51"/>
      <c r="Y226" s="51"/>
      <c r="Z226" s="35" t="s">
        <v>256</v>
      </c>
      <c r="AA226" s="53"/>
      <c r="AB226" s="35" t="s">
        <v>43</v>
      </c>
      <c r="AD226" s="53">
        <v>338368</v>
      </c>
      <c r="AE226" s="53"/>
      <c r="AF226" s="53">
        <f>538746-226620</f>
        <v>312126</v>
      </c>
      <c r="AG226" s="53"/>
      <c r="AH226" s="53">
        <v>226620</v>
      </c>
      <c r="AI226" s="53"/>
      <c r="AJ226" s="45">
        <f>+AD226-AF226-AH226</f>
        <v>-200378</v>
      </c>
      <c r="AK226" s="45"/>
      <c r="AL226" s="53">
        <v>-24936</v>
      </c>
      <c r="AM226" s="45"/>
      <c r="AN226" s="53">
        <v>0</v>
      </c>
      <c r="AO226" s="53"/>
      <c r="AP226" s="53">
        <v>0</v>
      </c>
      <c r="AQ226" s="53"/>
      <c r="AR226" s="53">
        <v>458465</v>
      </c>
      <c r="AS226" s="53"/>
      <c r="AT226" s="45">
        <f>+AJ226+AL226+AN226-AP226+AR226</f>
        <v>233151</v>
      </c>
      <c r="AU226" s="45"/>
      <c r="AV226" s="53">
        <v>0</v>
      </c>
      <c r="AW226" s="53"/>
      <c r="AX226" s="53">
        <v>0</v>
      </c>
      <c r="AY226" s="53"/>
      <c r="AZ226" s="53">
        <f>E226-K226</f>
        <v>26485</v>
      </c>
      <c r="BA226" s="51"/>
      <c r="BB226" s="35" t="s">
        <v>256</v>
      </c>
      <c r="BD226" s="35" t="s">
        <v>43</v>
      </c>
      <c r="BE226" s="53"/>
      <c r="BF226" s="53">
        <v>1405000</v>
      </c>
      <c r="BG226" s="53"/>
      <c r="BH226" s="53">
        <v>0</v>
      </c>
      <c r="BI226" s="53"/>
      <c r="BJ226" s="53">
        <v>0</v>
      </c>
      <c r="BK226" s="53"/>
      <c r="BL226" s="53">
        <v>103326</v>
      </c>
      <c r="BM226" s="53"/>
      <c r="BN226" s="53">
        <f>SUM(BF226:BL226)</f>
        <v>1508326</v>
      </c>
      <c r="BO226" s="54"/>
      <c r="BS226" s="55"/>
      <c r="BT226" s="55"/>
      <c r="BU226" s="84"/>
      <c r="BV226" s="55"/>
      <c r="BW226" s="55"/>
      <c r="BX226" s="55"/>
      <c r="BY226" s="55"/>
      <c r="BZ226" s="55"/>
      <c r="CA226" s="55"/>
      <c r="CB226" s="55"/>
      <c r="CC226" s="55"/>
      <c r="CD226" s="55"/>
      <c r="CE226" s="55"/>
      <c r="CF226" s="55"/>
      <c r="CG226" s="55"/>
      <c r="CH226" s="55"/>
      <c r="CI226" s="55"/>
      <c r="CJ226" s="55"/>
      <c r="CK226" s="55"/>
      <c r="CL226" s="55"/>
      <c r="CM226" s="55"/>
      <c r="CN226" s="55"/>
      <c r="CO226" s="55"/>
      <c r="CP226" s="55"/>
      <c r="CQ226" s="55"/>
    </row>
    <row r="227" spans="1:95" s="35" customFormat="1" ht="13.2">
      <c r="A227" s="35" t="s">
        <v>257</v>
      </c>
      <c r="B227" s="51"/>
      <c r="C227" s="35" t="s">
        <v>258</v>
      </c>
      <c r="D227" s="44"/>
      <c r="E227" s="53">
        <f>I227-G227</f>
        <v>265016</v>
      </c>
      <c r="F227" s="53"/>
      <c r="G227" s="53">
        <f>8694881+612422</f>
        <v>9307303</v>
      </c>
      <c r="H227" s="53"/>
      <c r="I227" s="53">
        <v>9572319</v>
      </c>
      <c r="J227" s="53"/>
      <c r="K227" s="53">
        <f>O227-M227</f>
        <v>255660</v>
      </c>
      <c r="L227" s="53"/>
      <c r="M227" s="53">
        <v>11404</v>
      </c>
      <c r="N227" s="53"/>
      <c r="O227" s="53">
        <v>267064</v>
      </c>
      <c r="P227" s="53"/>
      <c r="Q227" s="53">
        <v>9149047</v>
      </c>
      <c r="R227" s="53"/>
      <c r="S227" s="53">
        <v>0</v>
      </c>
      <c r="T227" s="53"/>
      <c r="U227" s="53">
        <v>156208</v>
      </c>
      <c r="V227" s="53"/>
      <c r="W227" s="53">
        <f>SUM(Q227:U227)</f>
        <v>9305255</v>
      </c>
      <c r="Z227" s="35" t="s">
        <v>257</v>
      </c>
      <c r="AA227" s="53"/>
      <c r="AB227" s="35" t="s">
        <v>258</v>
      </c>
      <c r="AC227" s="51"/>
      <c r="AD227" s="53">
        <v>1458322</v>
      </c>
      <c r="AE227" s="53"/>
      <c r="AF227" s="53">
        <f>1296406-147167</f>
        <v>1149239</v>
      </c>
      <c r="AG227" s="53"/>
      <c r="AH227" s="53">
        <v>147167</v>
      </c>
      <c r="AI227" s="53"/>
      <c r="AJ227" s="45">
        <f>+AD227-AF227-AH227</f>
        <v>161916</v>
      </c>
      <c r="AK227" s="45"/>
      <c r="AL227" s="53">
        <v>423</v>
      </c>
      <c r="AM227" s="45"/>
      <c r="AN227" s="53">
        <v>0</v>
      </c>
      <c r="AO227" s="53"/>
      <c r="AP227" s="53">
        <v>241080</v>
      </c>
      <c r="AQ227" s="53"/>
      <c r="AR227" s="53">
        <v>0</v>
      </c>
      <c r="AS227" s="53"/>
      <c r="AT227" s="45">
        <f>+AJ227+AL227+AN227-AP227+AR227</f>
        <v>-78741</v>
      </c>
      <c r="AU227" s="45"/>
      <c r="AV227" s="53">
        <v>0</v>
      </c>
      <c r="AW227" s="53"/>
      <c r="AX227" s="53">
        <v>0</v>
      </c>
      <c r="AY227" s="53"/>
      <c r="AZ227" s="53">
        <f>E227-K227</f>
        <v>9356</v>
      </c>
      <c r="BA227" s="51"/>
      <c r="BB227" s="35" t="s">
        <v>257</v>
      </c>
      <c r="BD227" s="35" t="s">
        <v>258</v>
      </c>
      <c r="BE227" s="53"/>
      <c r="BF227" s="53">
        <v>158256</v>
      </c>
      <c r="BG227" s="53"/>
      <c r="BH227" s="53">
        <v>0</v>
      </c>
      <c r="BI227" s="53"/>
      <c r="BJ227" s="53">
        <v>0</v>
      </c>
      <c r="BK227" s="53"/>
      <c r="BL227" s="53">
        <v>56837</v>
      </c>
      <c r="BM227" s="53"/>
      <c r="BN227" s="53">
        <f>SUM(BF227:BL227)</f>
        <v>215093</v>
      </c>
      <c r="BO227" s="54"/>
      <c r="BS227" s="55"/>
      <c r="BT227" s="55"/>
      <c r="BU227" s="84"/>
      <c r="BV227" s="55"/>
      <c r="BW227" s="55"/>
      <c r="BX227" s="55"/>
      <c r="BY227" s="55"/>
      <c r="BZ227" s="55"/>
      <c r="CA227" s="55"/>
      <c r="CB227" s="55"/>
      <c r="CC227" s="55"/>
      <c r="CD227" s="55"/>
      <c r="CE227" s="55"/>
      <c r="CF227" s="55"/>
      <c r="CG227" s="55"/>
      <c r="CH227" s="55"/>
      <c r="CI227" s="55"/>
      <c r="CJ227" s="55"/>
      <c r="CK227" s="55"/>
      <c r="CL227" s="55"/>
      <c r="CM227" s="55"/>
      <c r="CN227" s="55"/>
      <c r="CO227" s="55"/>
      <c r="CP227" s="55"/>
      <c r="CQ227" s="55"/>
    </row>
    <row r="228" spans="1:95" s="35" customFormat="1" ht="13.2">
      <c r="A228" s="35" t="s">
        <v>259</v>
      </c>
      <c r="C228" s="35" t="s">
        <v>260</v>
      </c>
      <c r="D228" s="44"/>
      <c r="E228" s="53">
        <f t="shared" si="51"/>
        <v>1003033</v>
      </c>
      <c r="F228" s="53"/>
      <c r="G228" s="53">
        <f>1497122+8322642+210</f>
        <v>9819974</v>
      </c>
      <c r="H228" s="53"/>
      <c r="I228" s="53">
        <v>10823007</v>
      </c>
      <c r="J228" s="53"/>
      <c r="K228" s="53">
        <f t="shared" si="45"/>
        <v>1272191</v>
      </c>
      <c r="L228" s="53"/>
      <c r="M228" s="53">
        <f>23996+654000+6218668</f>
        <v>6896664</v>
      </c>
      <c r="N228" s="53"/>
      <c r="O228" s="53">
        <v>8168855</v>
      </c>
      <c r="P228" s="53"/>
      <c r="Q228" s="53">
        <v>2220721</v>
      </c>
      <c r="R228" s="53"/>
      <c r="S228" s="53">
        <v>0</v>
      </c>
      <c r="T228" s="53"/>
      <c r="U228" s="53">
        <v>433431</v>
      </c>
      <c r="V228" s="53"/>
      <c r="W228" s="53">
        <f t="shared" si="46"/>
        <v>2654152</v>
      </c>
      <c r="X228" s="51"/>
      <c r="Y228" s="51"/>
      <c r="Z228" s="35" t="s">
        <v>259</v>
      </c>
      <c r="AA228" s="53"/>
      <c r="AB228" s="35" t="s">
        <v>260</v>
      </c>
      <c r="AD228" s="53">
        <v>1468794</v>
      </c>
      <c r="AE228" s="53"/>
      <c r="AF228" s="53">
        <f>1186204-160089</f>
        <v>1026115</v>
      </c>
      <c r="AG228" s="53"/>
      <c r="AH228" s="53">
        <v>160089</v>
      </c>
      <c r="AI228" s="53"/>
      <c r="AJ228" s="45">
        <f t="shared" si="47"/>
        <v>282590</v>
      </c>
      <c r="AK228" s="45"/>
      <c r="AL228" s="53">
        <v>17505</v>
      </c>
      <c r="AM228" s="45"/>
      <c r="AN228" s="53">
        <v>0</v>
      </c>
      <c r="AO228" s="53"/>
      <c r="AP228" s="53">
        <v>0</v>
      </c>
      <c r="AQ228" s="53"/>
      <c r="AR228" s="53">
        <v>0</v>
      </c>
      <c r="AS228" s="53"/>
      <c r="AT228" s="45">
        <f t="shared" si="48"/>
        <v>300095</v>
      </c>
      <c r="AU228" s="45"/>
      <c r="AV228" s="53">
        <v>0</v>
      </c>
      <c r="AW228" s="53"/>
      <c r="AX228" s="53">
        <v>0</v>
      </c>
      <c r="AY228" s="53"/>
      <c r="AZ228" s="53">
        <f t="shared" si="49"/>
        <v>-269158</v>
      </c>
      <c r="BA228" s="51"/>
      <c r="BB228" s="35" t="s">
        <v>259</v>
      </c>
      <c r="BD228" s="35" t="s">
        <v>260</v>
      </c>
      <c r="BE228" s="53"/>
      <c r="BF228" s="53">
        <f>710000+68000+125000</f>
        <v>903000</v>
      </c>
      <c r="BG228" s="53"/>
      <c r="BH228" s="53">
        <v>0</v>
      </c>
      <c r="BI228" s="53"/>
      <c r="BJ228" s="53">
        <f>290082+87575+5019493+1000000</f>
        <v>6397150</v>
      </c>
      <c r="BK228" s="53"/>
      <c r="BL228" s="53">
        <f>-897+36442</f>
        <v>35545</v>
      </c>
      <c r="BM228" s="53"/>
      <c r="BN228" s="53">
        <f t="shared" si="50"/>
        <v>7335695</v>
      </c>
      <c r="BO228" s="54"/>
      <c r="BS228" s="55"/>
      <c r="BT228" s="55"/>
      <c r="BU228" s="84"/>
      <c r="BV228" s="55"/>
      <c r="BW228" s="55"/>
      <c r="BX228" s="55"/>
      <c r="BY228" s="55"/>
      <c r="BZ228" s="55"/>
      <c r="CA228" s="55"/>
      <c r="CB228" s="55"/>
      <c r="CC228" s="55"/>
      <c r="CD228" s="55"/>
      <c r="CE228" s="55"/>
      <c r="CF228" s="55"/>
      <c r="CG228" s="55"/>
      <c r="CH228" s="55"/>
      <c r="CI228" s="55"/>
      <c r="CJ228" s="55"/>
      <c r="CK228" s="55"/>
      <c r="CL228" s="55"/>
      <c r="CM228" s="55"/>
      <c r="CN228" s="55"/>
      <c r="CO228" s="55"/>
      <c r="CP228" s="55"/>
      <c r="CQ228" s="55"/>
    </row>
    <row r="229" spans="1:95" s="35" customFormat="1" ht="13.2">
      <c r="A229" s="35" t="s">
        <v>261</v>
      </c>
      <c r="B229" s="51"/>
      <c r="C229" s="35" t="s">
        <v>66</v>
      </c>
      <c r="D229" s="44"/>
      <c r="E229" s="53">
        <f t="shared" si="51"/>
        <v>1504338</v>
      </c>
      <c r="F229" s="53"/>
      <c r="G229" s="53">
        <v>8231210</v>
      </c>
      <c r="H229" s="53"/>
      <c r="I229" s="53">
        <v>9735548</v>
      </c>
      <c r="J229" s="53"/>
      <c r="K229" s="53">
        <f t="shared" si="45"/>
        <v>196303</v>
      </c>
      <c r="L229" s="53"/>
      <c r="M229" s="53">
        <v>27094</v>
      </c>
      <c r="N229" s="53"/>
      <c r="O229" s="53">
        <v>223397</v>
      </c>
      <c r="P229" s="53"/>
      <c r="Q229" s="53">
        <v>7524170</v>
      </c>
      <c r="R229" s="53"/>
      <c r="S229" s="53">
        <v>0</v>
      </c>
      <c r="T229" s="53"/>
      <c r="U229" s="53">
        <v>1987981</v>
      </c>
      <c r="V229" s="53"/>
      <c r="W229" s="53">
        <f t="shared" si="46"/>
        <v>9512151</v>
      </c>
      <c r="X229" s="51"/>
      <c r="Y229" s="51"/>
      <c r="Z229" s="35" t="s">
        <v>261</v>
      </c>
      <c r="AA229" s="53"/>
      <c r="AB229" s="35" t="s">
        <v>66</v>
      </c>
      <c r="AC229" s="51"/>
      <c r="AD229" s="53">
        <v>2005144</v>
      </c>
      <c r="AE229" s="53"/>
      <c r="AF229" s="53">
        <f>2479304-216474</f>
        <v>2262830</v>
      </c>
      <c r="AG229" s="53"/>
      <c r="AH229" s="53">
        <v>216474</v>
      </c>
      <c r="AI229" s="53"/>
      <c r="AJ229" s="45">
        <f t="shared" si="47"/>
        <v>-474160</v>
      </c>
      <c r="AK229" s="45"/>
      <c r="AL229" s="53">
        <v>606372</v>
      </c>
      <c r="AM229" s="45"/>
      <c r="AN229" s="53">
        <v>0</v>
      </c>
      <c r="AO229" s="53"/>
      <c r="AP229" s="53">
        <v>0</v>
      </c>
      <c r="AQ229" s="53"/>
      <c r="AR229" s="53">
        <v>245021</v>
      </c>
      <c r="AS229" s="53"/>
      <c r="AT229" s="45">
        <f t="shared" si="48"/>
        <v>377233</v>
      </c>
      <c r="AU229" s="45"/>
      <c r="AV229" s="53">
        <v>0</v>
      </c>
      <c r="AW229" s="53"/>
      <c r="AX229" s="53">
        <v>0</v>
      </c>
      <c r="AY229" s="53"/>
      <c r="AZ229" s="53">
        <f t="shared" si="49"/>
        <v>1308035</v>
      </c>
      <c r="BA229" s="51"/>
      <c r="BB229" s="35" t="s">
        <v>261</v>
      </c>
      <c r="BD229" s="35" t="s">
        <v>66</v>
      </c>
      <c r="BE229" s="53"/>
      <c r="BF229" s="53">
        <v>0</v>
      </c>
      <c r="BG229" s="53"/>
      <c r="BH229" s="53">
        <v>0</v>
      </c>
      <c r="BI229" s="53"/>
      <c r="BJ229" s="53">
        <v>0</v>
      </c>
      <c r="BK229" s="53"/>
      <c r="BL229" s="53">
        <v>149906</v>
      </c>
      <c r="BM229" s="53"/>
      <c r="BN229" s="53">
        <f t="shared" si="50"/>
        <v>149906</v>
      </c>
      <c r="BO229" s="54"/>
      <c r="BS229" s="55"/>
      <c r="BT229" s="55"/>
      <c r="BU229" s="84"/>
      <c r="BV229" s="55"/>
      <c r="BW229" s="55"/>
      <c r="BX229" s="55"/>
      <c r="BY229" s="55"/>
      <c r="BZ229" s="55"/>
      <c r="CA229" s="55"/>
      <c r="CB229" s="55"/>
      <c r="CC229" s="55"/>
      <c r="CD229" s="55"/>
      <c r="CE229" s="55"/>
      <c r="CF229" s="55"/>
      <c r="CG229" s="55"/>
      <c r="CH229" s="55"/>
      <c r="CI229" s="55"/>
      <c r="CJ229" s="55"/>
      <c r="CK229" s="55"/>
      <c r="CL229" s="55"/>
      <c r="CM229" s="55"/>
      <c r="CN229" s="55"/>
      <c r="CO229" s="55"/>
      <c r="CP229" s="55"/>
      <c r="CQ229" s="55"/>
    </row>
    <row r="230" spans="1:95" s="35" customFormat="1" ht="13.2" hidden="1">
      <c r="A230" s="35" t="s">
        <v>262</v>
      </c>
      <c r="C230" s="35" t="s">
        <v>132</v>
      </c>
      <c r="D230" s="44"/>
      <c r="E230" s="53">
        <f t="shared" si="51"/>
        <v>0</v>
      </c>
      <c r="F230" s="53"/>
      <c r="G230" s="53"/>
      <c r="H230" s="53"/>
      <c r="I230" s="53"/>
      <c r="J230" s="53"/>
      <c r="K230" s="53">
        <f t="shared" si="45"/>
        <v>0</v>
      </c>
      <c r="L230" s="53"/>
      <c r="M230" s="53"/>
      <c r="N230" s="53"/>
      <c r="O230" s="53"/>
      <c r="P230" s="53"/>
      <c r="Q230" s="53"/>
      <c r="R230" s="53"/>
      <c r="S230" s="53">
        <v>0</v>
      </c>
      <c r="T230" s="53"/>
      <c r="U230" s="53"/>
      <c r="V230" s="53"/>
      <c r="W230" s="53">
        <f t="shared" si="46"/>
        <v>0</v>
      </c>
      <c r="X230" s="65"/>
      <c r="Y230" s="65"/>
      <c r="Z230" s="35" t="s">
        <v>262</v>
      </c>
      <c r="AA230" s="53"/>
      <c r="AB230" s="35" t="s">
        <v>132</v>
      </c>
      <c r="AD230" s="53"/>
      <c r="AE230" s="53"/>
      <c r="AF230" s="53"/>
      <c r="AG230" s="53"/>
      <c r="AH230" s="53"/>
      <c r="AI230" s="53"/>
      <c r="AJ230" s="45">
        <f t="shared" si="47"/>
        <v>0</v>
      </c>
      <c r="AK230" s="45"/>
      <c r="AL230" s="53"/>
      <c r="AM230" s="45"/>
      <c r="AN230" s="53"/>
      <c r="AO230" s="53"/>
      <c r="AP230" s="53"/>
      <c r="AQ230" s="53"/>
      <c r="AR230" s="53"/>
      <c r="AS230" s="53"/>
      <c r="AT230" s="45">
        <f t="shared" si="48"/>
        <v>0</v>
      </c>
      <c r="AU230" s="45"/>
      <c r="AV230" s="53">
        <v>0</v>
      </c>
      <c r="AW230" s="53"/>
      <c r="AX230" s="53">
        <v>0</v>
      </c>
      <c r="AY230" s="53"/>
      <c r="AZ230" s="53">
        <f t="shared" si="49"/>
        <v>0</v>
      </c>
      <c r="BA230" s="65"/>
      <c r="BB230" s="35" t="s">
        <v>262</v>
      </c>
      <c r="BD230" s="35" t="s">
        <v>132</v>
      </c>
      <c r="BE230" s="53"/>
      <c r="BF230" s="53"/>
      <c r="BG230" s="53"/>
      <c r="BH230" s="53"/>
      <c r="BI230" s="53"/>
      <c r="BJ230" s="53"/>
      <c r="BK230" s="53"/>
      <c r="BL230" s="53"/>
      <c r="BM230" s="53"/>
      <c r="BN230" s="53">
        <f t="shared" si="50"/>
        <v>0</v>
      </c>
      <c r="BO230" s="54"/>
      <c r="BS230" s="55"/>
      <c r="BT230" s="55"/>
      <c r="BU230" s="84"/>
      <c r="BV230" s="55"/>
      <c r="BW230" s="55"/>
      <c r="BX230" s="55"/>
      <c r="BY230" s="55"/>
      <c r="BZ230" s="55"/>
      <c r="CA230" s="55"/>
      <c r="CB230" s="55"/>
      <c r="CC230" s="55"/>
      <c r="CD230" s="55"/>
      <c r="CE230" s="55"/>
      <c r="CF230" s="55"/>
      <c r="CG230" s="55"/>
      <c r="CH230" s="55"/>
      <c r="CI230" s="55"/>
      <c r="CJ230" s="55"/>
      <c r="CK230" s="55"/>
      <c r="CL230" s="55"/>
      <c r="CM230" s="55"/>
      <c r="CN230" s="55"/>
      <c r="CO230" s="55"/>
      <c r="CP230" s="55"/>
      <c r="CQ230" s="55"/>
    </row>
    <row r="231" spans="1:95" s="35" customFormat="1" ht="13.2">
      <c r="A231" s="35" t="s">
        <v>263</v>
      </c>
      <c r="B231" s="51"/>
      <c r="C231" s="35" t="s">
        <v>53</v>
      </c>
      <c r="D231" s="44"/>
      <c r="E231" s="53">
        <f t="shared" si="51"/>
        <v>2007892</v>
      </c>
      <c r="F231" s="53"/>
      <c r="G231" s="53">
        <v>14980430</v>
      </c>
      <c r="H231" s="53"/>
      <c r="I231" s="53">
        <v>16988322</v>
      </c>
      <c r="J231" s="53"/>
      <c r="K231" s="53">
        <f t="shared" si="45"/>
        <v>2675477</v>
      </c>
      <c r="L231" s="53"/>
      <c r="M231" s="53">
        <v>343574</v>
      </c>
      <c r="N231" s="53"/>
      <c r="O231" s="53">
        <v>3019051</v>
      </c>
      <c r="P231" s="53"/>
      <c r="Q231" s="53">
        <v>14980430</v>
      </c>
      <c r="R231" s="53"/>
      <c r="S231" s="53">
        <v>0</v>
      </c>
      <c r="T231" s="53"/>
      <c r="U231" s="53">
        <v>-1011159</v>
      </c>
      <c r="V231" s="53"/>
      <c r="W231" s="53">
        <f t="shared" si="46"/>
        <v>13969271</v>
      </c>
      <c r="X231" s="51"/>
      <c r="Y231" s="51"/>
      <c r="Z231" s="35" t="s">
        <v>263</v>
      </c>
      <c r="AA231" s="53"/>
      <c r="AB231" s="35" t="s">
        <v>53</v>
      </c>
      <c r="AC231" s="51"/>
      <c r="AD231" s="53">
        <v>2944488</v>
      </c>
      <c r="AE231" s="53"/>
      <c r="AF231" s="53">
        <f>3059842-336239</f>
        <v>2723603</v>
      </c>
      <c r="AG231" s="53"/>
      <c r="AH231" s="53">
        <v>336239</v>
      </c>
      <c r="AI231" s="53"/>
      <c r="AJ231" s="45">
        <f t="shared" si="47"/>
        <v>-115354</v>
      </c>
      <c r="AK231" s="45"/>
      <c r="AL231" s="53">
        <v>1167714</v>
      </c>
      <c r="AM231" s="45"/>
      <c r="AN231" s="53">
        <v>0</v>
      </c>
      <c r="AO231" s="53"/>
      <c r="AP231" s="53">
        <v>0</v>
      </c>
      <c r="AQ231" s="53"/>
      <c r="AR231" s="53">
        <v>0</v>
      </c>
      <c r="AS231" s="53"/>
      <c r="AT231" s="45">
        <f t="shared" si="48"/>
        <v>1052360</v>
      </c>
      <c r="AU231" s="45"/>
      <c r="AV231" s="53">
        <v>0</v>
      </c>
      <c r="AW231" s="53"/>
      <c r="AX231" s="53">
        <v>0</v>
      </c>
      <c r="AY231" s="53"/>
      <c r="AZ231" s="53">
        <f t="shared" si="49"/>
        <v>-667585</v>
      </c>
      <c r="BA231" s="51"/>
      <c r="BB231" s="35" t="s">
        <v>263</v>
      </c>
      <c r="BD231" s="35" t="s">
        <v>53</v>
      </c>
      <c r="BE231" s="53"/>
      <c r="BF231" s="53">
        <v>50175</v>
      </c>
      <c r="BG231" s="53"/>
      <c r="BH231" s="53">
        <v>0</v>
      </c>
      <c r="BI231" s="53"/>
      <c r="BJ231" s="53">
        <v>0</v>
      </c>
      <c r="BK231" s="53"/>
      <c r="BL231" s="53">
        <v>1859363</v>
      </c>
      <c r="BM231" s="53"/>
      <c r="BN231" s="53">
        <f t="shared" si="50"/>
        <v>1909538</v>
      </c>
      <c r="BO231" s="54"/>
      <c r="BS231" s="55"/>
      <c r="BT231" s="55"/>
      <c r="BU231" s="84"/>
      <c r="BV231" s="55"/>
      <c r="BW231" s="55"/>
      <c r="BX231" s="55"/>
      <c r="BY231" s="55"/>
      <c r="BZ231" s="55"/>
      <c r="CA231" s="55"/>
      <c r="CB231" s="55"/>
      <c r="CC231" s="55"/>
      <c r="CD231" s="55"/>
      <c r="CE231" s="55"/>
      <c r="CF231" s="55"/>
      <c r="CG231" s="55"/>
      <c r="CH231" s="55"/>
      <c r="CI231" s="55"/>
      <c r="CJ231" s="55"/>
      <c r="CK231" s="55"/>
      <c r="CL231" s="55"/>
      <c r="CM231" s="55"/>
      <c r="CN231" s="55"/>
      <c r="CO231" s="55"/>
      <c r="CP231" s="55"/>
      <c r="CQ231" s="55"/>
    </row>
    <row r="232" spans="1:95" s="35" customFormat="1" ht="13.2">
      <c r="A232" s="35" t="s">
        <v>264</v>
      </c>
      <c r="C232" s="35" t="s">
        <v>239</v>
      </c>
      <c r="D232" s="44"/>
      <c r="E232" s="53">
        <f t="shared" si="51"/>
        <v>1859794</v>
      </c>
      <c r="F232" s="53"/>
      <c r="G232" s="53">
        <v>5867683</v>
      </c>
      <c r="H232" s="53"/>
      <c r="I232" s="53">
        <v>7727477</v>
      </c>
      <c r="J232" s="53"/>
      <c r="K232" s="53">
        <f t="shared" si="45"/>
        <v>678702</v>
      </c>
      <c r="L232" s="53"/>
      <c r="M232" s="53">
        <v>41789</v>
      </c>
      <c r="N232" s="53"/>
      <c r="O232" s="53">
        <v>720491</v>
      </c>
      <c r="P232" s="53"/>
      <c r="Q232" s="53">
        <v>5257715</v>
      </c>
      <c r="R232" s="53"/>
      <c r="S232" s="53">
        <v>0</v>
      </c>
      <c r="T232" s="53"/>
      <c r="U232" s="53">
        <v>1749271</v>
      </c>
      <c r="V232" s="53"/>
      <c r="W232" s="53">
        <f t="shared" si="46"/>
        <v>7006986</v>
      </c>
      <c r="X232" s="51"/>
      <c r="Y232" s="51"/>
      <c r="Z232" s="35" t="s">
        <v>264</v>
      </c>
      <c r="AA232" s="53"/>
      <c r="AB232" s="35" t="s">
        <v>239</v>
      </c>
      <c r="AD232" s="53">
        <v>1616759</v>
      </c>
      <c r="AE232" s="53"/>
      <c r="AF232" s="53">
        <f>1053971+184285</f>
        <v>1238256</v>
      </c>
      <c r="AG232" s="53"/>
      <c r="AH232" s="53">
        <v>184285</v>
      </c>
      <c r="AI232" s="53"/>
      <c r="AJ232" s="45">
        <f t="shared" si="47"/>
        <v>194218</v>
      </c>
      <c r="AK232" s="45"/>
      <c r="AL232" s="53">
        <v>-29627</v>
      </c>
      <c r="AM232" s="45"/>
      <c r="AN232" s="53">
        <v>0</v>
      </c>
      <c r="AO232" s="53"/>
      <c r="AP232" s="53">
        <v>36488</v>
      </c>
      <c r="AQ232" s="53"/>
      <c r="AR232" s="53">
        <v>0</v>
      </c>
      <c r="AS232" s="53"/>
      <c r="AT232" s="45">
        <f t="shared" si="48"/>
        <v>128103</v>
      </c>
      <c r="AU232" s="45"/>
      <c r="AV232" s="53">
        <v>0</v>
      </c>
      <c r="AW232" s="53"/>
      <c r="AX232" s="53">
        <v>0</v>
      </c>
      <c r="AY232" s="53"/>
      <c r="AZ232" s="53">
        <f t="shared" si="49"/>
        <v>1181092</v>
      </c>
      <c r="BA232" s="51"/>
      <c r="BB232" s="35" t="s">
        <v>264</v>
      </c>
      <c r="BD232" s="35" t="s">
        <v>239</v>
      </c>
      <c r="BE232" s="53"/>
      <c r="BF232" s="53">
        <v>67900</v>
      </c>
      <c r="BG232" s="53"/>
      <c r="BH232" s="53">
        <v>0</v>
      </c>
      <c r="BI232" s="53"/>
      <c r="BJ232" s="53">
        <v>0</v>
      </c>
      <c r="BK232" s="53"/>
      <c r="BL232" s="53">
        <v>284967</v>
      </c>
      <c r="BM232" s="53"/>
      <c r="BN232" s="53">
        <f t="shared" si="50"/>
        <v>352867</v>
      </c>
      <c r="BO232" s="54"/>
      <c r="BS232" s="55"/>
      <c r="BT232" s="55"/>
      <c r="BU232" s="84"/>
      <c r="BV232" s="55"/>
      <c r="BW232" s="55"/>
      <c r="BX232" s="55"/>
      <c r="BY232" s="55"/>
      <c r="BZ232" s="55"/>
      <c r="CA232" s="55"/>
      <c r="CB232" s="55"/>
      <c r="CC232" s="55"/>
      <c r="CD232" s="55"/>
      <c r="CE232" s="55"/>
      <c r="CF232" s="55"/>
      <c r="CG232" s="55"/>
      <c r="CH232" s="55"/>
      <c r="CI232" s="55"/>
      <c r="CJ232" s="55"/>
      <c r="CK232" s="55"/>
      <c r="CL232" s="55"/>
      <c r="CM232" s="55"/>
      <c r="CN232" s="55"/>
      <c r="CO232" s="55"/>
      <c r="CP232" s="55"/>
      <c r="CQ232" s="55"/>
    </row>
    <row r="233" spans="1:95" s="35" customFormat="1" ht="12.75" customHeight="1">
      <c r="A233" s="35" t="s">
        <v>111</v>
      </c>
      <c r="B233" s="51"/>
      <c r="C233" s="44" t="s">
        <v>80</v>
      </c>
      <c r="D233" s="44"/>
      <c r="E233" s="53">
        <f t="shared" si="51"/>
        <v>6884609</v>
      </c>
      <c r="F233" s="53"/>
      <c r="G233" s="53">
        <v>38605753</v>
      </c>
      <c r="H233" s="53"/>
      <c r="I233" s="53">
        <v>45490362</v>
      </c>
      <c r="J233" s="53"/>
      <c r="K233" s="53">
        <f t="shared" si="45"/>
        <v>2041610</v>
      </c>
      <c r="L233" s="53"/>
      <c r="M233" s="53">
        <v>21952944</v>
      </c>
      <c r="N233" s="53"/>
      <c r="O233" s="53">
        <v>23994554</v>
      </c>
      <c r="P233" s="53"/>
      <c r="Q233" s="53">
        <v>15199169</v>
      </c>
      <c r="R233" s="53"/>
      <c r="S233" s="53">
        <v>0</v>
      </c>
      <c r="T233" s="53"/>
      <c r="U233" s="53">
        <v>6296639</v>
      </c>
      <c r="V233" s="53"/>
      <c r="W233" s="53">
        <f t="shared" si="46"/>
        <v>21495808</v>
      </c>
      <c r="X233" s="51"/>
      <c r="Y233" s="51"/>
      <c r="Z233" s="35" t="s">
        <v>111</v>
      </c>
      <c r="AA233" s="53"/>
      <c r="AB233" s="44" t="s">
        <v>80</v>
      </c>
      <c r="AC233" s="51"/>
      <c r="AD233" s="53">
        <v>11586016</v>
      </c>
      <c r="AE233" s="53"/>
      <c r="AF233" s="53">
        <f>11029357-1984340</f>
        <v>9045017</v>
      </c>
      <c r="AG233" s="53"/>
      <c r="AH233" s="53">
        <v>1984340</v>
      </c>
      <c r="AI233" s="53"/>
      <c r="AJ233" s="45">
        <f t="shared" ref="AJ233:AJ254" si="52">+AD233-AF233-AH233</f>
        <v>556659</v>
      </c>
      <c r="AK233" s="45"/>
      <c r="AL233" s="53">
        <v>-931016</v>
      </c>
      <c r="AM233" s="45"/>
      <c r="AN233" s="53">
        <v>0</v>
      </c>
      <c r="AO233" s="53"/>
      <c r="AP233" s="53">
        <v>17859</v>
      </c>
      <c r="AQ233" s="53"/>
      <c r="AR233" s="53">
        <v>0</v>
      </c>
      <c r="AS233" s="53"/>
      <c r="AT233" s="45">
        <f t="shared" ref="AT233:AT254" si="53">+AJ233+AL233+AN233-AP233+AR233</f>
        <v>-392216</v>
      </c>
      <c r="AU233" s="45"/>
      <c r="AV233" s="53">
        <v>0</v>
      </c>
      <c r="AW233" s="53"/>
      <c r="AX233" s="53">
        <v>0</v>
      </c>
      <c r="AY233" s="53"/>
      <c r="AZ233" s="53">
        <f t="shared" ref="AZ233:AZ254" si="54">E233-K233</f>
        <v>4842999</v>
      </c>
      <c r="BA233" s="51"/>
      <c r="BB233" s="35" t="s">
        <v>111</v>
      </c>
      <c r="BD233" s="44" t="s">
        <v>80</v>
      </c>
      <c r="BE233" s="53"/>
      <c r="BF233" s="53">
        <v>0</v>
      </c>
      <c r="BG233" s="53"/>
      <c r="BH233" s="53">
        <v>8700000</v>
      </c>
      <c r="BI233" s="53"/>
      <c r="BJ233" s="53">
        <v>26390107</v>
      </c>
      <c r="BK233" s="53"/>
      <c r="BL233" s="53">
        <v>1604558</v>
      </c>
      <c r="BM233" s="53"/>
      <c r="BN233" s="53">
        <f t="shared" si="50"/>
        <v>36694665</v>
      </c>
      <c r="BO233" s="54"/>
      <c r="BS233" s="55"/>
      <c r="BT233" s="55"/>
      <c r="BU233" s="84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</row>
    <row r="234" spans="1:95" s="126" customFormat="1" ht="12.75" hidden="1" customHeight="1">
      <c r="A234" s="126" t="s">
        <v>265</v>
      </c>
      <c r="B234" s="124"/>
      <c r="C234" s="121" t="s">
        <v>27</v>
      </c>
      <c r="D234" s="121"/>
      <c r="E234" s="140">
        <f t="shared" si="51"/>
        <v>0</v>
      </c>
      <c r="F234" s="140"/>
      <c r="G234" s="140"/>
      <c r="H234" s="140"/>
      <c r="I234" s="140"/>
      <c r="J234" s="140"/>
      <c r="K234" s="140">
        <f t="shared" si="45"/>
        <v>0</v>
      </c>
      <c r="L234" s="140"/>
      <c r="M234" s="140"/>
      <c r="N234" s="140"/>
      <c r="O234" s="140"/>
      <c r="P234" s="140"/>
      <c r="Q234" s="140"/>
      <c r="R234" s="140"/>
      <c r="S234" s="140">
        <v>0</v>
      </c>
      <c r="T234" s="140"/>
      <c r="U234" s="140"/>
      <c r="V234" s="140"/>
      <c r="W234" s="140">
        <f t="shared" si="46"/>
        <v>0</v>
      </c>
      <c r="X234" s="124"/>
      <c r="Y234" s="124"/>
      <c r="Z234" s="126" t="s">
        <v>265</v>
      </c>
      <c r="AA234" s="140"/>
      <c r="AB234" s="121" t="s">
        <v>27</v>
      </c>
      <c r="AC234" s="124"/>
      <c r="AD234" s="140"/>
      <c r="AE234" s="140"/>
      <c r="AF234" s="140"/>
      <c r="AG234" s="140"/>
      <c r="AH234" s="140"/>
      <c r="AI234" s="140"/>
      <c r="AJ234" s="127">
        <f t="shared" si="52"/>
        <v>0</v>
      </c>
      <c r="AK234" s="127"/>
      <c r="AL234" s="140"/>
      <c r="AM234" s="127"/>
      <c r="AN234" s="140"/>
      <c r="AO234" s="140"/>
      <c r="AP234" s="140"/>
      <c r="AQ234" s="140"/>
      <c r="AR234" s="140"/>
      <c r="AS234" s="140"/>
      <c r="AT234" s="127">
        <f t="shared" si="53"/>
        <v>0</v>
      </c>
      <c r="AU234" s="127"/>
      <c r="AV234" s="140">
        <v>0</v>
      </c>
      <c r="AW234" s="140"/>
      <c r="AX234" s="140">
        <v>0</v>
      </c>
      <c r="AY234" s="140"/>
      <c r="AZ234" s="140">
        <f t="shared" si="54"/>
        <v>0</v>
      </c>
      <c r="BA234" s="124"/>
      <c r="BB234" s="126" t="s">
        <v>265</v>
      </c>
      <c r="BD234" s="121" t="s">
        <v>27</v>
      </c>
      <c r="BE234" s="140"/>
      <c r="BF234" s="140"/>
      <c r="BG234" s="140"/>
      <c r="BH234" s="140"/>
      <c r="BI234" s="140"/>
      <c r="BJ234" s="140"/>
      <c r="BK234" s="140"/>
      <c r="BL234" s="140"/>
      <c r="BM234" s="140"/>
      <c r="BN234" s="140">
        <f t="shared" si="50"/>
        <v>0</v>
      </c>
      <c r="BO234" s="142"/>
      <c r="BS234" s="143"/>
      <c r="BT234" s="143"/>
      <c r="BU234" s="144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</row>
    <row r="235" spans="1:95" s="35" customFormat="1" ht="12.75" customHeight="1">
      <c r="A235" s="35" t="s">
        <v>40</v>
      </c>
      <c r="B235" s="51"/>
      <c r="C235" s="47" t="s">
        <v>451</v>
      </c>
      <c r="D235" s="44"/>
      <c r="E235" s="53">
        <f t="shared" si="51"/>
        <v>960575</v>
      </c>
      <c r="F235" s="53"/>
      <c r="G235" s="53">
        <v>15940260</v>
      </c>
      <c r="H235" s="53"/>
      <c r="I235" s="53">
        <v>16900835</v>
      </c>
      <c r="J235" s="53"/>
      <c r="K235" s="53">
        <f t="shared" si="45"/>
        <v>643027</v>
      </c>
      <c r="L235" s="53"/>
      <c r="M235" s="53">
        <v>9249384</v>
      </c>
      <c r="N235" s="53"/>
      <c r="O235" s="53">
        <v>9892411</v>
      </c>
      <c r="P235" s="53"/>
      <c r="Q235" s="53">
        <v>6029932</v>
      </c>
      <c r="R235" s="53"/>
      <c r="S235" s="53">
        <v>0</v>
      </c>
      <c r="T235" s="53"/>
      <c r="U235" s="53">
        <v>978492</v>
      </c>
      <c r="V235" s="53"/>
      <c r="W235" s="53">
        <f t="shared" si="46"/>
        <v>7008424</v>
      </c>
      <c r="Z235" s="35" t="s">
        <v>40</v>
      </c>
      <c r="AA235" s="53"/>
      <c r="AB235" s="47" t="s">
        <v>451</v>
      </c>
      <c r="AC235" s="51"/>
      <c r="AD235" s="53">
        <v>3021040</v>
      </c>
      <c r="AE235" s="53"/>
      <c r="AF235" s="53">
        <f>2263156-320148</f>
        <v>1943008</v>
      </c>
      <c r="AG235" s="53"/>
      <c r="AH235" s="53">
        <v>320148</v>
      </c>
      <c r="AI235" s="53"/>
      <c r="AJ235" s="45">
        <f t="shared" si="52"/>
        <v>757884</v>
      </c>
      <c r="AK235" s="45"/>
      <c r="AL235" s="53">
        <v>-679802</v>
      </c>
      <c r="AM235" s="45"/>
      <c r="AN235" s="53">
        <v>0</v>
      </c>
      <c r="AO235" s="53"/>
      <c r="AP235" s="53">
        <v>0</v>
      </c>
      <c r="AQ235" s="53"/>
      <c r="AR235" s="53">
        <v>0</v>
      </c>
      <c r="AS235" s="53"/>
      <c r="AT235" s="45">
        <f t="shared" si="53"/>
        <v>78082</v>
      </c>
      <c r="AU235" s="45"/>
      <c r="AV235" s="53">
        <v>0</v>
      </c>
      <c r="AW235" s="53"/>
      <c r="AX235" s="53">
        <v>0</v>
      </c>
      <c r="AY235" s="53"/>
      <c r="AZ235" s="53">
        <f t="shared" si="54"/>
        <v>317548</v>
      </c>
      <c r="BA235" s="51"/>
      <c r="BB235" s="35" t="s">
        <v>40</v>
      </c>
      <c r="BD235" s="47" t="s">
        <v>451</v>
      </c>
      <c r="BE235" s="53"/>
      <c r="BF235" s="53">
        <f>246101+6655000</f>
        <v>6901101</v>
      </c>
      <c r="BG235" s="53"/>
      <c r="BH235" s="53">
        <v>0</v>
      </c>
      <c r="BI235" s="53"/>
      <c r="BJ235" s="53">
        <f>4932696+2663315</f>
        <v>7596011</v>
      </c>
      <c r="BK235" s="53"/>
      <c r="BL235" s="53">
        <v>197138</v>
      </c>
      <c r="BM235" s="53"/>
      <c r="BN235" s="53">
        <f t="shared" si="50"/>
        <v>14694250</v>
      </c>
      <c r="BO235" s="54"/>
      <c r="BS235" s="55"/>
      <c r="BT235" s="55"/>
      <c r="BU235" s="84"/>
      <c r="BV235" s="55"/>
      <c r="BW235" s="55"/>
      <c r="BX235" s="55"/>
      <c r="BY235" s="55"/>
      <c r="BZ235" s="55"/>
      <c r="CA235" s="55"/>
      <c r="CB235" s="55"/>
      <c r="CC235" s="55"/>
      <c r="CD235" s="55"/>
      <c r="CE235" s="55"/>
      <c r="CF235" s="55"/>
      <c r="CG235" s="55"/>
      <c r="CH235" s="55"/>
      <c r="CI235" s="55"/>
      <c r="CJ235" s="55"/>
      <c r="CK235" s="55"/>
      <c r="CL235" s="55"/>
      <c r="CM235" s="55"/>
      <c r="CN235" s="55"/>
      <c r="CO235" s="55"/>
      <c r="CP235" s="55"/>
      <c r="CQ235" s="55"/>
    </row>
    <row r="236" spans="1:95" s="35" customFormat="1" ht="12.75" customHeight="1">
      <c r="A236" s="35" t="s">
        <v>266</v>
      </c>
      <c r="B236" s="51"/>
      <c r="C236" s="35" t="s">
        <v>267</v>
      </c>
      <c r="D236" s="44"/>
      <c r="E236" s="53">
        <f t="shared" si="51"/>
        <v>787937</v>
      </c>
      <c r="F236" s="53"/>
      <c r="G236" s="53">
        <v>7589453</v>
      </c>
      <c r="H236" s="53"/>
      <c r="I236" s="53">
        <v>8377390</v>
      </c>
      <c r="J236" s="53"/>
      <c r="K236" s="53">
        <f t="shared" si="45"/>
        <v>207035</v>
      </c>
      <c r="L236" s="53"/>
      <c r="M236" s="53">
        <v>2199369</v>
      </c>
      <c r="N236" s="53"/>
      <c r="O236" s="53">
        <v>2406404</v>
      </c>
      <c r="P236" s="53"/>
      <c r="Q236" s="53">
        <v>5287022</v>
      </c>
      <c r="R236" s="53"/>
      <c r="S236" s="53">
        <v>0</v>
      </c>
      <c r="T236" s="53"/>
      <c r="U236" s="53">
        <v>683964</v>
      </c>
      <c r="V236" s="53"/>
      <c r="W236" s="53">
        <f t="shared" si="46"/>
        <v>5970986</v>
      </c>
      <c r="X236" s="51"/>
      <c r="Y236" s="51"/>
      <c r="Z236" s="35" t="s">
        <v>266</v>
      </c>
      <c r="AA236" s="53"/>
      <c r="AB236" s="35" t="s">
        <v>267</v>
      </c>
      <c r="AC236" s="51"/>
      <c r="AD236" s="53">
        <v>1151156</v>
      </c>
      <c r="AE236" s="53"/>
      <c r="AF236" s="53">
        <f>1226616-204798</f>
        <v>1021818</v>
      </c>
      <c r="AG236" s="53"/>
      <c r="AH236" s="53">
        <v>204798</v>
      </c>
      <c r="AI236" s="53"/>
      <c r="AJ236" s="45">
        <f t="shared" si="52"/>
        <v>-75460</v>
      </c>
      <c r="AK236" s="45"/>
      <c r="AL236" s="53">
        <v>-108013</v>
      </c>
      <c r="AM236" s="45"/>
      <c r="AN236" s="53">
        <v>0</v>
      </c>
      <c r="AO236" s="53"/>
      <c r="AP236" s="53">
        <v>0</v>
      </c>
      <c r="AQ236" s="53"/>
      <c r="AR236" s="53">
        <v>62260</v>
      </c>
      <c r="AS236" s="53"/>
      <c r="AT236" s="45">
        <f t="shared" si="53"/>
        <v>-121213</v>
      </c>
      <c r="AU236" s="45"/>
      <c r="AV236" s="53">
        <v>0</v>
      </c>
      <c r="AW236" s="53"/>
      <c r="AX236" s="53">
        <v>0</v>
      </c>
      <c r="AY236" s="53"/>
      <c r="AZ236" s="53">
        <f t="shared" si="54"/>
        <v>580902</v>
      </c>
      <c r="BA236" s="51"/>
      <c r="BB236" s="35" t="s">
        <v>266</v>
      </c>
      <c r="BD236" s="35" t="s">
        <v>267</v>
      </c>
      <c r="BE236" s="53"/>
      <c r="BF236" s="53">
        <v>252431</v>
      </c>
      <c r="BG236" s="53"/>
      <c r="BH236" s="53">
        <v>0</v>
      </c>
      <c r="BI236" s="53"/>
      <c r="BJ236" s="53">
        <v>2050000</v>
      </c>
      <c r="BK236" s="53"/>
      <c r="BL236" s="53">
        <v>52644</v>
      </c>
      <c r="BM236" s="53"/>
      <c r="BN236" s="53">
        <f t="shared" si="50"/>
        <v>2355075</v>
      </c>
      <c r="BO236" s="54"/>
      <c r="BS236" s="55"/>
      <c r="BT236" s="55"/>
      <c r="BU236" s="84"/>
      <c r="BV236" s="55"/>
      <c r="BW236" s="55"/>
      <c r="BX236" s="55"/>
      <c r="BY236" s="55"/>
      <c r="BZ236" s="55"/>
      <c r="CA236" s="55"/>
      <c r="CB236" s="55"/>
      <c r="CC236" s="55"/>
      <c r="CD236" s="55"/>
      <c r="CE236" s="55"/>
      <c r="CF236" s="55"/>
      <c r="CG236" s="55"/>
      <c r="CH236" s="55"/>
      <c r="CI236" s="55"/>
      <c r="CJ236" s="55"/>
      <c r="CK236" s="55"/>
      <c r="CL236" s="55"/>
      <c r="CM236" s="55"/>
      <c r="CN236" s="55"/>
      <c r="CO236" s="55"/>
      <c r="CP236" s="55"/>
      <c r="CQ236" s="55"/>
    </row>
    <row r="237" spans="1:95" s="35" customFormat="1" ht="12.75" customHeight="1">
      <c r="A237" s="35" t="s">
        <v>268</v>
      </c>
      <c r="B237" s="51"/>
      <c r="C237" s="35" t="s">
        <v>269</v>
      </c>
      <c r="D237" s="44"/>
      <c r="E237" s="53">
        <f t="shared" si="51"/>
        <v>300239</v>
      </c>
      <c r="F237" s="53"/>
      <c r="G237" s="53">
        <v>4549482</v>
      </c>
      <c r="H237" s="53"/>
      <c r="I237" s="53">
        <v>4849721</v>
      </c>
      <c r="J237" s="53"/>
      <c r="K237" s="53">
        <f t="shared" si="45"/>
        <v>49476</v>
      </c>
      <c r="L237" s="53"/>
      <c r="M237" s="53">
        <v>418428</v>
      </c>
      <c r="N237" s="53"/>
      <c r="O237" s="53">
        <v>467904</v>
      </c>
      <c r="P237" s="53"/>
      <c r="Q237" s="53">
        <v>4116094</v>
      </c>
      <c r="R237" s="53"/>
      <c r="S237" s="53">
        <v>0</v>
      </c>
      <c r="T237" s="53"/>
      <c r="U237" s="53">
        <v>265723</v>
      </c>
      <c r="V237" s="53"/>
      <c r="W237" s="53">
        <f t="shared" si="46"/>
        <v>4381817</v>
      </c>
      <c r="X237" s="51"/>
      <c r="Y237" s="51"/>
      <c r="Z237" s="35" t="s">
        <v>268</v>
      </c>
      <c r="AA237" s="53"/>
      <c r="AB237" s="35" t="s">
        <v>269</v>
      </c>
      <c r="AC237" s="51"/>
      <c r="AD237" s="53">
        <v>669008</v>
      </c>
      <c r="AE237" s="53"/>
      <c r="AF237" s="53">
        <f>748380-151159</f>
        <v>597221</v>
      </c>
      <c r="AG237" s="53"/>
      <c r="AH237" s="53">
        <v>151159</v>
      </c>
      <c r="AI237" s="53"/>
      <c r="AJ237" s="45">
        <f t="shared" si="52"/>
        <v>-79372</v>
      </c>
      <c r="AK237" s="45"/>
      <c r="AL237" s="53">
        <v>10559</v>
      </c>
      <c r="AM237" s="45"/>
      <c r="AN237" s="53">
        <v>0</v>
      </c>
      <c r="AO237" s="53"/>
      <c r="AP237" s="53">
        <v>0</v>
      </c>
      <c r="AQ237" s="53"/>
      <c r="AR237" s="53">
        <v>0</v>
      </c>
      <c r="AS237" s="53"/>
      <c r="AT237" s="45">
        <f t="shared" si="53"/>
        <v>-68813</v>
      </c>
      <c r="AU237" s="45"/>
      <c r="AV237" s="53">
        <v>0</v>
      </c>
      <c r="AW237" s="53"/>
      <c r="AX237" s="53">
        <v>0</v>
      </c>
      <c r="AY237" s="53"/>
      <c r="AZ237" s="53">
        <f t="shared" si="54"/>
        <v>250763</v>
      </c>
      <c r="BA237" s="51"/>
      <c r="BB237" s="35" t="s">
        <v>268</v>
      </c>
      <c r="BD237" s="35" t="s">
        <v>269</v>
      </c>
      <c r="BE237" s="53"/>
      <c r="BF237" s="53">
        <f>359446+73942</f>
        <v>433388</v>
      </c>
      <c r="BG237" s="53"/>
      <c r="BH237" s="53">
        <v>0</v>
      </c>
      <c r="BI237" s="53"/>
      <c r="BJ237" s="53">
        <v>0</v>
      </c>
      <c r="BK237" s="53"/>
      <c r="BL237" s="53">
        <v>19518</v>
      </c>
      <c r="BM237" s="53"/>
      <c r="BN237" s="53">
        <f t="shared" si="50"/>
        <v>452906</v>
      </c>
      <c r="BO237" s="54"/>
      <c r="BS237" s="55"/>
      <c r="BT237" s="55"/>
      <c r="BU237" s="84"/>
      <c r="BV237" s="55"/>
      <c r="BW237" s="55"/>
      <c r="BX237" s="55"/>
      <c r="BY237" s="55"/>
      <c r="BZ237" s="55"/>
      <c r="CA237" s="55"/>
      <c r="CB237" s="55"/>
      <c r="CC237" s="55"/>
      <c r="CD237" s="55"/>
      <c r="CE237" s="55"/>
      <c r="CF237" s="55"/>
      <c r="CG237" s="55"/>
      <c r="CH237" s="55"/>
      <c r="CI237" s="55"/>
      <c r="CJ237" s="55"/>
      <c r="CK237" s="55"/>
      <c r="CL237" s="55"/>
      <c r="CM237" s="55"/>
      <c r="CN237" s="55"/>
      <c r="CO237" s="55"/>
      <c r="CP237" s="55"/>
      <c r="CQ237" s="55"/>
    </row>
    <row r="238" spans="1:95" s="35" customFormat="1" ht="12.75" hidden="1" customHeight="1">
      <c r="A238" s="35" t="s">
        <v>270</v>
      </c>
      <c r="B238" s="51"/>
      <c r="C238" s="35" t="s">
        <v>136</v>
      </c>
      <c r="D238" s="44"/>
      <c r="E238" s="53">
        <f>I238-G238</f>
        <v>0</v>
      </c>
      <c r="F238" s="53"/>
      <c r="G238" s="53"/>
      <c r="H238" s="53"/>
      <c r="I238" s="53"/>
      <c r="J238" s="53"/>
      <c r="K238" s="53">
        <f>O238-M238</f>
        <v>0</v>
      </c>
      <c r="L238" s="53"/>
      <c r="M238" s="53"/>
      <c r="N238" s="53"/>
      <c r="O238" s="53"/>
      <c r="P238" s="53"/>
      <c r="Q238" s="53"/>
      <c r="R238" s="53"/>
      <c r="S238" s="53">
        <v>0</v>
      </c>
      <c r="T238" s="53"/>
      <c r="U238" s="53"/>
      <c r="V238" s="53"/>
      <c r="W238" s="53">
        <f>SUM(Q238:U238)</f>
        <v>0</v>
      </c>
      <c r="X238" s="51"/>
      <c r="Y238" s="51"/>
      <c r="Z238" s="35" t="s">
        <v>270</v>
      </c>
      <c r="AA238" s="53"/>
      <c r="AB238" s="35" t="s">
        <v>136</v>
      </c>
      <c r="AC238" s="51"/>
      <c r="AD238" s="53"/>
      <c r="AE238" s="53"/>
      <c r="AF238" s="53"/>
      <c r="AG238" s="53"/>
      <c r="AH238" s="53"/>
      <c r="AI238" s="53"/>
      <c r="AJ238" s="45">
        <f>+AD238-AF238-AH238</f>
        <v>0</v>
      </c>
      <c r="AK238" s="45"/>
      <c r="AL238" s="53"/>
      <c r="AM238" s="45"/>
      <c r="AN238" s="53"/>
      <c r="AO238" s="53"/>
      <c r="AP238" s="53"/>
      <c r="AQ238" s="53"/>
      <c r="AR238" s="53"/>
      <c r="AS238" s="53"/>
      <c r="AT238" s="45">
        <f>+AJ238+AL238+AN238-AP238+AR238</f>
        <v>0</v>
      </c>
      <c r="AU238" s="45"/>
      <c r="AV238" s="53">
        <v>0</v>
      </c>
      <c r="AW238" s="53"/>
      <c r="AX238" s="53">
        <v>0</v>
      </c>
      <c r="AY238" s="53"/>
      <c r="AZ238" s="53">
        <f>E238-K238</f>
        <v>0</v>
      </c>
      <c r="BA238" s="51"/>
      <c r="BB238" s="35" t="s">
        <v>270</v>
      </c>
      <c r="BD238" s="35" t="s">
        <v>136</v>
      </c>
      <c r="BE238" s="53"/>
      <c r="BF238" s="53"/>
      <c r="BG238" s="53"/>
      <c r="BH238" s="53"/>
      <c r="BI238" s="53"/>
      <c r="BJ238" s="53"/>
      <c r="BK238" s="53"/>
      <c r="BL238" s="53"/>
      <c r="BM238" s="53"/>
      <c r="BN238" s="53">
        <f>SUM(BF238:BL238)</f>
        <v>0</v>
      </c>
      <c r="BO238" s="54"/>
      <c r="BS238" s="55"/>
      <c r="BT238" s="55"/>
      <c r="BU238" s="84"/>
      <c r="BV238" s="55"/>
      <c r="BW238" s="55"/>
      <c r="BX238" s="55"/>
      <c r="BY238" s="55"/>
      <c r="BZ238" s="55"/>
      <c r="CA238" s="55"/>
      <c r="CB238" s="55"/>
      <c r="CC238" s="55"/>
      <c r="CD238" s="55"/>
      <c r="CE238" s="55"/>
      <c r="CF238" s="55"/>
      <c r="CG238" s="55"/>
      <c r="CH238" s="55"/>
      <c r="CI238" s="55"/>
      <c r="CJ238" s="55"/>
      <c r="CK238" s="55"/>
      <c r="CL238" s="55"/>
      <c r="CM238" s="55"/>
      <c r="CN238" s="55"/>
      <c r="CO238" s="55"/>
      <c r="CP238" s="55"/>
      <c r="CQ238" s="55"/>
    </row>
    <row r="239" spans="1:95" s="35" customFormat="1" ht="12.75" customHeight="1">
      <c r="A239" s="35" t="s">
        <v>271</v>
      </c>
      <c r="B239" s="51"/>
      <c r="C239" s="35" t="s">
        <v>66</v>
      </c>
      <c r="D239" s="44"/>
      <c r="E239" s="53">
        <f t="shared" si="51"/>
        <v>670500</v>
      </c>
      <c r="F239" s="53"/>
      <c r="G239" s="53">
        <f>29500+5058919</f>
        <v>5088419</v>
      </c>
      <c r="H239" s="53"/>
      <c r="I239" s="53">
        <v>5758919</v>
      </c>
      <c r="J239" s="53"/>
      <c r="K239" s="53">
        <f t="shared" si="45"/>
        <v>325415</v>
      </c>
      <c r="L239" s="53"/>
      <c r="M239" s="53">
        <f>28604+3596714</f>
        <v>3625318</v>
      </c>
      <c r="N239" s="53"/>
      <c r="O239" s="53">
        <v>3950733</v>
      </c>
      <c r="P239" s="53"/>
      <c r="Q239" s="53">
        <v>1299027</v>
      </c>
      <c r="R239" s="53"/>
      <c r="S239" s="53">
        <v>0</v>
      </c>
      <c r="T239" s="53"/>
      <c r="U239" s="53">
        <v>509159</v>
      </c>
      <c r="V239" s="53"/>
      <c r="W239" s="53">
        <f t="shared" si="46"/>
        <v>1808186</v>
      </c>
      <c r="X239" s="51"/>
      <c r="Y239" s="51"/>
      <c r="Z239" s="35" t="s">
        <v>271</v>
      </c>
      <c r="AA239" s="53"/>
      <c r="AB239" s="35" t="s">
        <v>66</v>
      </c>
      <c r="AC239" s="51"/>
      <c r="AD239" s="53">
        <v>1410227</v>
      </c>
      <c r="AE239" s="53"/>
      <c r="AF239" s="53">
        <f>1334903-353002</f>
        <v>981901</v>
      </c>
      <c r="AG239" s="53"/>
      <c r="AH239" s="53">
        <v>353002</v>
      </c>
      <c r="AI239" s="53"/>
      <c r="AJ239" s="45">
        <f t="shared" si="52"/>
        <v>75324</v>
      </c>
      <c r="AK239" s="45"/>
      <c r="AL239" s="53">
        <v>-202016</v>
      </c>
      <c r="AM239" s="45"/>
      <c r="AN239" s="53">
        <v>0</v>
      </c>
      <c r="AO239" s="53"/>
      <c r="AP239" s="53">
        <v>0</v>
      </c>
      <c r="AQ239" s="53"/>
      <c r="AR239" s="53">
        <v>0</v>
      </c>
      <c r="AS239" s="53"/>
      <c r="AT239" s="45">
        <f t="shared" si="53"/>
        <v>-126692</v>
      </c>
      <c r="AU239" s="45"/>
      <c r="AV239" s="53">
        <v>0</v>
      </c>
      <c r="AW239" s="53"/>
      <c r="AX239" s="53">
        <v>0</v>
      </c>
      <c r="AY239" s="53"/>
      <c r="AZ239" s="53">
        <f t="shared" si="54"/>
        <v>345085</v>
      </c>
      <c r="BA239" s="51"/>
      <c r="BB239" s="35" t="s">
        <v>271</v>
      </c>
      <c r="BD239" s="35" t="s">
        <v>66</v>
      </c>
      <c r="BE239" s="53"/>
      <c r="BF239" s="53">
        <f>3727992+60919</f>
        <v>3788911</v>
      </c>
      <c r="BG239" s="53"/>
      <c r="BH239" s="53">
        <v>0</v>
      </c>
      <c r="BI239" s="53"/>
      <c r="BJ239" s="53">
        <v>0</v>
      </c>
      <c r="BK239" s="53"/>
      <c r="BL239" s="53">
        <v>145005</v>
      </c>
      <c r="BM239" s="53"/>
      <c r="BN239" s="53">
        <f t="shared" si="50"/>
        <v>3933916</v>
      </c>
      <c r="BO239" s="54"/>
      <c r="BS239" s="55"/>
      <c r="BT239" s="55"/>
      <c r="BU239" s="84"/>
      <c r="BV239" s="55"/>
      <c r="BW239" s="55"/>
      <c r="BX239" s="55"/>
      <c r="BY239" s="55"/>
      <c r="BZ239" s="55"/>
      <c r="CA239" s="55"/>
      <c r="CB239" s="55"/>
      <c r="CC239" s="55"/>
      <c r="CD239" s="55"/>
      <c r="CE239" s="55"/>
      <c r="CF239" s="55"/>
      <c r="CG239" s="55"/>
      <c r="CH239" s="55"/>
      <c r="CI239" s="55"/>
      <c r="CJ239" s="55"/>
      <c r="CK239" s="55"/>
      <c r="CL239" s="55"/>
      <c r="CM239" s="55"/>
      <c r="CN239" s="55"/>
      <c r="CO239" s="55"/>
      <c r="CP239" s="55"/>
      <c r="CQ239" s="55"/>
    </row>
    <row r="240" spans="1:95" s="35" customFormat="1" ht="12.75" customHeight="1">
      <c r="A240" s="35" t="s">
        <v>272</v>
      </c>
      <c r="B240" s="51"/>
      <c r="C240" s="35" t="s">
        <v>43</v>
      </c>
      <c r="D240" s="44"/>
      <c r="E240" s="53">
        <f t="shared" si="51"/>
        <v>8507303</v>
      </c>
      <c r="F240" s="53"/>
      <c r="G240" s="53">
        <v>27836035</v>
      </c>
      <c r="H240" s="53"/>
      <c r="I240" s="53">
        <v>36343338</v>
      </c>
      <c r="J240" s="53"/>
      <c r="K240" s="53">
        <f t="shared" si="45"/>
        <v>1673266</v>
      </c>
      <c r="L240" s="53"/>
      <c r="M240" s="53">
        <v>3674136</v>
      </c>
      <c r="N240" s="53"/>
      <c r="O240" s="53">
        <v>5347402</v>
      </c>
      <c r="P240" s="53"/>
      <c r="Q240" s="53">
        <v>23809822</v>
      </c>
      <c r="R240" s="53"/>
      <c r="S240" s="53">
        <v>0</v>
      </c>
      <c r="T240" s="53"/>
      <c r="U240" s="53">
        <v>7186114</v>
      </c>
      <c r="V240" s="53"/>
      <c r="W240" s="53">
        <f t="shared" si="46"/>
        <v>30995936</v>
      </c>
      <c r="X240" s="51"/>
      <c r="Y240" s="51"/>
      <c r="Z240" s="35" t="s">
        <v>272</v>
      </c>
      <c r="AA240" s="53"/>
      <c r="AB240" s="35" t="s">
        <v>43</v>
      </c>
      <c r="AC240" s="51"/>
      <c r="AD240" s="53">
        <v>2825139</v>
      </c>
      <c r="AE240" s="53"/>
      <c r="AF240" s="53">
        <f>3482156-864690</f>
        <v>2617466</v>
      </c>
      <c r="AG240" s="53"/>
      <c r="AH240" s="53">
        <v>864690</v>
      </c>
      <c r="AI240" s="53"/>
      <c r="AJ240" s="45">
        <f t="shared" si="52"/>
        <v>-657017</v>
      </c>
      <c r="AK240" s="45"/>
      <c r="AL240" s="53">
        <v>-35429</v>
      </c>
      <c r="AM240" s="45"/>
      <c r="AN240" s="53">
        <v>5371</v>
      </c>
      <c r="AO240" s="53"/>
      <c r="AP240" s="53">
        <v>0</v>
      </c>
      <c r="AQ240" s="53"/>
      <c r="AR240" s="53">
        <v>296932</v>
      </c>
      <c r="AS240" s="53"/>
      <c r="AT240" s="45">
        <f t="shared" si="53"/>
        <v>-390143</v>
      </c>
      <c r="AU240" s="45"/>
      <c r="AV240" s="53">
        <v>0</v>
      </c>
      <c r="AW240" s="53"/>
      <c r="AX240" s="53">
        <v>0</v>
      </c>
      <c r="AY240" s="53"/>
      <c r="AZ240" s="53">
        <f t="shared" si="54"/>
        <v>6834037</v>
      </c>
      <c r="BA240" s="51"/>
      <c r="BB240" s="35" t="s">
        <v>272</v>
      </c>
      <c r="BD240" s="35" t="s">
        <v>43</v>
      </c>
      <c r="BE240" s="53"/>
      <c r="BF240" s="53">
        <f>1195000+1050000+469300</f>
        <v>2714300</v>
      </c>
      <c r="BG240" s="53"/>
      <c r="BH240" s="53">
        <v>0</v>
      </c>
      <c r="BI240" s="53"/>
      <c r="BJ240" s="53">
        <v>0</v>
      </c>
      <c r="BK240" s="53"/>
      <c r="BL240" s="53">
        <v>694086</v>
      </c>
      <c r="BM240" s="53"/>
      <c r="BN240" s="53">
        <f t="shared" si="50"/>
        <v>3408386</v>
      </c>
      <c r="BO240" s="54"/>
      <c r="BS240" s="55"/>
      <c r="BT240" s="55"/>
      <c r="BU240" s="84"/>
      <c r="BV240" s="55"/>
      <c r="BW240" s="55"/>
      <c r="BX240" s="55"/>
      <c r="BY240" s="55"/>
      <c r="BZ240" s="55"/>
      <c r="CA240" s="55"/>
      <c r="CB240" s="55"/>
      <c r="CC240" s="55"/>
      <c r="CD240" s="55"/>
      <c r="CE240" s="55"/>
      <c r="CF240" s="55"/>
      <c r="CG240" s="55"/>
      <c r="CH240" s="55"/>
      <c r="CI240" s="55"/>
      <c r="CJ240" s="55"/>
      <c r="CK240" s="55"/>
      <c r="CL240" s="55"/>
      <c r="CM240" s="55"/>
      <c r="CN240" s="55"/>
      <c r="CO240" s="55"/>
      <c r="CP240" s="55"/>
      <c r="CQ240" s="55"/>
    </row>
    <row r="241" spans="1:95" s="126" customFormat="1" ht="12.75" hidden="1" customHeight="1">
      <c r="A241" s="126" t="s">
        <v>273</v>
      </c>
      <c r="B241" s="124"/>
      <c r="C241" s="126" t="s">
        <v>27</v>
      </c>
      <c r="D241" s="121"/>
      <c r="E241" s="140">
        <f t="shared" si="51"/>
        <v>0</v>
      </c>
      <c r="F241" s="140"/>
      <c r="G241" s="140"/>
      <c r="H241" s="140"/>
      <c r="I241" s="140"/>
      <c r="J241" s="140"/>
      <c r="K241" s="140">
        <f t="shared" si="45"/>
        <v>0</v>
      </c>
      <c r="L241" s="140"/>
      <c r="M241" s="140"/>
      <c r="N241" s="140"/>
      <c r="O241" s="140"/>
      <c r="P241" s="140"/>
      <c r="Q241" s="140"/>
      <c r="R241" s="140"/>
      <c r="S241" s="140">
        <v>0</v>
      </c>
      <c r="T241" s="140"/>
      <c r="U241" s="140"/>
      <c r="V241" s="140"/>
      <c r="W241" s="140">
        <f t="shared" si="46"/>
        <v>0</v>
      </c>
      <c r="X241" s="124"/>
      <c r="Y241" s="124"/>
      <c r="Z241" s="126" t="s">
        <v>273</v>
      </c>
      <c r="AA241" s="140"/>
      <c r="AB241" s="126" t="s">
        <v>27</v>
      </c>
      <c r="AC241" s="124"/>
      <c r="AD241" s="140"/>
      <c r="AE241" s="140"/>
      <c r="AF241" s="140"/>
      <c r="AG241" s="140"/>
      <c r="AH241" s="140"/>
      <c r="AI241" s="140"/>
      <c r="AJ241" s="127">
        <f t="shared" si="52"/>
        <v>0</v>
      </c>
      <c r="AK241" s="127"/>
      <c r="AL241" s="140"/>
      <c r="AM241" s="127"/>
      <c r="AN241" s="140"/>
      <c r="AO241" s="140"/>
      <c r="AP241" s="140"/>
      <c r="AQ241" s="140"/>
      <c r="AR241" s="140"/>
      <c r="AS241" s="140"/>
      <c r="AT241" s="127">
        <f t="shared" si="53"/>
        <v>0</v>
      </c>
      <c r="AU241" s="127"/>
      <c r="AV241" s="140">
        <v>0</v>
      </c>
      <c r="AW241" s="140"/>
      <c r="AX241" s="140">
        <v>0</v>
      </c>
      <c r="AY241" s="140"/>
      <c r="AZ241" s="140">
        <f t="shared" si="54"/>
        <v>0</v>
      </c>
      <c r="BA241" s="124"/>
      <c r="BB241" s="126" t="s">
        <v>273</v>
      </c>
      <c r="BD241" s="126" t="s">
        <v>27</v>
      </c>
      <c r="BE241" s="140"/>
      <c r="BF241" s="140"/>
      <c r="BG241" s="140"/>
      <c r="BH241" s="140"/>
      <c r="BI241" s="140"/>
      <c r="BJ241" s="140"/>
      <c r="BK241" s="140"/>
      <c r="BL241" s="140"/>
      <c r="BM241" s="140"/>
      <c r="BN241" s="140">
        <f t="shared" si="50"/>
        <v>0</v>
      </c>
      <c r="BO241" s="142"/>
      <c r="BS241" s="143"/>
      <c r="BT241" s="143"/>
      <c r="BU241" s="144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</row>
    <row r="242" spans="1:95" s="126" customFormat="1" ht="12.75" hidden="1" customHeight="1">
      <c r="A242" s="126" t="s">
        <v>274</v>
      </c>
      <c r="B242" s="124"/>
      <c r="C242" s="126" t="s">
        <v>43</v>
      </c>
      <c r="D242" s="121"/>
      <c r="E242" s="140">
        <f t="shared" si="51"/>
        <v>0</v>
      </c>
      <c r="F242" s="140"/>
      <c r="G242" s="140"/>
      <c r="H242" s="140"/>
      <c r="I242" s="140"/>
      <c r="J242" s="140"/>
      <c r="K242" s="140">
        <f t="shared" si="45"/>
        <v>0</v>
      </c>
      <c r="L242" s="140"/>
      <c r="M242" s="140"/>
      <c r="N242" s="140"/>
      <c r="O242" s="140"/>
      <c r="P242" s="140"/>
      <c r="Q242" s="140"/>
      <c r="R242" s="140"/>
      <c r="S242" s="140">
        <v>0</v>
      </c>
      <c r="T242" s="140"/>
      <c r="U242" s="140"/>
      <c r="V242" s="140"/>
      <c r="W242" s="140">
        <f t="shared" si="46"/>
        <v>0</v>
      </c>
      <c r="X242" s="124"/>
      <c r="Y242" s="124"/>
      <c r="Z242" s="126" t="s">
        <v>274</v>
      </c>
      <c r="AA242" s="140"/>
      <c r="AB242" s="126" t="s">
        <v>43</v>
      </c>
      <c r="AC242" s="124"/>
      <c r="AD242" s="140"/>
      <c r="AE242" s="140"/>
      <c r="AF242" s="140"/>
      <c r="AG242" s="140"/>
      <c r="AH242" s="140"/>
      <c r="AI242" s="140"/>
      <c r="AJ242" s="127">
        <f t="shared" si="52"/>
        <v>0</v>
      </c>
      <c r="AK242" s="127"/>
      <c r="AL242" s="140"/>
      <c r="AM242" s="127"/>
      <c r="AN242" s="140"/>
      <c r="AO242" s="140"/>
      <c r="AP242" s="140"/>
      <c r="AQ242" s="140"/>
      <c r="AR242" s="140"/>
      <c r="AS242" s="140"/>
      <c r="AT242" s="127">
        <f t="shared" si="53"/>
        <v>0</v>
      </c>
      <c r="AU242" s="127"/>
      <c r="AV242" s="140">
        <v>0</v>
      </c>
      <c r="AW242" s="140"/>
      <c r="AX242" s="140">
        <v>0</v>
      </c>
      <c r="AY242" s="140"/>
      <c r="AZ242" s="140">
        <f t="shared" si="54"/>
        <v>0</v>
      </c>
      <c r="BA242" s="124"/>
      <c r="BB242" s="126" t="s">
        <v>274</v>
      </c>
      <c r="BD242" s="126" t="s">
        <v>43</v>
      </c>
      <c r="BE242" s="140"/>
      <c r="BF242" s="140"/>
      <c r="BG242" s="140"/>
      <c r="BH242" s="140"/>
      <c r="BI242" s="140"/>
      <c r="BJ242" s="140"/>
      <c r="BK242" s="140"/>
      <c r="BL242" s="140"/>
      <c r="BM242" s="140"/>
      <c r="BN242" s="140">
        <f t="shared" si="50"/>
        <v>0</v>
      </c>
      <c r="BO242" s="142"/>
      <c r="BS242" s="143"/>
      <c r="BT242" s="143"/>
      <c r="BU242" s="144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</row>
    <row r="243" spans="1:95" s="126" customFormat="1" ht="12.75" hidden="1" customHeight="1">
      <c r="A243" s="126" t="s">
        <v>275</v>
      </c>
      <c r="B243" s="124"/>
      <c r="C243" s="126" t="s">
        <v>92</v>
      </c>
      <c r="D243" s="121"/>
      <c r="E243" s="140">
        <f t="shared" si="51"/>
        <v>0</v>
      </c>
      <c r="F243" s="140"/>
      <c r="G243" s="140"/>
      <c r="H243" s="140"/>
      <c r="I243" s="140"/>
      <c r="J243" s="140"/>
      <c r="K243" s="140">
        <f t="shared" si="45"/>
        <v>0</v>
      </c>
      <c r="L243" s="140"/>
      <c r="M243" s="140"/>
      <c r="N243" s="140"/>
      <c r="O243" s="140"/>
      <c r="P243" s="140"/>
      <c r="Q243" s="140"/>
      <c r="R243" s="140"/>
      <c r="S243" s="140">
        <v>0</v>
      </c>
      <c r="T243" s="140"/>
      <c r="U243" s="140"/>
      <c r="V243" s="140"/>
      <c r="W243" s="140">
        <f t="shared" si="46"/>
        <v>0</v>
      </c>
      <c r="X243" s="124"/>
      <c r="Y243" s="124"/>
      <c r="Z243" s="126" t="s">
        <v>275</v>
      </c>
      <c r="AA243" s="140"/>
      <c r="AB243" s="126" t="s">
        <v>92</v>
      </c>
      <c r="AC243" s="124"/>
      <c r="AD243" s="140"/>
      <c r="AE243" s="140"/>
      <c r="AF243" s="140"/>
      <c r="AG243" s="140"/>
      <c r="AH243" s="140"/>
      <c r="AI243" s="140"/>
      <c r="AJ243" s="127">
        <f t="shared" si="52"/>
        <v>0</v>
      </c>
      <c r="AK243" s="127"/>
      <c r="AL243" s="140"/>
      <c r="AM243" s="127"/>
      <c r="AN243" s="140"/>
      <c r="AO243" s="140"/>
      <c r="AP243" s="140"/>
      <c r="AQ243" s="140"/>
      <c r="AR243" s="140"/>
      <c r="AS243" s="140"/>
      <c r="AT243" s="127">
        <f t="shared" si="53"/>
        <v>0</v>
      </c>
      <c r="AU243" s="127"/>
      <c r="AV243" s="140">
        <v>0</v>
      </c>
      <c r="AW243" s="140"/>
      <c r="AX243" s="140">
        <v>0</v>
      </c>
      <c r="AY243" s="140"/>
      <c r="AZ243" s="140">
        <f t="shared" si="54"/>
        <v>0</v>
      </c>
      <c r="BA243" s="124"/>
      <c r="BB243" s="126" t="s">
        <v>275</v>
      </c>
      <c r="BD243" s="126" t="s">
        <v>92</v>
      </c>
      <c r="BE243" s="140"/>
      <c r="BF243" s="140"/>
      <c r="BG243" s="140"/>
      <c r="BH243" s="140"/>
      <c r="BI243" s="140"/>
      <c r="BJ243" s="140"/>
      <c r="BK243" s="140"/>
      <c r="BL243" s="140"/>
      <c r="BM243" s="140"/>
      <c r="BN243" s="140">
        <f t="shared" si="50"/>
        <v>0</v>
      </c>
      <c r="BO243" s="142"/>
      <c r="BS243" s="143"/>
      <c r="BT243" s="143"/>
      <c r="BU243" s="144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</row>
    <row r="244" spans="1:95" s="35" customFormat="1" ht="12.75" customHeight="1">
      <c r="A244" s="35" t="s">
        <v>276</v>
      </c>
      <c r="B244" s="51"/>
      <c r="C244" s="35" t="s">
        <v>38</v>
      </c>
      <c r="D244" s="44"/>
      <c r="E244" s="53">
        <f t="shared" si="51"/>
        <v>1781928</v>
      </c>
      <c r="F244" s="53"/>
      <c r="G244" s="53">
        <v>9244990</v>
      </c>
      <c r="H244" s="53"/>
      <c r="I244" s="53">
        <v>11026918</v>
      </c>
      <c r="J244" s="53"/>
      <c r="K244" s="53">
        <f t="shared" si="45"/>
        <v>376540</v>
      </c>
      <c r="L244" s="53"/>
      <c r="M244" s="53">
        <v>348757</v>
      </c>
      <c r="N244" s="53"/>
      <c r="O244" s="53">
        <v>725297</v>
      </c>
      <c r="P244" s="53"/>
      <c r="Q244" s="53">
        <v>8709243</v>
      </c>
      <c r="R244" s="53"/>
      <c r="S244" s="53">
        <v>0</v>
      </c>
      <c r="T244" s="53"/>
      <c r="U244" s="53">
        <v>1592378</v>
      </c>
      <c r="V244" s="53"/>
      <c r="W244" s="53">
        <f t="shared" si="46"/>
        <v>10301621</v>
      </c>
      <c r="X244" s="51"/>
      <c r="Y244" s="51"/>
      <c r="Z244" s="35" t="s">
        <v>276</v>
      </c>
      <c r="AA244" s="53"/>
      <c r="AB244" s="35" t="s">
        <v>38</v>
      </c>
      <c r="AC244" s="51"/>
      <c r="AD244" s="53">
        <v>1560307</v>
      </c>
      <c r="AE244" s="53"/>
      <c r="AF244" s="53">
        <f>1318716-280407</f>
        <v>1038309</v>
      </c>
      <c r="AG244" s="53"/>
      <c r="AH244" s="53">
        <v>280407</v>
      </c>
      <c r="AI244" s="53"/>
      <c r="AJ244" s="45">
        <f t="shared" si="52"/>
        <v>241591</v>
      </c>
      <c r="AK244" s="45"/>
      <c r="AL244" s="53">
        <v>25491</v>
      </c>
      <c r="AM244" s="45"/>
      <c r="AN244" s="53">
        <v>0</v>
      </c>
      <c r="AO244" s="53"/>
      <c r="AP244" s="53">
        <v>0</v>
      </c>
      <c r="AQ244" s="53"/>
      <c r="AR244" s="53">
        <v>0</v>
      </c>
      <c r="AS244" s="53"/>
      <c r="AT244" s="45">
        <f t="shared" si="53"/>
        <v>267082</v>
      </c>
      <c r="AU244" s="45"/>
      <c r="AV244" s="53">
        <v>0</v>
      </c>
      <c r="AW244" s="53"/>
      <c r="AX244" s="53">
        <v>0</v>
      </c>
      <c r="AY244" s="53"/>
      <c r="AZ244" s="53">
        <f t="shared" si="54"/>
        <v>1405388</v>
      </c>
      <c r="BA244" s="51"/>
      <c r="BB244" s="35" t="s">
        <v>276</v>
      </c>
      <c r="BD244" s="35" t="s">
        <v>38</v>
      </c>
      <c r="BE244" s="53"/>
      <c r="BF244" s="53">
        <f>1326940+29797</f>
        <v>1356737</v>
      </c>
      <c r="BG244" s="53"/>
      <c r="BH244" s="53">
        <v>0</v>
      </c>
      <c r="BI244" s="53"/>
      <c r="BJ244" s="53">
        <v>0</v>
      </c>
      <c r="BK244" s="53"/>
      <c r="BL244" s="53">
        <v>243329</v>
      </c>
      <c r="BM244" s="53"/>
      <c r="BN244" s="53">
        <f t="shared" si="50"/>
        <v>1600066</v>
      </c>
      <c r="BO244" s="54"/>
      <c r="BS244" s="55"/>
      <c r="BT244" s="55"/>
      <c r="BU244" s="84"/>
      <c r="BV244" s="55"/>
      <c r="BW244" s="55"/>
      <c r="BX244" s="55"/>
      <c r="BY244" s="55"/>
      <c r="BZ244" s="55"/>
      <c r="CA244" s="55"/>
      <c r="CB244" s="55"/>
      <c r="CC244" s="55"/>
      <c r="CD244" s="55"/>
      <c r="CE244" s="55"/>
      <c r="CF244" s="55"/>
      <c r="CG244" s="55"/>
      <c r="CH244" s="55"/>
      <c r="CI244" s="55"/>
      <c r="CJ244" s="55"/>
      <c r="CK244" s="55"/>
      <c r="CL244" s="55"/>
      <c r="CM244" s="55"/>
      <c r="CN244" s="55"/>
      <c r="CO244" s="55"/>
      <c r="CP244" s="55"/>
      <c r="CQ244" s="55"/>
    </row>
    <row r="245" spans="1:95" s="126" customFormat="1" ht="12.75" hidden="1" customHeight="1">
      <c r="A245" s="126" t="s">
        <v>277</v>
      </c>
      <c r="B245" s="124"/>
      <c r="C245" s="126" t="s">
        <v>92</v>
      </c>
      <c r="D245" s="121"/>
      <c r="E245" s="140">
        <f t="shared" si="51"/>
        <v>0</v>
      </c>
      <c r="F245" s="140"/>
      <c r="G245" s="140"/>
      <c r="H245" s="140"/>
      <c r="I245" s="140"/>
      <c r="J245" s="140"/>
      <c r="K245" s="140">
        <f t="shared" si="45"/>
        <v>0</v>
      </c>
      <c r="L245" s="140"/>
      <c r="M245" s="140"/>
      <c r="N245" s="140"/>
      <c r="O245" s="140"/>
      <c r="P245" s="140"/>
      <c r="Q245" s="140"/>
      <c r="R245" s="140"/>
      <c r="S245" s="140">
        <v>0</v>
      </c>
      <c r="T245" s="140"/>
      <c r="U245" s="140"/>
      <c r="V245" s="140"/>
      <c r="W245" s="140">
        <f t="shared" si="46"/>
        <v>0</v>
      </c>
      <c r="X245" s="124"/>
      <c r="Y245" s="124"/>
      <c r="Z245" s="126" t="s">
        <v>277</v>
      </c>
      <c r="AA245" s="140"/>
      <c r="AB245" s="126" t="s">
        <v>92</v>
      </c>
      <c r="AC245" s="124"/>
      <c r="AD245" s="140"/>
      <c r="AE245" s="140"/>
      <c r="AF245" s="140"/>
      <c r="AG245" s="140"/>
      <c r="AH245" s="140"/>
      <c r="AI245" s="140"/>
      <c r="AJ245" s="127">
        <f t="shared" si="52"/>
        <v>0</v>
      </c>
      <c r="AK245" s="127"/>
      <c r="AL245" s="140"/>
      <c r="AM245" s="127"/>
      <c r="AN245" s="140"/>
      <c r="AO245" s="140"/>
      <c r="AP245" s="140"/>
      <c r="AQ245" s="140"/>
      <c r="AR245" s="140"/>
      <c r="AS245" s="140"/>
      <c r="AT245" s="127">
        <f t="shared" si="53"/>
        <v>0</v>
      </c>
      <c r="AU245" s="127"/>
      <c r="AV245" s="140">
        <v>0</v>
      </c>
      <c r="AW245" s="140"/>
      <c r="AX245" s="140">
        <v>0</v>
      </c>
      <c r="AY245" s="140"/>
      <c r="AZ245" s="140">
        <f t="shared" si="54"/>
        <v>0</v>
      </c>
      <c r="BA245" s="124"/>
      <c r="BB245" s="126" t="s">
        <v>277</v>
      </c>
      <c r="BD245" s="126" t="s">
        <v>92</v>
      </c>
      <c r="BE245" s="140"/>
      <c r="BF245" s="140"/>
      <c r="BG245" s="140"/>
      <c r="BH245" s="140"/>
      <c r="BI245" s="140"/>
      <c r="BJ245" s="140"/>
      <c r="BK245" s="140"/>
      <c r="BL245" s="140"/>
      <c r="BM245" s="140"/>
      <c r="BN245" s="140">
        <f t="shared" si="50"/>
        <v>0</v>
      </c>
      <c r="BO245" s="142"/>
      <c r="BP245" s="143"/>
      <c r="BS245" s="143"/>
      <c r="BT245" s="143"/>
      <c r="BU245" s="144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</row>
    <row r="246" spans="1:95" s="126" customFormat="1" ht="12.75" hidden="1" customHeight="1">
      <c r="A246" s="126" t="s">
        <v>278</v>
      </c>
      <c r="B246" s="124"/>
      <c r="C246" s="126" t="s">
        <v>92</v>
      </c>
      <c r="D246" s="121"/>
      <c r="E246" s="140">
        <f t="shared" si="51"/>
        <v>0</v>
      </c>
      <c r="F246" s="140"/>
      <c r="G246" s="140"/>
      <c r="H246" s="140"/>
      <c r="I246" s="140"/>
      <c r="J246" s="140"/>
      <c r="K246" s="140">
        <f t="shared" si="45"/>
        <v>0</v>
      </c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>
        <f t="shared" si="46"/>
        <v>0</v>
      </c>
      <c r="X246" s="124"/>
      <c r="Y246" s="124"/>
      <c r="Z246" s="126" t="s">
        <v>278</v>
      </c>
      <c r="AA246" s="140"/>
      <c r="AB246" s="126" t="s">
        <v>92</v>
      </c>
      <c r="AC246" s="124"/>
      <c r="AD246" s="140"/>
      <c r="AE246" s="140"/>
      <c r="AF246" s="140"/>
      <c r="AG246" s="140"/>
      <c r="AH246" s="140"/>
      <c r="AI246" s="140"/>
      <c r="AJ246" s="127">
        <f t="shared" si="52"/>
        <v>0</v>
      </c>
      <c r="AK246" s="127"/>
      <c r="AL246" s="140"/>
      <c r="AM246" s="127"/>
      <c r="AN246" s="140"/>
      <c r="AO246" s="140"/>
      <c r="AP246" s="140"/>
      <c r="AQ246" s="140"/>
      <c r="AR246" s="140"/>
      <c r="AS246" s="140"/>
      <c r="AT246" s="127">
        <f t="shared" si="53"/>
        <v>0</v>
      </c>
      <c r="AU246" s="127"/>
      <c r="AV246" s="140">
        <v>0</v>
      </c>
      <c r="AW246" s="140"/>
      <c r="AX246" s="140">
        <v>0</v>
      </c>
      <c r="AY246" s="140"/>
      <c r="AZ246" s="140">
        <f t="shared" si="54"/>
        <v>0</v>
      </c>
      <c r="BA246" s="124"/>
      <c r="BB246" s="126" t="s">
        <v>278</v>
      </c>
      <c r="BD246" s="126" t="s">
        <v>92</v>
      </c>
      <c r="BE246" s="140"/>
      <c r="BF246" s="140"/>
      <c r="BG246" s="140"/>
      <c r="BH246" s="140"/>
      <c r="BI246" s="140"/>
      <c r="BJ246" s="140"/>
      <c r="BK246" s="140"/>
      <c r="BL246" s="140"/>
      <c r="BM246" s="140"/>
      <c r="BN246" s="140">
        <f t="shared" si="50"/>
        <v>0</v>
      </c>
      <c r="BO246" s="142"/>
      <c r="BS246" s="143"/>
      <c r="BT246" s="143"/>
      <c r="BU246" s="144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</row>
    <row r="247" spans="1:95" s="126" customFormat="1" ht="12.75" hidden="1" customHeight="1">
      <c r="A247" s="126" t="s">
        <v>279</v>
      </c>
      <c r="B247" s="124"/>
      <c r="C247" s="126" t="s">
        <v>92</v>
      </c>
      <c r="D247" s="121"/>
      <c r="E247" s="140">
        <f t="shared" si="51"/>
        <v>0</v>
      </c>
      <c r="F247" s="140"/>
      <c r="G247" s="140"/>
      <c r="H247" s="140"/>
      <c r="I247" s="140"/>
      <c r="J247" s="140"/>
      <c r="K247" s="140">
        <f t="shared" si="45"/>
        <v>0</v>
      </c>
      <c r="L247" s="140"/>
      <c r="M247" s="140"/>
      <c r="N247" s="140"/>
      <c r="O247" s="140"/>
      <c r="P247" s="140"/>
      <c r="Q247" s="140"/>
      <c r="R247" s="140"/>
      <c r="S247" s="140">
        <v>0</v>
      </c>
      <c r="T247" s="140"/>
      <c r="U247" s="140"/>
      <c r="V247" s="140"/>
      <c r="W247" s="140">
        <f t="shared" si="46"/>
        <v>0</v>
      </c>
      <c r="X247" s="124"/>
      <c r="Y247" s="124"/>
      <c r="Z247" s="126" t="s">
        <v>279</v>
      </c>
      <c r="AA247" s="140"/>
      <c r="AB247" s="126" t="s">
        <v>92</v>
      </c>
      <c r="AC247" s="124"/>
      <c r="AD247" s="140"/>
      <c r="AE247" s="140"/>
      <c r="AF247" s="140"/>
      <c r="AG247" s="140"/>
      <c r="AH247" s="140"/>
      <c r="AI247" s="140"/>
      <c r="AJ247" s="127">
        <f t="shared" si="52"/>
        <v>0</v>
      </c>
      <c r="AK247" s="127"/>
      <c r="AL247" s="140"/>
      <c r="AM247" s="127"/>
      <c r="AN247" s="140"/>
      <c r="AO247" s="140"/>
      <c r="AP247" s="140"/>
      <c r="AQ247" s="140"/>
      <c r="AR247" s="140"/>
      <c r="AS247" s="140"/>
      <c r="AT247" s="127">
        <f t="shared" si="53"/>
        <v>0</v>
      </c>
      <c r="AU247" s="127"/>
      <c r="AV247" s="140">
        <v>0</v>
      </c>
      <c r="AW247" s="140"/>
      <c r="AX247" s="140">
        <v>0</v>
      </c>
      <c r="AY247" s="140"/>
      <c r="AZ247" s="140">
        <f t="shared" si="54"/>
        <v>0</v>
      </c>
      <c r="BA247" s="124"/>
      <c r="BB247" s="126" t="s">
        <v>279</v>
      </c>
      <c r="BD247" s="126" t="s">
        <v>92</v>
      </c>
      <c r="BE247" s="140"/>
      <c r="BF247" s="140"/>
      <c r="BG247" s="140"/>
      <c r="BH247" s="140"/>
      <c r="BI247" s="140"/>
      <c r="BJ247" s="140"/>
      <c r="BK247" s="140"/>
      <c r="BL247" s="140"/>
      <c r="BM247" s="140"/>
      <c r="BN247" s="140">
        <f t="shared" si="50"/>
        <v>0</v>
      </c>
      <c r="BO247" s="142"/>
      <c r="BS247" s="143"/>
      <c r="BT247" s="143"/>
      <c r="BU247" s="144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</row>
    <row r="248" spans="1:95" s="35" customFormat="1" ht="12.75" customHeight="1">
      <c r="A248" s="35" t="s">
        <v>280</v>
      </c>
      <c r="B248" s="51"/>
      <c r="C248" s="35" t="s">
        <v>281</v>
      </c>
      <c r="D248" s="44"/>
      <c r="E248" s="53">
        <f t="shared" si="51"/>
        <v>4368423</v>
      </c>
      <c r="F248" s="53"/>
      <c r="G248" s="53">
        <v>21559809</v>
      </c>
      <c r="H248" s="53"/>
      <c r="I248" s="53">
        <v>25928232</v>
      </c>
      <c r="J248" s="53"/>
      <c r="K248" s="53">
        <f t="shared" si="45"/>
        <v>596827</v>
      </c>
      <c r="L248" s="53"/>
      <c r="M248" s="53">
        <v>14239539</v>
      </c>
      <c r="N248" s="53"/>
      <c r="O248" s="53">
        <v>14836366</v>
      </c>
      <c r="P248" s="53"/>
      <c r="Q248" s="53">
        <v>6413022</v>
      </c>
      <c r="R248" s="53"/>
      <c r="S248" s="53">
        <v>470426</v>
      </c>
      <c r="T248" s="53"/>
      <c r="U248" s="53">
        <v>4208418</v>
      </c>
      <c r="V248" s="53"/>
      <c r="W248" s="53">
        <f t="shared" si="46"/>
        <v>11091866</v>
      </c>
      <c r="X248" s="51"/>
      <c r="Y248" s="51"/>
      <c r="Z248" s="35" t="s">
        <v>280</v>
      </c>
      <c r="AA248" s="53"/>
      <c r="AB248" s="35" t="s">
        <v>281</v>
      </c>
      <c r="AC248" s="51"/>
      <c r="AD248" s="53">
        <v>3105723</v>
      </c>
      <c r="AE248" s="53"/>
      <c r="AF248" s="53">
        <f>3061562-679638</f>
        <v>2381924</v>
      </c>
      <c r="AG248" s="53"/>
      <c r="AH248" s="53">
        <v>679638</v>
      </c>
      <c r="AI248" s="53"/>
      <c r="AJ248" s="45">
        <f t="shared" si="52"/>
        <v>44161</v>
      </c>
      <c r="AK248" s="45"/>
      <c r="AL248" s="53">
        <v>-544928</v>
      </c>
      <c r="AM248" s="45"/>
      <c r="AN248" s="53">
        <v>0</v>
      </c>
      <c r="AO248" s="53"/>
      <c r="AP248" s="53">
        <v>0</v>
      </c>
      <c r="AQ248" s="53"/>
      <c r="AR248" s="53">
        <v>0</v>
      </c>
      <c r="AS248" s="53"/>
      <c r="AT248" s="45">
        <f t="shared" si="53"/>
        <v>-500767</v>
      </c>
      <c r="AU248" s="45"/>
      <c r="AV248" s="53">
        <v>0</v>
      </c>
      <c r="AW248" s="53"/>
      <c r="AX248" s="53">
        <v>0</v>
      </c>
      <c r="AY248" s="53"/>
      <c r="AZ248" s="53">
        <f t="shared" si="54"/>
        <v>3771596</v>
      </c>
      <c r="BA248" s="51"/>
      <c r="BB248" s="35" t="s">
        <v>280</v>
      </c>
      <c r="BD248" s="35" t="s">
        <v>281</v>
      </c>
      <c r="BE248" s="53"/>
      <c r="BF248" s="53">
        <v>16768566</v>
      </c>
      <c r="BG248" s="53"/>
      <c r="BH248" s="53">
        <v>0</v>
      </c>
      <c r="BI248" s="53"/>
      <c r="BJ248" s="53">
        <v>0</v>
      </c>
      <c r="BK248" s="53"/>
      <c r="BL248" s="53">
        <v>297603</v>
      </c>
      <c r="BM248" s="53"/>
      <c r="BN248" s="53">
        <f t="shared" si="50"/>
        <v>17066169</v>
      </c>
      <c r="BO248" s="54"/>
      <c r="BS248" s="55"/>
      <c r="BT248" s="55"/>
      <c r="BU248" s="84"/>
      <c r="BV248" s="55"/>
      <c r="BW248" s="55"/>
      <c r="BX248" s="55"/>
      <c r="BY248" s="55"/>
      <c r="BZ248" s="55"/>
      <c r="CA248" s="55"/>
      <c r="CB248" s="55"/>
      <c r="CC248" s="55"/>
      <c r="CD248" s="55"/>
      <c r="CE248" s="55"/>
      <c r="CF248" s="55"/>
      <c r="CG248" s="55"/>
      <c r="CH248" s="55"/>
      <c r="CI248" s="55"/>
      <c r="CJ248" s="55"/>
      <c r="CK248" s="55"/>
      <c r="CL248" s="55"/>
      <c r="CM248" s="55"/>
      <c r="CN248" s="55"/>
      <c r="CO248" s="55"/>
      <c r="CP248" s="55"/>
      <c r="CQ248" s="55"/>
    </row>
    <row r="249" spans="1:95" s="35" customFormat="1" ht="12.75" customHeight="1">
      <c r="A249" s="35" t="s">
        <v>282</v>
      </c>
      <c r="B249" s="51"/>
      <c r="C249" s="35" t="s">
        <v>199</v>
      </c>
      <c r="D249" s="44"/>
      <c r="E249" s="53">
        <f t="shared" si="51"/>
        <v>1517615</v>
      </c>
      <c r="F249" s="53"/>
      <c r="G249" s="53">
        <v>25159388</v>
      </c>
      <c r="H249" s="53"/>
      <c r="I249" s="53">
        <v>26677003</v>
      </c>
      <c r="J249" s="53"/>
      <c r="K249" s="53">
        <f t="shared" si="45"/>
        <v>1887161</v>
      </c>
      <c r="L249" s="53"/>
      <c r="M249" s="53">
        <v>4708747</v>
      </c>
      <c r="N249" s="53"/>
      <c r="O249" s="53">
        <v>6595908</v>
      </c>
      <c r="P249" s="53"/>
      <c r="Q249" s="53">
        <v>19519369</v>
      </c>
      <c r="R249" s="53"/>
      <c r="S249" s="53">
        <v>0</v>
      </c>
      <c r="T249" s="53"/>
      <c r="U249" s="53">
        <v>561725</v>
      </c>
      <c r="V249" s="53"/>
      <c r="W249" s="53">
        <f t="shared" si="46"/>
        <v>20081094</v>
      </c>
      <c r="X249" s="51"/>
      <c r="Y249" s="51"/>
      <c r="Z249" s="35" t="s">
        <v>282</v>
      </c>
      <c r="AA249" s="53"/>
      <c r="AB249" s="35" t="s">
        <v>199</v>
      </c>
      <c r="AC249" s="51"/>
      <c r="AD249" s="53">
        <v>4144965</v>
      </c>
      <c r="AE249" s="53"/>
      <c r="AF249" s="53">
        <f>4306022-1055553</f>
        <v>3250469</v>
      </c>
      <c r="AG249" s="53"/>
      <c r="AH249" s="53">
        <v>1055553</v>
      </c>
      <c r="AI249" s="53"/>
      <c r="AJ249" s="45">
        <f t="shared" si="52"/>
        <v>-161057</v>
      </c>
      <c r="AK249" s="45"/>
      <c r="AL249" s="53">
        <v>-141907</v>
      </c>
      <c r="AM249" s="45"/>
      <c r="AN249" s="53">
        <v>0</v>
      </c>
      <c r="AO249" s="53"/>
      <c r="AP249" s="53">
        <v>0</v>
      </c>
      <c r="AQ249" s="53"/>
      <c r="AR249" s="53">
        <v>0</v>
      </c>
      <c r="AS249" s="53"/>
      <c r="AT249" s="45">
        <f t="shared" si="53"/>
        <v>-302964</v>
      </c>
      <c r="AU249" s="45"/>
      <c r="AV249" s="53">
        <v>0</v>
      </c>
      <c r="AW249" s="53"/>
      <c r="AX249" s="53">
        <v>0</v>
      </c>
      <c r="AY249" s="53"/>
      <c r="AZ249" s="53">
        <f t="shared" si="54"/>
        <v>-369546</v>
      </c>
      <c r="BA249" s="51"/>
      <c r="BB249" s="35" t="s">
        <v>282</v>
      </c>
      <c r="BD249" s="35" t="s">
        <v>199</v>
      </c>
      <c r="BE249" s="53"/>
      <c r="BF249" s="53">
        <f>462900+2480000+900000+209124+1587994</f>
        <v>5640018</v>
      </c>
      <c r="BG249" s="53"/>
      <c r="BH249" s="53">
        <v>0</v>
      </c>
      <c r="BI249" s="53"/>
      <c r="BJ249" s="53">
        <v>0</v>
      </c>
      <c r="BK249" s="53"/>
      <c r="BL249" s="53">
        <f>318177+2962918</f>
        <v>3281095</v>
      </c>
      <c r="BM249" s="53"/>
      <c r="BN249" s="53">
        <f t="shared" si="50"/>
        <v>8921113</v>
      </c>
      <c r="BO249" s="54"/>
      <c r="BS249" s="55"/>
      <c r="BT249" s="55"/>
      <c r="BU249" s="84"/>
      <c r="BV249" s="55"/>
      <c r="BW249" s="55"/>
      <c r="BX249" s="55"/>
      <c r="BY249" s="55"/>
      <c r="BZ249" s="55"/>
      <c r="CA249" s="55"/>
      <c r="CB249" s="55"/>
      <c r="CC249" s="55"/>
      <c r="CD249" s="55"/>
      <c r="CE249" s="55"/>
      <c r="CF249" s="55"/>
      <c r="CG249" s="55"/>
      <c r="CH249" s="55"/>
      <c r="CI249" s="55"/>
      <c r="CJ249" s="55"/>
      <c r="CK249" s="55"/>
      <c r="CL249" s="55"/>
      <c r="CM249" s="55"/>
      <c r="CN249" s="55"/>
      <c r="CO249" s="55"/>
      <c r="CP249" s="55"/>
      <c r="CQ249" s="55"/>
    </row>
    <row r="250" spans="1:95" s="126" customFormat="1" ht="12.75" hidden="1" customHeight="1">
      <c r="A250" s="126" t="s">
        <v>283</v>
      </c>
      <c r="B250" s="124"/>
      <c r="C250" s="126" t="s">
        <v>43</v>
      </c>
      <c r="D250" s="121"/>
      <c r="E250" s="140">
        <f t="shared" si="51"/>
        <v>0</v>
      </c>
      <c r="F250" s="140"/>
      <c r="G250" s="140"/>
      <c r="H250" s="140"/>
      <c r="I250" s="140"/>
      <c r="J250" s="140"/>
      <c r="K250" s="140">
        <f t="shared" si="45"/>
        <v>0</v>
      </c>
      <c r="L250" s="140"/>
      <c r="M250" s="140"/>
      <c r="N250" s="140"/>
      <c r="O250" s="140"/>
      <c r="P250" s="140"/>
      <c r="Q250" s="140"/>
      <c r="R250" s="140"/>
      <c r="S250" s="140">
        <v>0</v>
      </c>
      <c r="T250" s="140"/>
      <c r="U250" s="140"/>
      <c r="V250" s="140"/>
      <c r="W250" s="140">
        <v>0</v>
      </c>
      <c r="X250" s="124"/>
      <c r="Y250" s="124"/>
      <c r="Z250" s="126" t="s">
        <v>283</v>
      </c>
      <c r="AA250" s="140"/>
      <c r="AB250" s="126" t="s">
        <v>43</v>
      </c>
      <c r="AC250" s="124"/>
      <c r="AD250" s="140"/>
      <c r="AE250" s="140"/>
      <c r="AF250" s="140"/>
      <c r="AG250" s="140"/>
      <c r="AH250" s="140"/>
      <c r="AI250" s="140"/>
      <c r="AJ250" s="127">
        <f t="shared" si="52"/>
        <v>0</v>
      </c>
      <c r="AK250" s="127"/>
      <c r="AL250" s="140"/>
      <c r="AM250" s="127"/>
      <c r="AN250" s="140"/>
      <c r="AO250" s="140"/>
      <c r="AP250" s="140"/>
      <c r="AQ250" s="140"/>
      <c r="AR250" s="140"/>
      <c r="AS250" s="140"/>
      <c r="AT250" s="127">
        <f t="shared" si="53"/>
        <v>0</v>
      </c>
      <c r="AU250" s="127"/>
      <c r="AV250" s="140">
        <v>0</v>
      </c>
      <c r="AW250" s="140"/>
      <c r="AX250" s="140">
        <v>0</v>
      </c>
      <c r="AY250" s="140"/>
      <c r="AZ250" s="140">
        <f t="shared" si="54"/>
        <v>0</v>
      </c>
      <c r="BA250" s="124"/>
      <c r="BB250" s="126" t="s">
        <v>283</v>
      </c>
      <c r="BD250" s="126" t="s">
        <v>43</v>
      </c>
      <c r="BE250" s="140"/>
      <c r="BF250" s="140"/>
      <c r="BG250" s="140"/>
      <c r="BH250" s="140"/>
      <c r="BI250" s="140"/>
      <c r="BJ250" s="140"/>
      <c r="BK250" s="140"/>
      <c r="BL250" s="140"/>
      <c r="BM250" s="140"/>
      <c r="BN250" s="140">
        <f t="shared" si="50"/>
        <v>0</v>
      </c>
      <c r="BO250" s="142"/>
      <c r="BS250" s="143"/>
      <c r="BT250" s="143"/>
      <c r="BU250" s="144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</row>
    <row r="251" spans="1:95" s="35" customFormat="1" ht="12.75" customHeight="1">
      <c r="A251" s="35" t="s">
        <v>284</v>
      </c>
      <c r="B251" s="51"/>
      <c r="C251" s="35" t="s">
        <v>45</v>
      </c>
      <c r="D251" s="44"/>
      <c r="E251" s="53">
        <f t="shared" si="51"/>
        <v>1428306</v>
      </c>
      <c r="F251" s="53"/>
      <c r="G251" s="53">
        <v>6535149</v>
      </c>
      <c r="H251" s="53"/>
      <c r="I251" s="53">
        <v>7963455</v>
      </c>
      <c r="J251" s="53"/>
      <c r="K251" s="53">
        <f t="shared" si="45"/>
        <v>1032300</v>
      </c>
      <c r="L251" s="53"/>
      <c r="M251" s="53">
        <v>5465312</v>
      </c>
      <c r="N251" s="53"/>
      <c r="O251" s="53">
        <v>6497612</v>
      </c>
      <c r="P251" s="53"/>
      <c r="Q251" s="53">
        <v>526502</v>
      </c>
      <c r="R251" s="53"/>
      <c r="S251" s="53">
        <v>179690</v>
      </c>
      <c r="T251" s="53"/>
      <c r="U251" s="53">
        <v>759651</v>
      </c>
      <c r="V251" s="53"/>
      <c r="W251" s="53">
        <f t="shared" si="46"/>
        <v>1465843</v>
      </c>
      <c r="X251" s="51"/>
      <c r="Y251" s="51"/>
      <c r="Z251" s="35" t="s">
        <v>284</v>
      </c>
      <c r="AA251" s="53"/>
      <c r="AB251" s="35" t="s">
        <v>45</v>
      </c>
      <c r="AC251" s="51"/>
      <c r="AD251" s="53">
        <v>1791952</v>
      </c>
      <c r="AE251" s="53"/>
      <c r="AF251" s="53">
        <f>1400837-201671</f>
        <v>1199166</v>
      </c>
      <c r="AG251" s="53"/>
      <c r="AH251" s="53">
        <v>201671</v>
      </c>
      <c r="AI251" s="53"/>
      <c r="AJ251" s="45">
        <f t="shared" si="52"/>
        <v>391115</v>
      </c>
      <c r="AK251" s="45"/>
      <c r="AL251" s="53">
        <v>-161814</v>
      </c>
      <c r="AM251" s="45"/>
      <c r="AN251" s="53">
        <v>0</v>
      </c>
      <c r="AO251" s="53"/>
      <c r="AP251" s="53">
        <v>-106136</v>
      </c>
      <c r="AQ251" s="53"/>
      <c r="AR251" s="53">
        <v>0</v>
      </c>
      <c r="AS251" s="53"/>
      <c r="AT251" s="45">
        <f t="shared" si="53"/>
        <v>335437</v>
      </c>
      <c r="AU251" s="45"/>
      <c r="AV251" s="53">
        <v>0</v>
      </c>
      <c r="AW251" s="53"/>
      <c r="AX251" s="53">
        <v>0</v>
      </c>
      <c r="AY251" s="53"/>
      <c r="AZ251" s="53">
        <f t="shared" si="54"/>
        <v>396006</v>
      </c>
      <c r="BA251" s="51"/>
      <c r="BB251" s="35" t="s">
        <v>284</v>
      </c>
      <c r="BD251" s="35" t="s">
        <v>45</v>
      </c>
      <c r="BE251" s="53"/>
      <c r="BF251" s="53">
        <v>5820337</v>
      </c>
      <c r="BG251" s="53"/>
      <c r="BH251" s="53">
        <v>0</v>
      </c>
      <c r="BI251" s="53"/>
      <c r="BJ251" s="53">
        <v>0</v>
      </c>
      <c r="BK251" s="53"/>
      <c r="BL251" s="53">
        <v>11786</v>
      </c>
      <c r="BM251" s="53"/>
      <c r="BN251" s="53">
        <f t="shared" si="50"/>
        <v>5832123</v>
      </c>
      <c r="BO251" s="54"/>
      <c r="BS251" s="55"/>
      <c r="BT251" s="55"/>
      <c r="BU251" s="84"/>
      <c r="BV251" s="55"/>
      <c r="BW251" s="55"/>
      <c r="BX251" s="55"/>
      <c r="BY251" s="55"/>
      <c r="BZ251" s="55"/>
      <c r="CA251" s="55"/>
      <c r="CB251" s="55"/>
      <c r="CC251" s="55"/>
      <c r="CD251" s="55"/>
      <c r="CE251" s="55"/>
      <c r="CF251" s="55"/>
      <c r="CG251" s="55"/>
      <c r="CH251" s="55"/>
      <c r="CI251" s="55"/>
      <c r="CJ251" s="55"/>
      <c r="CK251" s="55"/>
      <c r="CL251" s="55"/>
      <c r="CM251" s="55"/>
      <c r="CN251" s="55"/>
      <c r="CO251" s="55"/>
      <c r="CP251" s="55"/>
      <c r="CQ251" s="55"/>
    </row>
    <row r="252" spans="1:95" s="35" customFormat="1" ht="12.75" customHeight="1">
      <c r="A252" s="35" t="s">
        <v>285</v>
      </c>
      <c r="C252" s="35" t="s">
        <v>30</v>
      </c>
      <c r="D252" s="44"/>
      <c r="E252" s="53">
        <f t="shared" si="51"/>
        <v>3679142</v>
      </c>
      <c r="F252" s="53"/>
      <c r="G252" s="53">
        <v>8538903</v>
      </c>
      <c r="H252" s="53"/>
      <c r="I252" s="53">
        <v>12218045</v>
      </c>
      <c r="J252" s="53"/>
      <c r="K252" s="53">
        <f t="shared" si="45"/>
        <v>237927</v>
      </c>
      <c r="L252" s="53"/>
      <c r="M252" s="53">
        <v>938205</v>
      </c>
      <c r="N252" s="53"/>
      <c r="O252" s="53">
        <v>1176132</v>
      </c>
      <c r="P252" s="53"/>
      <c r="Q252" s="53">
        <v>7690312</v>
      </c>
      <c r="R252" s="53"/>
      <c r="S252" s="53">
        <v>0</v>
      </c>
      <c r="T252" s="53"/>
      <c r="U252" s="53">
        <v>2671670</v>
      </c>
      <c r="V252" s="53"/>
      <c r="W252" s="53">
        <f t="shared" si="46"/>
        <v>10361982</v>
      </c>
      <c r="Z252" s="35" t="s">
        <v>285</v>
      </c>
      <c r="AA252" s="53"/>
      <c r="AB252" s="35" t="s">
        <v>30</v>
      </c>
      <c r="AD252" s="53">
        <v>2930140</v>
      </c>
      <c r="AE252" s="53"/>
      <c r="AF252" s="53">
        <f>2811070-446150</f>
        <v>2364920</v>
      </c>
      <c r="AG252" s="53"/>
      <c r="AH252" s="53">
        <v>446150</v>
      </c>
      <c r="AI252" s="53"/>
      <c r="AJ252" s="45">
        <f t="shared" si="52"/>
        <v>119070</v>
      </c>
      <c r="AK252" s="45"/>
      <c r="AL252" s="53">
        <f>234727-38560</f>
        <v>196167</v>
      </c>
      <c r="AM252" s="45"/>
      <c r="AN252" s="53">
        <v>399999</v>
      </c>
      <c r="AO252" s="53"/>
      <c r="AP252" s="53">
        <v>399999</v>
      </c>
      <c r="AQ252" s="53"/>
      <c r="AR252" s="53">
        <v>569146</v>
      </c>
      <c r="AS252" s="53"/>
      <c r="AT252" s="45">
        <f t="shared" si="53"/>
        <v>884383</v>
      </c>
      <c r="AU252" s="45"/>
      <c r="AV252" s="53">
        <v>0</v>
      </c>
      <c r="AW252" s="53"/>
      <c r="AX252" s="53">
        <v>0</v>
      </c>
      <c r="AY252" s="53"/>
      <c r="AZ252" s="53">
        <f t="shared" si="54"/>
        <v>3441215</v>
      </c>
      <c r="BA252" s="51"/>
      <c r="BB252" s="35" t="s">
        <v>285</v>
      </c>
      <c r="BD252" s="35" t="s">
        <v>30</v>
      </c>
      <c r="BE252" s="53"/>
      <c r="BF252" s="53">
        <v>0</v>
      </c>
      <c r="BG252" s="53"/>
      <c r="BH252" s="53">
        <v>0</v>
      </c>
      <c r="BI252" s="53"/>
      <c r="BJ252" s="53">
        <v>0</v>
      </c>
      <c r="BK252" s="53"/>
      <c r="BL252" s="53">
        <v>418116</v>
      </c>
      <c r="BM252" s="53"/>
      <c r="BN252" s="53">
        <f t="shared" si="50"/>
        <v>418116</v>
      </c>
      <c r="BO252" s="54"/>
      <c r="BS252" s="55"/>
      <c r="BT252" s="55"/>
      <c r="BU252" s="84"/>
      <c r="BV252" s="55"/>
      <c r="BW252" s="55"/>
      <c r="BX252" s="55"/>
      <c r="BY252" s="55"/>
      <c r="BZ252" s="55"/>
      <c r="CA252" s="55"/>
      <c r="CB252" s="55"/>
      <c r="CC252" s="55"/>
      <c r="CD252" s="55"/>
      <c r="CE252" s="55"/>
      <c r="CF252" s="55"/>
      <c r="CG252" s="55"/>
      <c r="CH252" s="55"/>
      <c r="CI252" s="55"/>
      <c r="CJ252" s="55"/>
      <c r="CK252" s="55"/>
      <c r="CL252" s="55"/>
      <c r="CM252" s="55"/>
      <c r="CN252" s="55"/>
      <c r="CO252" s="55"/>
      <c r="CP252" s="55"/>
      <c r="CQ252" s="55"/>
    </row>
    <row r="253" spans="1:95" s="35" customFormat="1" ht="12.75" customHeight="1">
      <c r="A253" s="35" t="s">
        <v>286</v>
      </c>
      <c r="C253" s="35" t="s">
        <v>61</v>
      </c>
      <c r="D253" s="44"/>
      <c r="E253" s="53">
        <f t="shared" si="51"/>
        <v>4494975</v>
      </c>
      <c r="F253" s="53"/>
      <c r="G253" s="53">
        <v>21423835</v>
      </c>
      <c r="H253" s="53"/>
      <c r="I253" s="53">
        <v>25918810</v>
      </c>
      <c r="J253" s="53"/>
      <c r="K253" s="53">
        <f t="shared" si="45"/>
        <v>1763615</v>
      </c>
      <c r="L253" s="53"/>
      <c r="M253" s="53">
        <v>3965502</v>
      </c>
      <c r="N253" s="53"/>
      <c r="O253" s="53">
        <v>5729117</v>
      </c>
      <c r="P253" s="53"/>
      <c r="Q253" s="53">
        <v>18000691</v>
      </c>
      <c r="R253" s="53"/>
      <c r="S253" s="53">
        <v>0</v>
      </c>
      <c r="T253" s="53"/>
      <c r="U253" s="53">
        <v>2189002</v>
      </c>
      <c r="V253" s="53"/>
      <c r="W253" s="53">
        <f t="shared" si="46"/>
        <v>20189693</v>
      </c>
      <c r="X253" s="51"/>
      <c r="Y253" s="51"/>
      <c r="Z253" s="35" t="s">
        <v>286</v>
      </c>
      <c r="AA253" s="53"/>
      <c r="AB253" s="35" t="s">
        <v>61</v>
      </c>
      <c r="AC253" s="51"/>
      <c r="AD253" s="53">
        <v>22092501</v>
      </c>
      <c r="AE253" s="53"/>
      <c r="AF253" s="53">
        <f>21790627-4537</f>
        <v>21786090</v>
      </c>
      <c r="AG253" s="53"/>
      <c r="AH253" s="53">
        <v>4537</v>
      </c>
      <c r="AI253" s="53"/>
      <c r="AJ253" s="45">
        <f t="shared" si="52"/>
        <v>301874</v>
      </c>
      <c r="AK253" s="45"/>
      <c r="AL253" s="53">
        <v>-106402</v>
      </c>
      <c r="AM253" s="45"/>
      <c r="AN253" s="53">
        <v>116803</v>
      </c>
      <c r="AO253" s="53"/>
      <c r="AP253" s="53">
        <v>0</v>
      </c>
      <c r="AQ253" s="53"/>
      <c r="AR253" s="53">
        <v>-78996</v>
      </c>
      <c r="AS253" s="53"/>
      <c r="AT253" s="45">
        <f t="shared" si="53"/>
        <v>233279</v>
      </c>
      <c r="AU253" s="45"/>
      <c r="AV253" s="53">
        <v>0</v>
      </c>
      <c r="AW253" s="53"/>
      <c r="AX253" s="53">
        <v>0</v>
      </c>
      <c r="AY253" s="53"/>
      <c r="AZ253" s="53">
        <f t="shared" si="54"/>
        <v>2731360</v>
      </c>
      <c r="BA253" s="51"/>
      <c r="BB253" s="35" t="s">
        <v>286</v>
      </c>
      <c r="BD253" s="35" t="s">
        <v>61</v>
      </c>
      <c r="BE253" s="53"/>
      <c r="BF253" s="53">
        <v>435000</v>
      </c>
      <c r="BG253" s="53"/>
      <c r="BH253" s="53">
        <v>1086805</v>
      </c>
      <c r="BI253" s="53"/>
      <c r="BJ253" s="53">
        <v>7431774</v>
      </c>
      <c r="BK253" s="53"/>
      <c r="BL253" s="53">
        <v>1728057</v>
      </c>
      <c r="BM253" s="53"/>
      <c r="BN253" s="53">
        <f t="shared" si="50"/>
        <v>10681636</v>
      </c>
      <c r="BO253" s="54"/>
      <c r="BS253" s="55"/>
      <c r="BT253" s="55"/>
      <c r="BU253" s="84"/>
      <c r="BV253" s="55"/>
      <c r="BW253" s="55"/>
      <c r="BX253" s="55"/>
      <c r="BY253" s="55"/>
      <c r="BZ253" s="55"/>
      <c r="CA253" s="55"/>
      <c r="CB253" s="55"/>
      <c r="CC253" s="55"/>
      <c r="CD253" s="55"/>
      <c r="CE253" s="55"/>
      <c r="CF253" s="55"/>
      <c r="CG253" s="55"/>
      <c r="CH253" s="55"/>
      <c r="CI253" s="55"/>
      <c r="CJ253" s="55"/>
      <c r="CK253" s="55"/>
      <c r="CL253" s="55"/>
      <c r="CM253" s="55"/>
      <c r="CN253" s="55"/>
      <c r="CO253" s="55"/>
      <c r="CP253" s="55"/>
      <c r="CQ253" s="55"/>
    </row>
    <row r="254" spans="1:95" s="35" customFormat="1" ht="12.75" customHeight="1">
      <c r="A254" s="35" t="s">
        <v>287</v>
      </c>
      <c r="C254" s="35" t="s">
        <v>288</v>
      </c>
      <c r="D254" s="44"/>
      <c r="E254" s="53">
        <f t="shared" si="51"/>
        <v>3598008</v>
      </c>
      <c r="F254" s="53"/>
      <c r="G254" s="53">
        <v>4711904</v>
      </c>
      <c r="H254" s="53"/>
      <c r="I254" s="53">
        <v>8309912</v>
      </c>
      <c r="J254" s="53"/>
      <c r="K254" s="53">
        <f t="shared" si="45"/>
        <v>1217353</v>
      </c>
      <c r="L254" s="53"/>
      <c r="M254" s="53">
        <v>2356998</v>
      </c>
      <c r="N254" s="53"/>
      <c r="O254" s="53">
        <v>3574351</v>
      </c>
      <c r="P254" s="53"/>
      <c r="Q254" s="53">
        <v>1974151</v>
      </c>
      <c r="R254" s="53"/>
      <c r="S254" s="53">
        <v>0</v>
      </c>
      <c r="T254" s="53"/>
      <c r="U254" s="53">
        <v>2761410</v>
      </c>
      <c r="V254" s="53"/>
      <c r="W254" s="53">
        <f t="shared" si="46"/>
        <v>4735561</v>
      </c>
      <c r="X254" s="51"/>
      <c r="Y254" s="51"/>
      <c r="Z254" s="35" t="s">
        <v>287</v>
      </c>
      <c r="AA254" s="53"/>
      <c r="AB254" s="35" t="s">
        <v>288</v>
      </c>
      <c r="AD254" s="53">
        <v>4931067</v>
      </c>
      <c r="AE254" s="53"/>
      <c r="AF254" s="53">
        <f>4588701-183678</f>
        <v>4405023</v>
      </c>
      <c r="AG254" s="53"/>
      <c r="AH254" s="53">
        <v>183678</v>
      </c>
      <c r="AI254" s="53"/>
      <c r="AJ254" s="45">
        <f t="shared" si="52"/>
        <v>342366</v>
      </c>
      <c r="AK254" s="45"/>
      <c r="AL254" s="53">
        <v>-137107</v>
      </c>
      <c r="AM254" s="45"/>
      <c r="AN254" s="53">
        <v>0</v>
      </c>
      <c r="AO254" s="53"/>
      <c r="AP254" s="53">
        <v>0</v>
      </c>
      <c r="AQ254" s="53"/>
      <c r="AR254" s="53">
        <v>0</v>
      </c>
      <c r="AS254" s="53"/>
      <c r="AT254" s="45">
        <f t="shared" si="53"/>
        <v>205259</v>
      </c>
      <c r="AU254" s="45"/>
      <c r="AV254" s="53">
        <v>0</v>
      </c>
      <c r="AW254" s="53"/>
      <c r="AX254" s="53">
        <v>0</v>
      </c>
      <c r="AY254" s="53"/>
      <c r="AZ254" s="53">
        <f t="shared" si="54"/>
        <v>2380655</v>
      </c>
      <c r="BA254" s="51"/>
      <c r="BB254" s="35" t="s">
        <v>287</v>
      </c>
      <c r="BD254" s="35" t="s">
        <v>288</v>
      </c>
      <c r="BE254" s="53"/>
      <c r="BF254" s="53">
        <v>760000</v>
      </c>
      <c r="BG254" s="53"/>
      <c r="BH254" s="53">
        <v>0</v>
      </c>
      <c r="BI254" s="53"/>
      <c r="BJ254" s="53">
        <f>1761930+215823</f>
        <v>1977753</v>
      </c>
      <c r="BK254" s="53"/>
      <c r="BL254" s="53">
        <v>367122</v>
      </c>
      <c r="BM254" s="53"/>
      <c r="BN254" s="53">
        <f t="shared" si="50"/>
        <v>3104875</v>
      </c>
      <c r="BO254" s="54"/>
      <c r="BS254" s="55"/>
      <c r="BT254" s="55"/>
      <c r="BU254" s="84"/>
      <c r="BV254" s="55"/>
      <c r="BW254" s="55"/>
      <c r="BX254" s="55"/>
      <c r="BY254" s="55"/>
      <c r="BZ254" s="55"/>
      <c r="CA254" s="55"/>
      <c r="CB254" s="55"/>
      <c r="CC254" s="55"/>
      <c r="CD254" s="55"/>
      <c r="CE254" s="55"/>
      <c r="CF254" s="55"/>
      <c r="CG254" s="55"/>
      <c r="CH254" s="55"/>
      <c r="CI254" s="55"/>
      <c r="CJ254" s="55"/>
      <c r="CK254" s="55"/>
      <c r="CL254" s="55"/>
      <c r="CM254" s="55"/>
      <c r="CN254" s="55"/>
      <c r="CO254" s="55"/>
      <c r="CP254" s="55"/>
      <c r="CQ254" s="55"/>
    </row>
    <row r="255" spans="1:95" s="35" customFormat="1" ht="12.75" customHeight="1">
      <c r="B255" s="51"/>
      <c r="D255" s="44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1"/>
      <c r="Y255" s="51"/>
      <c r="AA255" s="53"/>
      <c r="AC255" s="51"/>
      <c r="AD255" s="53"/>
      <c r="AE255" s="53"/>
      <c r="AF255" s="53"/>
      <c r="AG255" s="53"/>
      <c r="AH255" s="53"/>
      <c r="AI255" s="53"/>
      <c r="AJ255" s="45"/>
      <c r="AK255" s="45"/>
      <c r="AL255" s="53"/>
      <c r="AM255" s="45"/>
      <c r="AN255" s="53"/>
      <c r="AO255" s="53"/>
      <c r="AP255" s="53"/>
      <c r="AQ255" s="53"/>
      <c r="AR255" s="53"/>
      <c r="AS255" s="53"/>
      <c r="AT255" s="45"/>
      <c r="AU255" s="45"/>
      <c r="AV255" s="53"/>
      <c r="AW255" s="53"/>
      <c r="AX255" s="53"/>
      <c r="AY255" s="53"/>
      <c r="AZ255" s="53"/>
      <c r="BA255" s="51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4"/>
      <c r="BS255" s="55"/>
      <c r="BT255" s="55"/>
      <c r="BU255" s="84"/>
      <c r="BV255" s="55"/>
      <c r="BW255" s="55"/>
      <c r="BX255" s="55"/>
      <c r="BY255" s="55"/>
      <c r="BZ255" s="55"/>
      <c r="CA255" s="55"/>
      <c r="CB255" s="55"/>
      <c r="CC255" s="55"/>
      <c r="CD255" s="55"/>
      <c r="CE255" s="55"/>
      <c r="CF255" s="55"/>
      <c r="CG255" s="55"/>
      <c r="CH255" s="55"/>
      <c r="CI255" s="55"/>
      <c r="CJ255" s="55"/>
      <c r="CK255" s="55"/>
      <c r="CL255" s="55"/>
      <c r="CM255" s="55"/>
      <c r="CN255" s="55"/>
      <c r="CO255" s="55"/>
      <c r="CP255" s="55"/>
      <c r="CQ255" s="55"/>
    </row>
    <row r="256" spans="1:95" s="35" customFormat="1" ht="12.75" customHeight="1">
      <c r="B256" s="51"/>
      <c r="D256" s="44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1"/>
      <c r="Y256" s="51"/>
      <c r="AA256" s="47"/>
      <c r="AC256" s="51"/>
      <c r="AD256" s="53"/>
      <c r="AE256" s="53"/>
      <c r="AF256" s="53"/>
      <c r="AG256" s="53"/>
      <c r="AH256" s="53"/>
      <c r="AI256" s="53"/>
      <c r="AJ256" s="45"/>
      <c r="AK256" s="45"/>
      <c r="AL256" s="45"/>
      <c r="AM256" s="45"/>
      <c r="AN256" s="53"/>
      <c r="AO256" s="53"/>
      <c r="AP256" s="53"/>
      <c r="AQ256" s="53"/>
      <c r="AR256" s="53"/>
      <c r="AS256" s="53"/>
      <c r="AT256" s="45"/>
      <c r="AU256" s="45"/>
      <c r="AV256" s="53"/>
      <c r="AW256" s="53"/>
      <c r="AX256" s="53"/>
      <c r="AY256" s="53"/>
      <c r="AZ256" s="53"/>
      <c r="BA256" s="51"/>
      <c r="BB256" s="55"/>
      <c r="BC256" s="55"/>
      <c r="BD256" s="55"/>
      <c r="BE256" s="55"/>
      <c r="BF256" s="53"/>
      <c r="BG256" s="53"/>
      <c r="BH256" s="53"/>
      <c r="BI256" s="53"/>
      <c r="BJ256" s="53"/>
      <c r="BK256" s="53"/>
      <c r="BL256" s="53"/>
      <c r="BM256" s="53"/>
      <c r="BN256" s="53"/>
      <c r="BO256" s="55"/>
      <c r="BP256" s="55"/>
      <c r="BQ256" s="55"/>
      <c r="BR256" s="55"/>
      <c r="BS256" s="55"/>
      <c r="BT256" s="55"/>
      <c r="BU256" s="84"/>
      <c r="BV256" s="55"/>
      <c r="BW256" s="55"/>
      <c r="BX256" s="55"/>
      <c r="BY256" s="55"/>
      <c r="BZ256" s="55"/>
      <c r="CA256" s="55"/>
      <c r="CB256" s="55"/>
      <c r="CC256" s="55"/>
      <c r="CD256" s="55"/>
      <c r="CE256" s="55"/>
      <c r="CF256" s="55"/>
      <c r="CG256" s="55"/>
      <c r="CH256" s="55"/>
      <c r="CI256" s="55"/>
      <c r="CJ256" s="55"/>
      <c r="CK256" s="55"/>
      <c r="CL256" s="55"/>
      <c r="CM256" s="55"/>
      <c r="CN256" s="55"/>
      <c r="CO256" s="55"/>
      <c r="CP256" s="55"/>
      <c r="CQ256" s="55"/>
    </row>
    <row r="257" spans="2:95" s="35" customFormat="1" ht="12.75" customHeight="1">
      <c r="B257" s="51"/>
      <c r="D257" s="44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1"/>
      <c r="Y257" s="51"/>
      <c r="AA257" s="47"/>
      <c r="AC257" s="51"/>
      <c r="AD257" s="53"/>
      <c r="AE257" s="53"/>
      <c r="AF257" s="53"/>
      <c r="AG257" s="53"/>
      <c r="AH257" s="53"/>
      <c r="AI257" s="53"/>
      <c r="AJ257" s="45"/>
      <c r="AK257" s="45"/>
      <c r="AL257" s="45"/>
      <c r="AM257" s="45"/>
      <c r="AN257" s="53"/>
      <c r="AO257" s="53"/>
      <c r="AP257" s="53"/>
      <c r="AQ257" s="53"/>
      <c r="AR257" s="53"/>
      <c r="AS257" s="53"/>
      <c r="AT257" s="45"/>
      <c r="AU257" s="45"/>
      <c r="AV257" s="53"/>
      <c r="AW257" s="53"/>
      <c r="AX257" s="53"/>
      <c r="AY257" s="53"/>
      <c r="AZ257" s="53"/>
      <c r="BA257" s="51"/>
      <c r="BB257" s="55"/>
      <c r="BC257" s="55"/>
      <c r="BD257" s="55"/>
      <c r="BE257" s="55"/>
      <c r="BF257" s="53"/>
      <c r="BG257" s="53"/>
      <c r="BH257" s="53"/>
      <c r="BI257" s="53"/>
      <c r="BJ257" s="53"/>
      <c r="BK257" s="53"/>
      <c r="BL257" s="53"/>
      <c r="BM257" s="53"/>
      <c r="BN257" s="53"/>
      <c r="BO257" s="55"/>
      <c r="BP257" s="55"/>
      <c r="BQ257" s="55"/>
      <c r="BR257" s="55"/>
      <c r="BS257" s="55"/>
      <c r="BT257" s="55"/>
      <c r="BU257" s="84"/>
      <c r="BV257" s="55"/>
      <c r="BW257" s="55"/>
      <c r="BX257" s="55"/>
      <c r="BY257" s="55"/>
      <c r="BZ257" s="55"/>
      <c r="CA257" s="55"/>
      <c r="CB257" s="55"/>
      <c r="CC257" s="55"/>
      <c r="CD257" s="55"/>
      <c r="CE257" s="55"/>
      <c r="CF257" s="55"/>
      <c r="CG257" s="55"/>
      <c r="CH257" s="55"/>
      <c r="CI257" s="55"/>
      <c r="CJ257" s="55"/>
      <c r="CK257" s="55"/>
      <c r="CL257" s="55"/>
      <c r="CM257" s="55"/>
      <c r="CN257" s="55"/>
      <c r="CO257" s="55"/>
      <c r="CP257" s="55"/>
      <c r="CQ257" s="55"/>
    </row>
    <row r="258" spans="2:95" s="35" customFormat="1" ht="12.75" customHeight="1">
      <c r="D258" s="44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AA258" s="53"/>
      <c r="AD258" s="53"/>
      <c r="AE258" s="53"/>
      <c r="AF258" s="53"/>
      <c r="AG258" s="53"/>
      <c r="AH258" s="53"/>
      <c r="AI258" s="53"/>
      <c r="AJ258" s="45"/>
      <c r="AK258" s="45"/>
      <c r="AL258" s="45"/>
      <c r="AM258" s="45"/>
      <c r="AN258" s="53"/>
      <c r="AO258" s="53"/>
      <c r="AP258" s="53"/>
      <c r="AQ258" s="53"/>
      <c r="AR258" s="53"/>
      <c r="AS258" s="53"/>
      <c r="AT258" s="45"/>
      <c r="AU258" s="45"/>
      <c r="AV258" s="53"/>
      <c r="AW258" s="53"/>
      <c r="AX258" s="53"/>
      <c r="AY258" s="53"/>
      <c r="AZ258" s="53"/>
      <c r="BA258" s="51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4"/>
      <c r="BS258" s="55"/>
      <c r="BT258" s="55"/>
      <c r="BU258" s="84"/>
      <c r="BV258" s="55"/>
      <c r="BW258" s="55"/>
      <c r="BX258" s="55"/>
      <c r="BY258" s="55"/>
      <c r="BZ258" s="55"/>
      <c r="CA258" s="55"/>
      <c r="CB258" s="55"/>
      <c r="CC258" s="55"/>
      <c r="CD258" s="55"/>
      <c r="CE258" s="55"/>
      <c r="CF258" s="55"/>
      <c r="CG258" s="55"/>
      <c r="CH258" s="55"/>
      <c r="CI258" s="55"/>
      <c r="CJ258" s="55"/>
      <c r="CK258" s="55"/>
      <c r="CL258" s="55"/>
      <c r="CM258" s="55"/>
      <c r="CN258" s="55"/>
      <c r="CO258" s="55"/>
      <c r="CP258" s="55"/>
      <c r="CQ258" s="55"/>
    </row>
    <row r="259" spans="2:95" s="35" customFormat="1" ht="12.75" customHeight="1">
      <c r="D259" s="44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AA259" s="53"/>
      <c r="AD259" s="53"/>
      <c r="AE259" s="53"/>
      <c r="AF259" s="53"/>
      <c r="AG259" s="53"/>
      <c r="AH259" s="53"/>
      <c r="AI259" s="53"/>
      <c r="AJ259" s="45"/>
      <c r="AK259" s="45"/>
      <c r="AL259" s="45"/>
      <c r="AM259" s="45"/>
      <c r="AN259" s="53"/>
      <c r="AO259" s="53"/>
      <c r="AP259" s="53"/>
      <c r="AQ259" s="53"/>
      <c r="AR259" s="53"/>
      <c r="AS259" s="53"/>
      <c r="AT259" s="45"/>
      <c r="AU259" s="45"/>
      <c r="AV259" s="53"/>
      <c r="AW259" s="53"/>
      <c r="AX259" s="53"/>
      <c r="AY259" s="53"/>
      <c r="AZ259" s="53"/>
      <c r="BA259" s="51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4"/>
      <c r="BS259" s="55"/>
      <c r="BT259" s="55"/>
      <c r="BU259" s="84"/>
      <c r="BV259" s="55"/>
      <c r="BW259" s="55"/>
      <c r="BX259" s="55"/>
      <c r="BY259" s="55"/>
      <c r="BZ259" s="55"/>
      <c r="CA259" s="55"/>
      <c r="CB259" s="55"/>
      <c r="CC259" s="55"/>
      <c r="CD259" s="55"/>
      <c r="CE259" s="55"/>
      <c r="CF259" s="55"/>
      <c r="CG259" s="55"/>
      <c r="CH259" s="55"/>
      <c r="CI259" s="55"/>
      <c r="CJ259" s="55"/>
      <c r="CK259" s="55"/>
      <c r="CL259" s="55"/>
      <c r="CM259" s="55"/>
      <c r="CN259" s="55"/>
      <c r="CO259" s="55"/>
      <c r="CP259" s="55"/>
      <c r="CQ259" s="55"/>
    </row>
    <row r="260" spans="2:95" s="35" customFormat="1" ht="12.75" customHeight="1">
      <c r="B260" s="51"/>
      <c r="D260" s="44"/>
      <c r="X260" s="51"/>
      <c r="Y260" s="51"/>
      <c r="AA260" s="47"/>
      <c r="AC260" s="51"/>
      <c r="AT260" s="45"/>
      <c r="AU260" s="45"/>
      <c r="BA260" s="51"/>
      <c r="BC260" s="47"/>
      <c r="BO260" s="54"/>
      <c r="BS260" s="55"/>
      <c r="BT260" s="55"/>
      <c r="BU260" s="84"/>
      <c r="BV260" s="55"/>
      <c r="BW260" s="55"/>
      <c r="BX260" s="55"/>
      <c r="BY260" s="55"/>
      <c r="BZ260" s="55"/>
      <c r="CA260" s="55"/>
      <c r="CB260" s="55"/>
      <c r="CC260" s="55"/>
      <c r="CD260" s="55"/>
      <c r="CE260" s="55"/>
      <c r="CF260" s="55"/>
      <c r="CG260" s="55"/>
      <c r="CH260" s="55"/>
      <c r="CI260" s="55"/>
      <c r="CJ260" s="55"/>
      <c r="CK260" s="55"/>
      <c r="CL260" s="55"/>
      <c r="CM260" s="55"/>
      <c r="CN260" s="55"/>
      <c r="CO260" s="55"/>
      <c r="CP260" s="55"/>
      <c r="CQ260" s="55"/>
    </row>
    <row r="261" spans="2:95" s="35" customFormat="1" ht="12.75" customHeight="1">
      <c r="B261" s="51"/>
      <c r="D261" s="44"/>
      <c r="X261" s="51"/>
      <c r="Y261" s="51"/>
      <c r="AA261" s="47"/>
      <c r="AC261" s="51"/>
      <c r="BA261" s="51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84"/>
      <c r="BV261" s="55"/>
      <c r="BW261" s="55"/>
      <c r="BX261" s="55"/>
      <c r="BY261" s="55"/>
      <c r="BZ261" s="55"/>
      <c r="CA261" s="55"/>
      <c r="CB261" s="55"/>
      <c r="CC261" s="55"/>
      <c r="CD261" s="55"/>
      <c r="CE261" s="55"/>
      <c r="CF261" s="55"/>
      <c r="CG261" s="55"/>
      <c r="CH261" s="55"/>
      <c r="CI261" s="55"/>
      <c r="CJ261" s="55"/>
      <c r="CK261" s="55"/>
      <c r="CL261" s="55"/>
      <c r="CM261" s="55"/>
      <c r="CN261" s="55"/>
      <c r="CO261" s="55"/>
      <c r="CP261" s="55"/>
      <c r="CQ261" s="55"/>
    </row>
    <row r="262" spans="2:95" s="35" customFormat="1" ht="12.75" customHeight="1">
      <c r="B262" s="51"/>
      <c r="D262" s="44"/>
      <c r="X262" s="51"/>
      <c r="Y262" s="51"/>
      <c r="AA262" s="47"/>
      <c r="AC262" s="51"/>
      <c r="BA262" s="51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84"/>
      <c r="BV262" s="55"/>
      <c r="BW262" s="55"/>
      <c r="BX262" s="55"/>
      <c r="BY262" s="55"/>
      <c r="BZ262" s="55"/>
      <c r="CA262" s="55"/>
      <c r="CB262" s="55"/>
      <c r="CC262" s="55"/>
      <c r="CD262" s="55"/>
      <c r="CE262" s="55"/>
      <c r="CF262" s="55"/>
      <c r="CG262" s="55"/>
      <c r="CH262" s="55"/>
      <c r="CI262" s="55"/>
      <c r="CJ262" s="55"/>
      <c r="CK262" s="55"/>
      <c r="CL262" s="55"/>
      <c r="CM262" s="55"/>
      <c r="CN262" s="55"/>
      <c r="CO262" s="55"/>
      <c r="CP262" s="55"/>
      <c r="CQ262" s="55"/>
    </row>
    <row r="263" spans="2:95" s="35" customFormat="1" ht="12.75" customHeight="1">
      <c r="B263" s="51"/>
      <c r="D263" s="44"/>
      <c r="X263" s="51"/>
      <c r="Y263" s="51"/>
      <c r="AA263" s="47"/>
      <c r="AC263" s="51"/>
      <c r="AN263" s="51"/>
      <c r="AO263" s="51"/>
      <c r="AP263" s="51"/>
      <c r="AQ263" s="51"/>
      <c r="AR263" s="51"/>
      <c r="AS263" s="51"/>
      <c r="AT263" s="51"/>
      <c r="AU263" s="51"/>
      <c r="AV263" s="51"/>
      <c r="AW263" s="51"/>
      <c r="AX263" s="51"/>
      <c r="AY263" s="51"/>
      <c r="AZ263" s="65"/>
      <c r="BA263" s="51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84"/>
      <c r="BV263" s="55"/>
      <c r="BW263" s="55"/>
      <c r="BX263" s="55"/>
      <c r="BY263" s="55"/>
      <c r="BZ263" s="55"/>
      <c r="CA263" s="55"/>
      <c r="CB263" s="55"/>
      <c r="CC263" s="55"/>
      <c r="CD263" s="55"/>
      <c r="CE263" s="55"/>
      <c r="CF263" s="55"/>
      <c r="CG263" s="55"/>
      <c r="CH263" s="55"/>
      <c r="CI263" s="55"/>
      <c r="CJ263" s="55"/>
      <c r="CK263" s="55"/>
      <c r="CL263" s="55"/>
      <c r="CM263" s="55"/>
      <c r="CN263" s="55"/>
      <c r="CO263" s="55"/>
      <c r="CP263" s="55"/>
      <c r="CQ263" s="55"/>
    </row>
    <row r="264" spans="2:95" s="35" customFormat="1" ht="12.75" customHeight="1">
      <c r="B264" s="51"/>
      <c r="D264" s="44"/>
      <c r="M264" s="53"/>
      <c r="X264" s="51"/>
      <c r="Y264" s="51"/>
      <c r="AA264" s="47"/>
      <c r="AC264" s="51"/>
      <c r="AN264" s="51"/>
      <c r="AO264" s="51"/>
      <c r="AP264" s="51"/>
      <c r="AQ264" s="51"/>
      <c r="AR264" s="51"/>
      <c r="AS264" s="51"/>
      <c r="AT264" s="51"/>
      <c r="AU264" s="51"/>
      <c r="AV264" s="51"/>
      <c r="AW264" s="51"/>
      <c r="AX264" s="51"/>
      <c r="AY264" s="51"/>
      <c r="AZ264" s="65"/>
      <c r="BA264" s="51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84"/>
      <c r="BV264" s="55"/>
      <c r="BW264" s="55"/>
      <c r="BX264" s="55"/>
      <c r="BY264" s="55"/>
      <c r="BZ264" s="55"/>
      <c r="CA264" s="55"/>
      <c r="CB264" s="55"/>
      <c r="CC264" s="55"/>
      <c r="CD264" s="55"/>
      <c r="CE264" s="55"/>
      <c r="CF264" s="55"/>
      <c r="CG264" s="55"/>
      <c r="CH264" s="55"/>
      <c r="CI264" s="55"/>
      <c r="CJ264" s="55"/>
      <c r="CK264" s="55"/>
      <c r="CL264" s="55"/>
      <c r="CM264" s="55"/>
      <c r="CN264" s="55"/>
      <c r="CO264" s="55"/>
      <c r="CP264" s="55"/>
      <c r="CQ264" s="55"/>
    </row>
    <row r="265" spans="2:95" s="35" customFormat="1" ht="12.75" customHeight="1">
      <c r="B265" s="51"/>
      <c r="D265" s="44"/>
      <c r="X265" s="51"/>
      <c r="Y265" s="51"/>
      <c r="AA265" s="47"/>
      <c r="AC265" s="51"/>
      <c r="AN265" s="51"/>
      <c r="AO265" s="51"/>
      <c r="AP265" s="51"/>
      <c r="AQ265" s="51"/>
      <c r="AR265" s="51"/>
      <c r="AS265" s="51"/>
      <c r="AT265" s="51"/>
      <c r="AU265" s="51"/>
      <c r="AV265" s="51"/>
      <c r="AW265" s="51"/>
      <c r="AX265" s="51"/>
      <c r="AY265" s="51"/>
      <c r="AZ265" s="65"/>
      <c r="BA265" s="51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84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</row>
    <row r="266" spans="2:95" s="35" customFormat="1" ht="12.75" customHeight="1">
      <c r="B266" s="51"/>
      <c r="D266" s="44"/>
      <c r="X266" s="51"/>
      <c r="Y266" s="51"/>
      <c r="AA266" s="47"/>
      <c r="AC266" s="51"/>
      <c r="AN266" s="51"/>
      <c r="AO266" s="51"/>
      <c r="AP266" s="51"/>
      <c r="AQ266" s="51"/>
      <c r="AR266" s="51"/>
      <c r="AS266" s="51"/>
      <c r="AT266" s="51"/>
      <c r="AU266" s="51"/>
      <c r="AV266" s="51"/>
      <c r="AW266" s="51"/>
      <c r="AX266" s="51"/>
      <c r="AY266" s="51"/>
      <c r="AZ266" s="65"/>
      <c r="BA266" s="51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84"/>
      <c r="BV266" s="55"/>
      <c r="BW266" s="55"/>
      <c r="BX266" s="55"/>
      <c r="BY266" s="55"/>
      <c r="BZ266" s="55"/>
      <c r="CA266" s="55"/>
      <c r="CB266" s="55"/>
      <c r="CC266" s="55"/>
      <c r="CD266" s="55"/>
      <c r="CE266" s="55"/>
      <c r="CF266" s="55"/>
      <c r="CG266" s="55"/>
      <c r="CH266" s="55"/>
      <c r="CI266" s="55"/>
      <c r="CJ266" s="55"/>
      <c r="CK266" s="55"/>
      <c r="CL266" s="55"/>
      <c r="CM266" s="55"/>
      <c r="CN266" s="55"/>
      <c r="CO266" s="55"/>
      <c r="CP266" s="55"/>
      <c r="CQ266" s="55"/>
    </row>
    <row r="267" spans="2:95" s="35" customFormat="1" ht="12.75" customHeight="1">
      <c r="B267" s="51"/>
      <c r="D267" s="44"/>
      <c r="X267" s="51"/>
      <c r="Y267" s="51"/>
      <c r="AA267" s="47"/>
      <c r="AC267" s="51"/>
      <c r="AN267" s="51"/>
      <c r="AO267" s="51"/>
      <c r="AP267" s="51"/>
      <c r="AQ267" s="51"/>
      <c r="AR267" s="51"/>
      <c r="AS267" s="51"/>
      <c r="AT267" s="51"/>
      <c r="AU267" s="51"/>
      <c r="AV267" s="51"/>
      <c r="AW267" s="51"/>
      <c r="AX267" s="51"/>
      <c r="AY267" s="51"/>
      <c r="AZ267" s="65"/>
      <c r="BA267" s="51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84"/>
      <c r="BV267" s="55"/>
      <c r="BW267" s="55"/>
      <c r="BX267" s="55"/>
      <c r="BY267" s="55"/>
      <c r="BZ267" s="55"/>
      <c r="CA267" s="55"/>
      <c r="CB267" s="55"/>
      <c r="CC267" s="55"/>
      <c r="CD267" s="55"/>
      <c r="CE267" s="55"/>
      <c r="CF267" s="55"/>
      <c r="CG267" s="55"/>
      <c r="CH267" s="55"/>
      <c r="CI267" s="55"/>
      <c r="CJ267" s="55"/>
      <c r="CK267" s="55"/>
      <c r="CL267" s="55"/>
      <c r="CM267" s="55"/>
      <c r="CN267" s="55"/>
      <c r="CO267" s="55"/>
      <c r="CP267" s="55"/>
      <c r="CQ267" s="55"/>
    </row>
    <row r="268" spans="2:95" s="35" customFormat="1" ht="12.75" customHeight="1">
      <c r="B268" s="51"/>
      <c r="D268" s="44"/>
      <c r="X268" s="51"/>
      <c r="Y268" s="51"/>
      <c r="AA268" s="47"/>
      <c r="AC268" s="51"/>
      <c r="AN268" s="51"/>
      <c r="AO268" s="51"/>
      <c r="AP268" s="51"/>
      <c r="AQ268" s="51"/>
      <c r="AR268" s="51"/>
      <c r="AS268" s="51"/>
      <c r="AT268" s="51"/>
      <c r="AU268" s="51"/>
      <c r="AV268" s="51"/>
      <c r="AW268" s="51"/>
      <c r="AX268" s="51"/>
      <c r="AY268" s="51"/>
      <c r="AZ268" s="65"/>
      <c r="BA268" s="51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84"/>
      <c r="BV268" s="55"/>
      <c r="BW268" s="55"/>
      <c r="BX268" s="55"/>
      <c r="BY268" s="55"/>
      <c r="BZ268" s="55"/>
      <c r="CA268" s="55"/>
      <c r="CB268" s="55"/>
      <c r="CC268" s="55"/>
      <c r="CD268" s="55"/>
      <c r="CE268" s="55"/>
      <c r="CF268" s="55"/>
      <c r="CG268" s="55"/>
      <c r="CH268" s="55"/>
      <c r="CI268" s="55"/>
      <c r="CJ268" s="55"/>
      <c r="CK268" s="55"/>
      <c r="CL268" s="55"/>
      <c r="CM268" s="55"/>
      <c r="CN268" s="55"/>
      <c r="CO268" s="55"/>
      <c r="CP268" s="55"/>
      <c r="CQ268" s="55"/>
    </row>
    <row r="269" spans="2:95" s="35" customFormat="1" ht="12.75" customHeight="1">
      <c r="B269" s="51"/>
      <c r="D269" s="44"/>
      <c r="X269" s="51"/>
      <c r="Y269" s="51"/>
      <c r="AA269" s="47"/>
      <c r="AC269" s="51"/>
      <c r="AN269" s="51"/>
      <c r="AO269" s="51"/>
      <c r="AP269" s="51"/>
      <c r="AQ269" s="51"/>
      <c r="AR269" s="51"/>
      <c r="AS269" s="51"/>
      <c r="AT269" s="51"/>
      <c r="AU269" s="51"/>
      <c r="AV269" s="51"/>
      <c r="AW269" s="51"/>
      <c r="AX269" s="51"/>
      <c r="AY269" s="51"/>
      <c r="AZ269" s="65"/>
      <c r="BA269" s="51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84"/>
      <c r="BV269" s="55"/>
      <c r="BW269" s="55"/>
      <c r="BX269" s="55"/>
      <c r="BY269" s="55"/>
      <c r="BZ269" s="55"/>
      <c r="CA269" s="55"/>
      <c r="CB269" s="55"/>
      <c r="CC269" s="55"/>
      <c r="CD269" s="55"/>
      <c r="CE269" s="55"/>
      <c r="CF269" s="55"/>
      <c r="CG269" s="55"/>
      <c r="CH269" s="55"/>
      <c r="CI269" s="55"/>
      <c r="CJ269" s="55"/>
      <c r="CK269" s="55"/>
      <c r="CL269" s="55"/>
      <c r="CM269" s="55"/>
      <c r="CN269" s="55"/>
      <c r="CO269" s="55"/>
      <c r="CP269" s="55"/>
      <c r="CQ269" s="55"/>
    </row>
    <row r="270" spans="2:95" s="35" customFormat="1" ht="12.75" customHeight="1">
      <c r="B270" s="51"/>
      <c r="D270" s="44"/>
      <c r="X270" s="51"/>
      <c r="Y270" s="51"/>
      <c r="AA270" s="47"/>
      <c r="AC270" s="51"/>
      <c r="AN270" s="51"/>
      <c r="AO270" s="51"/>
      <c r="AP270" s="51"/>
      <c r="AQ270" s="51"/>
      <c r="AR270" s="51"/>
      <c r="AS270" s="51"/>
      <c r="AT270" s="51"/>
      <c r="AU270" s="51"/>
      <c r="AV270" s="51"/>
      <c r="AW270" s="51"/>
      <c r="AX270" s="51"/>
      <c r="AY270" s="51"/>
      <c r="AZ270" s="65"/>
      <c r="BA270" s="51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84"/>
      <c r="BV270" s="55"/>
      <c r="BW270" s="55"/>
      <c r="BX270" s="55"/>
      <c r="BY270" s="55"/>
      <c r="BZ270" s="55"/>
      <c r="CA270" s="55"/>
      <c r="CB270" s="55"/>
      <c r="CC270" s="55"/>
      <c r="CD270" s="55"/>
      <c r="CE270" s="55"/>
      <c r="CF270" s="55"/>
      <c r="CG270" s="55"/>
      <c r="CH270" s="55"/>
      <c r="CI270" s="55"/>
      <c r="CJ270" s="55"/>
      <c r="CK270" s="55"/>
      <c r="CL270" s="55"/>
      <c r="CM270" s="55"/>
      <c r="CN270" s="55"/>
      <c r="CO270" s="55"/>
      <c r="CP270" s="55"/>
      <c r="CQ270" s="55"/>
    </row>
    <row r="271" spans="2:95" s="35" customFormat="1" ht="12.75" customHeight="1">
      <c r="B271" s="51"/>
      <c r="D271" s="44"/>
      <c r="X271" s="51"/>
      <c r="Y271" s="51"/>
      <c r="AA271" s="47"/>
      <c r="AC271" s="51"/>
      <c r="AN271" s="51"/>
      <c r="AO271" s="51"/>
      <c r="AP271" s="51"/>
      <c r="AQ271" s="51"/>
      <c r="AR271" s="51"/>
      <c r="AS271" s="51"/>
      <c r="AT271" s="51"/>
      <c r="AU271" s="51"/>
      <c r="AV271" s="51"/>
      <c r="AW271" s="51"/>
      <c r="AX271" s="51"/>
      <c r="AY271" s="51"/>
      <c r="AZ271" s="65"/>
      <c r="BA271" s="51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84"/>
      <c r="BV271" s="55"/>
      <c r="BW271" s="55"/>
      <c r="BX271" s="55"/>
      <c r="BY271" s="55"/>
      <c r="BZ271" s="55"/>
      <c r="CA271" s="55"/>
      <c r="CB271" s="55"/>
      <c r="CC271" s="55"/>
      <c r="CD271" s="55"/>
      <c r="CE271" s="55"/>
      <c r="CF271" s="55"/>
      <c r="CG271" s="55"/>
      <c r="CH271" s="55"/>
      <c r="CI271" s="55"/>
      <c r="CJ271" s="55"/>
      <c r="CK271" s="55"/>
      <c r="CL271" s="55"/>
      <c r="CM271" s="55"/>
      <c r="CN271" s="55"/>
      <c r="CO271" s="55"/>
      <c r="CP271" s="55"/>
      <c r="CQ271" s="55"/>
    </row>
    <row r="272" spans="2:95" s="35" customFormat="1" ht="12.75" customHeight="1">
      <c r="B272" s="51"/>
      <c r="D272" s="44"/>
      <c r="X272" s="51"/>
      <c r="Y272" s="51"/>
      <c r="AA272" s="47"/>
      <c r="AC272" s="51"/>
      <c r="AN272" s="51"/>
      <c r="AO272" s="51"/>
      <c r="AP272" s="51"/>
      <c r="AQ272" s="51"/>
      <c r="AR272" s="51"/>
      <c r="AS272" s="51"/>
      <c r="AT272" s="51"/>
      <c r="AU272" s="51"/>
      <c r="AV272" s="51"/>
      <c r="AW272" s="51"/>
      <c r="AX272" s="51"/>
      <c r="AY272" s="51"/>
      <c r="AZ272" s="65"/>
      <c r="BA272" s="51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84"/>
      <c r="BV272" s="55"/>
      <c r="BW272" s="55"/>
      <c r="BX272" s="55"/>
      <c r="BY272" s="55"/>
      <c r="BZ272" s="55"/>
      <c r="CA272" s="55"/>
      <c r="CB272" s="55"/>
      <c r="CC272" s="55"/>
      <c r="CD272" s="55"/>
      <c r="CE272" s="55"/>
      <c r="CF272" s="55"/>
      <c r="CG272" s="55"/>
      <c r="CH272" s="55"/>
      <c r="CI272" s="55"/>
      <c r="CJ272" s="55"/>
      <c r="CK272" s="55"/>
      <c r="CL272" s="55"/>
      <c r="CM272" s="55"/>
      <c r="CN272" s="55"/>
      <c r="CO272" s="55"/>
      <c r="CP272" s="55"/>
      <c r="CQ272" s="55"/>
    </row>
    <row r="273" spans="2:95" s="35" customFormat="1" ht="12.75" customHeight="1">
      <c r="B273" s="51"/>
      <c r="D273" s="44"/>
      <c r="X273" s="51"/>
      <c r="Y273" s="51"/>
      <c r="AA273" s="47"/>
      <c r="AC273" s="51"/>
      <c r="AN273" s="51"/>
      <c r="AO273" s="51"/>
      <c r="AP273" s="51"/>
      <c r="AQ273" s="51"/>
      <c r="AR273" s="51"/>
      <c r="AS273" s="51"/>
      <c r="AT273" s="51"/>
      <c r="AU273" s="51"/>
      <c r="AV273" s="51"/>
      <c r="AW273" s="51"/>
      <c r="AX273" s="51"/>
      <c r="AY273" s="51"/>
      <c r="AZ273" s="65"/>
      <c r="BA273" s="51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84"/>
      <c r="BV273" s="55"/>
      <c r="BW273" s="55"/>
      <c r="BX273" s="55"/>
      <c r="BY273" s="55"/>
      <c r="BZ273" s="55"/>
      <c r="CA273" s="55"/>
      <c r="CB273" s="55"/>
      <c r="CC273" s="55"/>
      <c r="CD273" s="55"/>
      <c r="CE273" s="55"/>
      <c r="CF273" s="55"/>
      <c r="CG273" s="55"/>
      <c r="CH273" s="55"/>
      <c r="CI273" s="55"/>
      <c r="CJ273" s="55"/>
      <c r="CK273" s="55"/>
      <c r="CL273" s="55"/>
      <c r="CM273" s="55"/>
      <c r="CN273" s="55"/>
      <c r="CO273" s="55"/>
      <c r="CP273" s="55"/>
      <c r="CQ273" s="55"/>
    </row>
    <row r="274" spans="2:95" s="35" customFormat="1" ht="12.75" customHeight="1">
      <c r="B274" s="51"/>
      <c r="D274" s="44"/>
      <c r="X274" s="51"/>
      <c r="Y274" s="51"/>
      <c r="AA274" s="47"/>
      <c r="AC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65"/>
      <c r="BA274" s="51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84"/>
      <c r="BV274" s="55"/>
      <c r="BW274" s="55"/>
      <c r="BX274" s="55"/>
      <c r="BY274" s="55"/>
      <c r="BZ274" s="55"/>
      <c r="CA274" s="55"/>
      <c r="CB274" s="55"/>
      <c r="CC274" s="55"/>
      <c r="CD274" s="55"/>
      <c r="CE274" s="55"/>
      <c r="CF274" s="55"/>
      <c r="CG274" s="55"/>
      <c r="CH274" s="55"/>
      <c r="CI274" s="55"/>
      <c r="CJ274" s="55"/>
      <c r="CK274" s="55"/>
      <c r="CL274" s="55"/>
      <c r="CM274" s="55"/>
      <c r="CN274" s="55"/>
      <c r="CO274" s="55"/>
      <c r="CP274" s="55"/>
      <c r="CQ274" s="55"/>
    </row>
    <row r="275" spans="2:95" s="35" customFormat="1" ht="12.75" customHeight="1">
      <c r="B275" s="51"/>
      <c r="D275" s="44"/>
      <c r="X275" s="51"/>
      <c r="Y275" s="51"/>
      <c r="AA275" s="47"/>
      <c r="AC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65"/>
      <c r="BA275" s="51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84"/>
      <c r="BV275" s="55"/>
      <c r="BW275" s="55"/>
      <c r="BX275" s="55"/>
      <c r="BY275" s="55"/>
      <c r="BZ275" s="55"/>
      <c r="CA275" s="55"/>
      <c r="CB275" s="55"/>
      <c r="CC275" s="55"/>
      <c r="CD275" s="55"/>
      <c r="CE275" s="55"/>
      <c r="CF275" s="55"/>
      <c r="CG275" s="55"/>
      <c r="CH275" s="55"/>
      <c r="CI275" s="55"/>
      <c r="CJ275" s="55"/>
      <c r="CK275" s="55"/>
      <c r="CL275" s="55"/>
      <c r="CM275" s="55"/>
      <c r="CN275" s="55"/>
      <c r="CO275" s="55"/>
      <c r="CP275" s="55"/>
      <c r="CQ275" s="55"/>
    </row>
    <row r="276" spans="2:95" s="35" customFormat="1" ht="12.75" customHeight="1">
      <c r="B276" s="51"/>
      <c r="D276" s="44"/>
      <c r="X276" s="51"/>
      <c r="Y276" s="51"/>
      <c r="AA276" s="47"/>
      <c r="AC276" s="51"/>
      <c r="AN276" s="51"/>
      <c r="AO276" s="51"/>
      <c r="AP276" s="51"/>
      <c r="AQ276" s="51"/>
      <c r="AR276" s="51"/>
      <c r="AS276" s="51"/>
      <c r="AT276" s="51"/>
      <c r="AU276" s="51"/>
      <c r="AV276" s="51"/>
      <c r="AW276" s="51"/>
      <c r="AX276" s="51"/>
      <c r="AY276" s="51"/>
      <c r="AZ276" s="65"/>
      <c r="BA276" s="51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84"/>
      <c r="BV276" s="55"/>
      <c r="BW276" s="55"/>
      <c r="BX276" s="55"/>
      <c r="BY276" s="55"/>
      <c r="BZ276" s="55"/>
      <c r="CA276" s="55"/>
      <c r="CB276" s="55"/>
      <c r="CC276" s="55"/>
      <c r="CD276" s="55"/>
      <c r="CE276" s="55"/>
      <c r="CF276" s="55"/>
      <c r="CG276" s="55"/>
      <c r="CH276" s="55"/>
      <c r="CI276" s="55"/>
      <c r="CJ276" s="55"/>
      <c r="CK276" s="55"/>
      <c r="CL276" s="55"/>
      <c r="CM276" s="55"/>
      <c r="CN276" s="55"/>
      <c r="CO276" s="55"/>
      <c r="CP276" s="55"/>
      <c r="CQ276" s="55"/>
    </row>
    <row r="277" spans="2:95" s="35" customFormat="1" ht="12.75" customHeight="1">
      <c r="B277" s="51"/>
      <c r="D277" s="44"/>
      <c r="X277" s="51"/>
      <c r="Y277" s="51"/>
      <c r="AA277" s="47"/>
      <c r="AC277" s="51"/>
      <c r="AN277" s="51"/>
      <c r="AO277" s="51"/>
      <c r="AP277" s="51"/>
      <c r="AQ277" s="51"/>
      <c r="AR277" s="51"/>
      <c r="AS277" s="51"/>
      <c r="AT277" s="51"/>
      <c r="AU277" s="51"/>
      <c r="AV277" s="51"/>
      <c r="AW277" s="51"/>
      <c r="AX277" s="51"/>
      <c r="AY277" s="51"/>
      <c r="AZ277" s="65"/>
      <c r="BA277" s="51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84"/>
      <c r="BV277" s="55"/>
      <c r="BW277" s="55"/>
      <c r="BX277" s="55"/>
      <c r="BY277" s="55"/>
      <c r="BZ277" s="55"/>
      <c r="CA277" s="55"/>
      <c r="CB277" s="55"/>
      <c r="CC277" s="55"/>
      <c r="CD277" s="55"/>
      <c r="CE277" s="55"/>
      <c r="CF277" s="55"/>
      <c r="CG277" s="55"/>
      <c r="CH277" s="55"/>
      <c r="CI277" s="55"/>
      <c r="CJ277" s="55"/>
      <c r="CK277" s="55"/>
      <c r="CL277" s="55"/>
      <c r="CM277" s="55"/>
      <c r="CN277" s="55"/>
      <c r="CO277" s="55"/>
      <c r="CP277" s="55"/>
      <c r="CQ277" s="55"/>
    </row>
    <row r="278" spans="2:95" s="35" customFormat="1" ht="12.75" customHeight="1">
      <c r="B278" s="51"/>
      <c r="D278" s="44"/>
      <c r="X278" s="51"/>
      <c r="Y278" s="51"/>
      <c r="AA278" s="47"/>
      <c r="AC278" s="51"/>
      <c r="AN278" s="51"/>
      <c r="AO278" s="51"/>
      <c r="AP278" s="51"/>
      <c r="AQ278" s="51"/>
      <c r="AR278" s="51"/>
      <c r="AS278" s="51"/>
      <c r="AT278" s="51"/>
      <c r="AU278" s="51"/>
      <c r="AV278" s="51"/>
      <c r="AW278" s="51"/>
      <c r="AX278" s="51"/>
      <c r="AY278" s="51"/>
      <c r="AZ278" s="65"/>
      <c r="BA278" s="51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84"/>
      <c r="BV278" s="55"/>
      <c r="BW278" s="55"/>
      <c r="BX278" s="55"/>
      <c r="BY278" s="55"/>
      <c r="BZ278" s="55"/>
      <c r="CA278" s="55"/>
      <c r="CB278" s="55"/>
      <c r="CC278" s="55"/>
      <c r="CD278" s="55"/>
      <c r="CE278" s="55"/>
      <c r="CF278" s="55"/>
      <c r="CG278" s="55"/>
      <c r="CH278" s="55"/>
      <c r="CI278" s="55"/>
      <c r="CJ278" s="55"/>
      <c r="CK278" s="55"/>
      <c r="CL278" s="55"/>
      <c r="CM278" s="55"/>
      <c r="CN278" s="55"/>
      <c r="CO278" s="55"/>
      <c r="CP278" s="55"/>
      <c r="CQ278" s="55"/>
    </row>
    <row r="279" spans="2:95" s="35" customFormat="1" ht="12.75" customHeight="1">
      <c r="B279" s="51"/>
      <c r="D279" s="44"/>
      <c r="X279" s="51"/>
      <c r="Y279" s="51"/>
      <c r="AA279" s="47"/>
      <c r="AC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65"/>
      <c r="BA279" s="51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84"/>
      <c r="BV279" s="55"/>
      <c r="BW279" s="55"/>
      <c r="BX279" s="55"/>
      <c r="BY279" s="55"/>
      <c r="BZ279" s="55"/>
      <c r="CA279" s="55"/>
      <c r="CB279" s="55"/>
      <c r="CC279" s="55"/>
      <c r="CD279" s="55"/>
      <c r="CE279" s="55"/>
      <c r="CF279" s="55"/>
      <c r="CG279" s="55"/>
      <c r="CH279" s="55"/>
      <c r="CI279" s="55"/>
      <c r="CJ279" s="55"/>
      <c r="CK279" s="55"/>
      <c r="CL279" s="55"/>
      <c r="CM279" s="55"/>
      <c r="CN279" s="55"/>
      <c r="CO279" s="55"/>
      <c r="CP279" s="55"/>
      <c r="CQ279" s="55"/>
    </row>
    <row r="280" spans="2:95" s="35" customFormat="1" ht="12.75" customHeight="1">
      <c r="B280" s="51"/>
      <c r="D280" s="44"/>
      <c r="X280" s="51"/>
      <c r="Y280" s="51"/>
      <c r="AA280" s="47"/>
      <c r="AC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65"/>
      <c r="BA280" s="51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84"/>
      <c r="BV280" s="55"/>
      <c r="BW280" s="55"/>
      <c r="BX280" s="55"/>
      <c r="BY280" s="55"/>
      <c r="BZ280" s="55"/>
      <c r="CA280" s="55"/>
      <c r="CB280" s="55"/>
      <c r="CC280" s="55"/>
      <c r="CD280" s="55"/>
      <c r="CE280" s="55"/>
      <c r="CF280" s="55"/>
      <c r="CG280" s="55"/>
      <c r="CH280" s="55"/>
      <c r="CI280" s="55"/>
      <c r="CJ280" s="55"/>
      <c r="CK280" s="55"/>
      <c r="CL280" s="55"/>
      <c r="CM280" s="55"/>
      <c r="CN280" s="55"/>
      <c r="CO280" s="55"/>
      <c r="CP280" s="55"/>
      <c r="CQ280" s="55"/>
    </row>
    <row r="281" spans="2:95" s="35" customFormat="1" ht="12.75" customHeight="1">
      <c r="B281" s="51"/>
      <c r="D281" s="44"/>
      <c r="X281" s="51"/>
      <c r="Y281" s="51"/>
      <c r="AA281" s="47"/>
      <c r="AC281" s="51"/>
      <c r="AN281" s="51"/>
      <c r="AO281" s="51"/>
      <c r="AP281" s="51"/>
      <c r="AQ281" s="51"/>
      <c r="AR281" s="51"/>
      <c r="AS281" s="51"/>
      <c r="AT281" s="51"/>
      <c r="AU281" s="51"/>
      <c r="AV281" s="51"/>
      <c r="AW281" s="51"/>
      <c r="AX281" s="51"/>
      <c r="AY281" s="51"/>
      <c r="AZ281" s="65"/>
      <c r="BA281" s="51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84"/>
      <c r="BV281" s="55"/>
      <c r="BW281" s="55"/>
      <c r="BX281" s="55"/>
      <c r="BY281" s="55"/>
      <c r="BZ281" s="55"/>
      <c r="CA281" s="55"/>
      <c r="CB281" s="55"/>
      <c r="CC281" s="55"/>
      <c r="CD281" s="55"/>
      <c r="CE281" s="55"/>
      <c r="CF281" s="55"/>
      <c r="CG281" s="55"/>
      <c r="CH281" s="55"/>
      <c r="CI281" s="55"/>
      <c r="CJ281" s="55"/>
      <c r="CK281" s="55"/>
      <c r="CL281" s="55"/>
      <c r="CM281" s="55"/>
      <c r="CN281" s="55"/>
      <c r="CO281" s="55"/>
      <c r="CP281" s="55"/>
      <c r="CQ281" s="55"/>
    </row>
    <row r="282" spans="2:95" s="35" customFormat="1" ht="12.75" customHeight="1">
      <c r="B282" s="51"/>
      <c r="D282" s="44"/>
      <c r="X282" s="51"/>
      <c r="Y282" s="51"/>
      <c r="AA282" s="47"/>
      <c r="AC282" s="51"/>
      <c r="AN282" s="51"/>
      <c r="AO282" s="51"/>
      <c r="AP282" s="51"/>
      <c r="AQ282" s="51"/>
      <c r="AR282" s="51"/>
      <c r="AS282" s="51"/>
      <c r="AT282" s="51"/>
      <c r="AU282" s="51"/>
      <c r="AV282" s="51"/>
      <c r="AW282" s="51"/>
      <c r="AX282" s="51"/>
      <c r="AY282" s="51"/>
      <c r="AZ282" s="65"/>
      <c r="BA282" s="51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84"/>
      <c r="BV282" s="55"/>
      <c r="BW282" s="55"/>
      <c r="BX282" s="55"/>
      <c r="BY282" s="55"/>
      <c r="BZ282" s="55"/>
      <c r="CA282" s="55"/>
      <c r="CB282" s="55"/>
      <c r="CC282" s="55"/>
      <c r="CD282" s="55"/>
      <c r="CE282" s="55"/>
      <c r="CF282" s="55"/>
      <c r="CG282" s="55"/>
      <c r="CH282" s="55"/>
      <c r="CI282" s="55"/>
      <c r="CJ282" s="55"/>
      <c r="CK282" s="55"/>
      <c r="CL282" s="55"/>
      <c r="CM282" s="55"/>
      <c r="CN282" s="55"/>
      <c r="CO282" s="55"/>
      <c r="CP282" s="55"/>
      <c r="CQ282" s="55"/>
    </row>
    <row r="283" spans="2:95" s="35" customFormat="1" ht="12.75" customHeight="1">
      <c r="B283" s="51"/>
      <c r="D283" s="44"/>
      <c r="X283" s="51"/>
      <c r="Y283" s="51"/>
      <c r="AA283" s="47"/>
      <c r="AC283" s="51"/>
      <c r="AN283" s="51"/>
      <c r="AO283" s="51"/>
      <c r="AP283" s="51"/>
      <c r="AQ283" s="51"/>
      <c r="AR283" s="51"/>
      <c r="AS283" s="51"/>
      <c r="AT283" s="51"/>
      <c r="AU283" s="51"/>
      <c r="AV283" s="51"/>
      <c r="AW283" s="51"/>
      <c r="AX283" s="51"/>
      <c r="AY283" s="51"/>
      <c r="AZ283" s="65"/>
      <c r="BA283" s="51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84"/>
      <c r="BV283" s="55"/>
      <c r="BW283" s="55"/>
      <c r="BX283" s="55"/>
      <c r="BY283" s="55"/>
      <c r="BZ283" s="55"/>
      <c r="CA283" s="55"/>
      <c r="CB283" s="55"/>
      <c r="CC283" s="55"/>
      <c r="CD283" s="55"/>
      <c r="CE283" s="55"/>
      <c r="CF283" s="55"/>
      <c r="CG283" s="55"/>
      <c r="CH283" s="55"/>
      <c r="CI283" s="55"/>
      <c r="CJ283" s="55"/>
      <c r="CK283" s="55"/>
      <c r="CL283" s="55"/>
      <c r="CM283" s="55"/>
      <c r="CN283" s="55"/>
      <c r="CO283" s="55"/>
      <c r="CP283" s="55"/>
      <c r="CQ283" s="55"/>
    </row>
    <row r="284" spans="2:95" s="35" customFormat="1" ht="12.75" customHeight="1">
      <c r="B284" s="51"/>
      <c r="D284" s="44"/>
      <c r="X284" s="51"/>
      <c r="Y284" s="51"/>
      <c r="AA284" s="47"/>
      <c r="AC284" s="51"/>
      <c r="AN284" s="51"/>
      <c r="AO284" s="51"/>
      <c r="AP284" s="51"/>
      <c r="AQ284" s="51"/>
      <c r="AR284" s="51"/>
      <c r="AS284" s="51"/>
      <c r="AT284" s="51"/>
      <c r="AU284" s="51"/>
      <c r="AV284" s="51"/>
      <c r="AW284" s="51"/>
      <c r="AX284" s="51"/>
      <c r="AY284" s="51"/>
      <c r="AZ284" s="65"/>
      <c r="BA284" s="51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84"/>
      <c r="BV284" s="55"/>
      <c r="BW284" s="55"/>
      <c r="BX284" s="55"/>
      <c r="BY284" s="55"/>
      <c r="BZ284" s="55"/>
      <c r="CA284" s="55"/>
      <c r="CB284" s="55"/>
      <c r="CC284" s="55"/>
      <c r="CD284" s="55"/>
      <c r="CE284" s="55"/>
      <c r="CF284" s="55"/>
      <c r="CG284" s="55"/>
      <c r="CH284" s="55"/>
      <c r="CI284" s="55"/>
      <c r="CJ284" s="55"/>
      <c r="CK284" s="55"/>
      <c r="CL284" s="55"/>
      <c r="CM284" s="55"/>
      <c r="CN284" s="55"/>
      <c r="CO284" s="55"/>
      <c r="CP284" s="55"/>
      <c r="CQ284" s="55"/>
    </row>
    <row r="285" spans="2:95" s="35" customFormat="1" ht="12.75" customHeight="1">
      <c r="B285" s="51"/>
      <c r="D285" s="44"/>
      <c r="X285" s="51"/>
      <c r="Y285" s="51"/>
      <c r="AA285" s="47"/>
      <c r="AC285" s="51"/>
      <c r="AN285" s="51"/>
      <c r="AO285" s="51"/>
      <c r="AP285" s="51"/>
      <c r="AQ285" s="51"/>
      <c r="AR285" s="51"/>
      <c r="AS285" s="51"/>
      <c r="AT285" s="51"/>
      <c r="AU285" s="51"/>
      <c r="AV285" s="51"/>
      <c r="AW285" s="51"/>
      <c r="AX285" s="51"/>
      <c r="AY285" s="51"/>
      <c r="AZ285" s="65"/>
      <c r="BA285" s="51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84"/>
      <c r="BV285" s="55"/>
      <c r="BW285" s="55"/>
      <c r="BX285" s="55"/>
      <c r="BY285" s="55"/>
      <c r="BZ285" s="55"/>
      <c r="CA285" s="55"/>
      <c r="CB285" s="55"/>
      <c r="CC285" s="55"/>
      <c r="CD285" s="55"/>
      <c r="CE285" s="55"/>
      <c r="CF285" s="55"/>
      <c r="CG285" s="55"/>
      <c r="CH285" s="55"/>
      <c r="CI285" s="55"/>
      <c r="CJ285" s="55"/>
      <c r="CK285" s="55"/>
      <c r="CL285" s="55"/>
      <c r="CM285" s="55"/>
      <c r="CN285" s="55"/>
      <c r="CO285" s="55"/>
      <c r="CP285" s="55"/>
      <c r="CQ285" s="55"/>
    </row>
    <row r="286" spans="2:95" s="35" customFormat="1" ht="12.75" customHeight="1">
      <c r="B286" s="51"/>
      <c r="D286" s="44"/>
      <c r="X286" s="51"/>
      <c r="Y286" s="51"/>
      <c r="AA286" s="47"/>
      <c r="AC286" s="51"/>
      <c r="AN286" s="51"/>
      <c r="AO286" s="51"/>
      <c r="AP286" s="51"/>
      <c r="AQ286" s="51"/>
      <c r="AR286" s="51"/>
      <c r="AS286" s="51"/>
      <c r="AT286" s="51"/>
      <c r="AU286" s="51"/>
      <c r="AV286" s="51"/>
      <c r="AW286" s="51"/>
      <c r="AX286" s="51"/>
      <c r="AY286" s="51"/>
      <c r="AZ286" s="65"/>
      <c r="BA286" s="51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84"/>
      <c r="BV286" s="55"/>
      <c r="BW286" s="55"/>
      <c r="BX286" s="55"/>
      <c r="BY286" s="55"/>
      <c r="BZ286" s="55"/>
      <c r="CA286" s="55"/>
      <c r="CB286" s="55"/>
      <c r="CC286" s="55"/>
      <c r="CD286" s="55"/>
      <c r="CE286" s="55"/>
      <c r="CF286" s="55"/>
      <c r="CG286" s="55"/>
      <c r="CH286" s="55"/>
      <c r="CI286" s="55"/>
      <c r="CJ286" s="55"/>
      <c r="CK286" s="55"/>
      <c r="CL286" s="55"/>
      <c r="CM286" s="55"/>
      <c r="CN286" s="55"/>
      <c r="CO286" s="55"/>
      <c r="CP286" s="55"/>
      <c r="CQ286" s="55"/>
    </row>
    <row r="287" spans="2:95" s="35" customFormat="1" ht="12.75" customHeight="1">
      <c r="B287" s="51"/>
      <c r="D287" s="44"/>
      <c r="X287" s="51"/>
      <c r="Y287" s="51"/>
      <c r="AA287" s="47"/>
      <c r="AC287" s="51"/>
      <c r="AN287" s="51"/>
      <c r="AO287" s="51"/>
      <c r="AP287" s="51"/>
      <c r="AQ287" s="51"/>
      <c r="AR287" s="51"/>
      <c r="AS287" s="51"/>
      <c r="AT287" s="51"/>
      <c r="AU287" s="51"/>
      <c r="AV287" s="51"/>
      <c r="AW287" s="51"/>
      <c r="AX287" s="51"/>
      <c r="AY287" s="51"/>
      <c r="AZ287" s="65"/>
      <c r="BA287" s="51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84"/>
      <c r="BV287" s="55"/>
      <c r="BW287" s="55"/>
      <c r="BX287" s="55"/>
      <c r="BY287" s="55"/>
      <c r="BZ287" s="55"/>
      <c r="CA287" s="55"/>
      <c r="CB287" s="55"/>
      <c r="CC287" s="55"/>
      <c r="CD287" s="55"/>
      <c r="CE287" s="55"/>
      <c r="CF287" s="55"/>
      <c r="CG287" s="55"/>
      <c r="CH287" s="55"/>
      <c r="CI287" s="55"/>
      <c r="CJ287" s="55"/>
      <c r="CK287" s="55"/>
      <c r="CL287" s="55"/>
      <c r="CM287" s="55"/>
      <c r="CN287" s="55"/>
      <c r="CO287" s="55"/>
      <c r="CP287" s="55"/>
      <c r="CQ287" s="55"/>
    </row>
    <row r="288" spans="2:95" s="35" customFormat="1" ht="12.75" customHeight="1">
      <c r="B288" s="51"/>
      <c r="D288" s="44"/>
      <c r="X288" s="51"/>
      <c r="Y288" s="51"/>
      <c r="AA288" s="47"/>
      <c r="AC288" s="51"/>
      <c r="AN288" s="51"/>
      <c r="AO288" s="51"/>
      <c r="AP288" s="51"/>
      <c r="AQ288" s="51"/>
      <c r="AR288" s="51"/>
      <c r="AS288" s="51"/>
      <c r="AT288" s="51"/>
      <c r="AU288" s="51"/>
      <c r="AV288" s="51"/>
      <c r="AW288" s="51"/>
      <c r="AX288" s="51"/>
      <c r="AY288" s="51"/>
      <c r="AZ288" s="65"/>
      <c r="BA288" s="51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84"/>
      <c r="BV288" s="55"/>
      <c r="BW288" s="55"/>
      <c r="BX288" s="55"/>
      <c r="BY288" s="55"/>
      <c r="BZ288" s="55"/>
      <c r="CA288" s="55"/>
      <c r="CB288" s="55"/>
      <c r="CC288" s="55"/>
      <c r="CD288" s="55"/>
      <c r="CE288" s="55"/>
      <c r="CF288" s="55"/>
      <c r="CG288" s="55"/>
      <c r="CH288" s="55"/>
      <c r="CI288" s="55"/>
      <c r="CJ288" s="55"/>
      <c r="CK288" s="55"/>
      <c r="CL288" s="55"/>
      <c r="CM288" s="55"/>
      <c r="CN288" s="55"/>
      <c r="CO288" s="55"/>
      <c r="CP288" s="55"/>
      <c r="CQ288" s="55"/>
    </row>
    <row r="289" spans="2:95" s="35" customFormat="1" ht="12.75" customHeight="1">
      <c r="B289" s="51"/>
      <c r="D289" s="44"/>
      <c r="X289" s="51"/>
      <c r="Y289" s="51"/>
      <c r="AA289" s="47"/>
      <c r="AC289" s="51"/>
      <c r="AN289" s="51"/>
      <c r="AO289" s="51"/>
      <c r="AP289" s="51"/>
      <c r="AQ289" s="51"/>
      <c r="AR289" s="51"/>
      <c r="AS289" s="51"/>
      <c r="AT289" s="51"/>
      <c r="AU289" s="51"/>
      <c r="AV289" s="51"/>
      <c r="AW289" s="51"/>
      <c r="AX289" s="51"/>
      <c r="AY289" s="51"/>
      <c r="AZ289" s="65"/>
      <c r="BA289" s="51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84"/>
      <c r="BV289" s="55"/>
      <c r="BW289" s="55"/>
      <c r="BX289" s="55"/>
      <c r="BY289" s="55"/>
      <c r="BZ289" s="55"/>
      <c r="CA289" s="55"/>
      <c r="CB289" s="55"/>
      <c r="CC289" s="55"/>
      <c r="CD289" s="55"/>
      <c r="CE289" s="55"/>
      <c r="CF289" s="55"/>
      <c r="CG289" s="55"/>
      <c r="CH289" s="55"/>
      <c r="CI289" s="55"/>
      <c r="CJ289" s="55"/>
      <c r="CK289" s="55"/>
      <c r="CL289" s="55"/>
      <c r="CM289" s="55"/>
      <c r="CN289" s="55"/>
      <c r="CO289" s="55"/>
      <c r="CP289" s="55"/>
      <c r="CQ289" s="55"/>
    </row>
    <row r="290" spans="2:95" s="35" customFormat="1" ht="12.75" customHeight="1">
      <c r="B290" s="51"/>
      <c r="D290" s="44"/>
      <c r="X290" s="51"/>
      <c r="Y290" s="51"/>
      <c r="AA290" s="47"/>
      <c r="AC290" s="51"/>
      <c r="AN290" s="51"/>
      <c r="AO290" s="51"/>
      <c r="AP290" s="51"/>
      <c r="AQ290" s="51"/>
      <c r="AR290" s="51"/>
      <c r="AS290" s="51"/>
      <c r="AT290" s="51"/>
      <c r="AU290" s="51"/>
      <c r="AV290" s="51"/>
      <c r="AW290" s="51"/>
      <c r="AX290" s="51"/>
      <c r="AY290" s="51"/>
      <c r="AZ290" s="65"/>
      <c r="BA290" s="51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84"/>
      <c r="BV290" s="55"/>
      <c r="BW290" s="55"/>
      <c r="BX290" s="55"/>
      <c r="BY290" s="55"/>
      <c r="BZ290" s="55"/>
      <c r="CA290" s="55"/>
      <c r="CB290" s="55"/>
      <c r="CC290" s="55"/>
      <c r="CD290" s="55"/>
      <c r="CE290" s="55"/>
      <c r="CF290" s="55"/>
      <c r="CG290" s="55"/>
      <c r="CH290" s="55"/>
      <c r="CI290" s="55"/>
      <c r="CJ290" s="55"/>
      <c r="CK290" s="55"/>
      <c r="CL290" s="55"/>
      <c r="CM290" s="55"/>
      <c r="CN290" s="55"/>
      <c r="CO290" s="55"/>
      <c r="CP290" s="55"/>
      <c r="CQ290" s="55"/>
    </row>
    <row r="291" spans="2:95" s="35" customFormat="1" ht="12.75" customHeight="1">
      <c r="B291" s="51"/>
      <c r="D291" s="44"/>
      <c r="X291" s="51"/>
      <c r="Y291" s="51"/>
      <c r="AA291" s="47"/>
      <c r="AC291" s="51"/>
      <c r="AN291" s="51"/>
      <c r="AO291" s="51"/>
      <c r="AP291" s="51"/>
      <c r="AQ291" s="51"/>
      <c r="AR291" s="51"/>
      <c r="AS291" s="51"/>
      <c r="AT291" s="51"/>
      <c r="AU291" s="51"/>
      <c r="AV291" s="51"/>
      <c r="AW291" s="51"/>
      <c r="AX291" s="51"/>
      <c r="AY291" s="51"/>
      <c r="AZ291" s="65"/>
      <c r="BA291" s="51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84"/>
      <c r="BV291" s="55"/>
      <c r="BW291" s="55"/>
      <c r="BX291" s="55"/>
      <c r="BY291" s="55"/>
      <c r="BZ291" s="55"/>
      <c r="CA291" s="55"/>
      <c r="CB291" s="55"/>
      <c r="CC291" s="55"/>
      <c r="CD291" s="55"/>
      <c r="CE291" s="55"/>
      <c r="CF291" s="55"/>
      <c r="CG291" s="55"/>
      <c r="CH291" s="55"/>
      <c r="CI291" s="55"/>
      <c r="CJ291" s="55"/>
      <c r="CK291" s="55"/>
      <c r="CL291" s="55"/>
      <c r="CM291" s="55"/>
      <c r="CN291" s="55"/>
      <c r="CO291" s="55"/>
      <c r="CP291" s="55"/>
      <c r="CQ291" s="55"/>
    </row>
    <row r="292" spans="2:95" s="35" customFormat="1" ht="12.75" customHeight="1">
      <c r="B292" s="51"/>
      <c r="D292" s="44"/>
      <c r="X292" s="51"/>
      <c r="Y292" s="51"/>
      <c r="AA292" s="47"/>
      <c r="AC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65"/>
      <c r="BA292" s="51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84"/>
      <c r="BV292" s="55"/>
      <c r="BW292" s="55"/>
      <c r="BX292" s="55"/>
      <c r="BY292" s="55"/>
      <c r="BZ292" s="55"/>
      <c r="CA292" s="55"/>
      <c r="CB292" s="55"/>
      <c r="CC292" s="55"/>
      <c r="CD292" s="55"/>
      <c r="CE292" s="55"/>
      <c r="CF292" s="55"/>
      <c r="CG292" s="55"/>
      <c r="CH292" s="55"/>
      <c r="CI292" s="55"/>
      <c r="CJ292" s="55"/>
      <c r="CK292" s="55"/>
      <c r="CL292" s="55"/>
      <c r="CM292" s="55"/>
      <c r="CN292" s="55"/>
      <c r="CO292" s="55"/>
      <c r="CP292" s="55"/>
      <c r="CQ292" s="55"/>
    </row>
    <row r="293" spans="2:95" s="35" customFormat="1" ht="12.75" customHeight="1">
      <c r="B293" s="51"/>
      <c r="D293" s="44"/>
      <c r="X293" s="51"/>
      <c r="Y293" s="51"/>
      <c r="AA293" s="47"/>
      <c r="AC293" s="51"/>
      <c r="AN293" s="51"/>
      <c r="AO293" s="51"/>
      <c r="AP293" s="51"/>
      <c r="AQ293" s="51"/>
      <c r="AR293" s="51"/>
      <c r="AS293" s="51"/>
      <c r="AT293" s="51"/>
      <c r="AU293" s="51"/>
      <c r="AV293" s="51"/>
      <c r="AW293" s="51"/>
      <c r="AX293" s="51"/>
      <c r="AY293" s="51"/>
      <c r="AZ293" s="65"/>
      <c r="BA293" s="51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84"/>
      <c r="BV293" s="55"/>
      <c r="BW293" s="55"/>
      <c r="BX293" s="55"/>
      <c r="BY293" s="55"/>
      <c r="BZ293" s="55"/>
      <c r="CA293" s="55"/>
      <c r="CB293" s="55"/>
      <c r="CC293" s="55"/>
      <c r="CD293" s="55"/>
      <c r="CE293" s="55"/>
      <c r="CF293" s="55"/>
      <c r="CG293" s="55"/>
      <c r="CH293" s="55"/>
      <c r="CI293" s="55"/>
      <c r="CJ293" s="55"/>
      <c r="CK293" s="55"/>
      <c r="CL293" s="55"/>
      <c r="CM293" s="55"/>
      <c r="CN293" s="55"/>
      <c r="CO293" s="55"/>
      <c r="CP293" s="55"/>
      <c r="CQ293" s="55"/>
    </row>
    <row r="294" spans="2:95" s="35" customFormat="1" ht="12.75" customHeight="1">
      <c r="B294" s="51"/>
      <c r="D294" s="44"/>
      <c r="X294" s="51"/>
      <c r="Y294" s="51"/>
      <c r="AA294" s="47"/>
      <c r="AC294" s="51"/>
      <c r="AN294" s="51"/>
      <c r="AO294" s="51"/>
      <c r="AP294" s="51"/>
      <c r="AQ294" s="51"/>
      <c r="AR294" s="51"/>
      <c r="AS294" s="51"/>
      <c r="AT294" s="51"/>
      <c r="AU294" s="51"/>
      <c r="AV294" s="51"/>
      <c r="AW294" s="51"/>
      <c r="AX294" s="51"/>
      <c r="AY294" s="51"/>
      <c r="AZ294" s="65"/>
      <c r="BA294" s="51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84"/>
      <c r="BV294" s="55"/>
      <c r="BW294" s="55"/>
      <c r="BX294" s="55"/>
      <c r="BY294" s="55"/>
      <c r="BZ294" s="55"/>
      <c r="CA294" s="55"/>
      <c r="CB294" s="55"/>
      <c r="CC294" s="55"/>
      <c r="CD294" s="55"/>
      <c r="CE294" s="55"/>
      <c r="CF294" s="55"/>
      <c r="CG294" s="55"/>
      <c r="CH294" s="55"/>
      <c r="CI294" s="55"/>
      <c r="CJ294" s="55"/>
      <c r="CK294" s="55"/>
      <c r="CL294" s="55"/>
      <c r="CM294" s="55"/>
      <c r="CN294" s="55"/>
      <c r="CO294" s="55"/>
      <c r="CP294" s="55"/>
      <c r="CQ294" s="55"/>
    </row>
    <row r="295" spans="2:95" s="35" customFormat="1" ht="12.75" customHeight="1">
      <c r="B295" s="51"/>
      <c r="D295" s="44"/>
      <c r="X295" s="51"/>
      <c r="Y295" s="51"/>
      <c r="AA295" s="47"/>
      <c r="AC295" s="51"/>
      <c r="AN295" s="51"/>
      <c r="AO295" s="51"/>
      <c r="AP295" s="51"/>
      <c r="AQ295" s="51"/>
      <c r="AR295" s="51"/>
      <c r="AS295" s="51"/>
      <c r="AT295" s="51"/>
      <c r="AU295" s="51"/>
      <c r="AV295" s="51"/>
      <c r="AW295" s="51"/>
      <c r="AX295" s="51"/>
      <c r="AY295" s="51"/>
      <c r="AZ295" s="65"/>
      <c r="BA295" s="51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84"/>
      <c r="BV295" s="55"/>
      <c r="BW295" s="55"/>
      <c r="BX295" s="55"/>
      <c r="BY295" s="55"/>
      <c r="BZ295" s="55"/>
      <c r="CA295" s="55"/>
      <c r="CB295" s="55"/>
      <c r="CC295" s="55"/>
      <c r="CD295" s="55"/>
      <c r="CE295" s="55"/>
      <c r="CF295" s="55"/>
      <c r="CG295" s="55"/>
      <c r="CH295" s="55"/>
      <c r="CI295" s="55"/>
      <c r="CJ295" s="55"/>
      <c r="CK295" s="55"/>
      <c r="CL295" s="55"/>
      <c r="CM295" s="55"/>
      <c r="CN295" s="55"/>
      <c r="CO295" s="55"/>
      <c r="CP295" s="55"/>
      <c r="CQ295" s="55"/>
    </row>
    <row r="296" spans="2:95" s="35" customFormat="1" ht="12.75" customHeight="1">
      <c r="B296" s="51"/>
      <c r="D296" s="44"/>
      <c r="X296" s="51"/>
      <c r="Y296" s="51"/>
      <c r="AA296" s="47"/>
      <c r="AC296" s="51"/>
      <c r="AN296" s="51"/>
      <c r="AO296" s="51"/>
      <c r="AP296" s="51"/>
      <c r="AQ296" s="51"/>
      <c r="AR296" s="51"/>
      <c r="AS296" s="51"/>
      <c r="AT296" s="51"/>
      <c r="AU296" s="51"/>
      <c r="AV296" s="51"/>
      <c r="AW296" s="51"/>
      <c r="AX296" s="51"/>
      <c r="AY296" s="51"/>
      <c r="AZ296" s="65"/>
      <c r="BA296" s="51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84"/>
      <c r="BV296" s="55"/>
      <c r="BW296" s="55"/>
      <c r="BX296" s="55"/>
      <c r="BY296" s="55"/>
      <c r="BZ296" s="55"/>
      <c r="CA296" s="55"/>
      <c r="CB296" s="55"/>
      <c r="CC296" s="55"/>
      <c r="CD296" s="55"/>
      <c r="CE296" s="55"/>
      <c r="CF296" s="55"/>
      <c r="CG296" s="55"/>
      <c r="CH296" s="55"/>
      <c r="CI296" s="55"/>
      <c r="CJ296" s="55"/>
      <c r="CK296" s="55"/>
      <c r="CL296" s="55"/>
      <c r="CM296" s="55"/>
      <c r="CN296" s="55"/>
      <c r="CO296" s="55"/>
      <c r="CP296" s="55"/>
      <c r="CQ296" s="55"/>
    </row>
    <row r="297" spans="2:95" s="35" customFormat="1" ht="12.75" customHeight="1">
      <c r="B297" s="51"/>
      <c r="D297" s="44"/>
      <c r="X297" s="51"/>
      <c r="Y297" s="51"/>
      <c r="AA297" s="47"/>
      <c r="AC297" s="51"/>
      <c r="AN297" s="51"/>
      <c r="AO297" s="51"/>
      <c r="AP297" s="51"/>
      <c r="AQ297" s="51"/>
      <c r="AR297" s="51"/>
      <c r="AS297" s="51"/>
      <c r="AT297" s="51"/>
      <c r="AU297" s="51"/>
      <c r="AV297" s="51"/>
      <c r="AW297" s="51"/>
      <c r="AX297" s="51"/>
      <c r="AY297" s="51"/>
      <c r="AZ297" s="65"/>
      <c r="BA297" s="51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84"/>
      <c r="BV297" s="55"/>
      <c r="BW297" s="55"/>
      <c r="BX297" s="55"/>
      <c r="BY297" s="55"/>
      <c r="BZ297" s="55"/>
      <c r="CA297" s="55"/>
      <c r="CB297" s="55"/>
      <c r="CC297" s="55"/>
      <c r="CD297" s="55"/>
      <c r="CE297" s="55"/>
      <c r="CF297" s="55"/>
      <c r="CG297" s="55"/>
      <c r="CH297" s="55"/>
      <c r="CI297" s="55"/>
      <c r="CJ297" s="55"/>
      <c r="CK297" s="55"/>
      <c r="CL297" s="55"/>
      <c r="CM297" s="55"/>
      <c r="CN297" s="55"/>
      <c r="CO297" s="55"/>
      <c r="CP297" s="55"/>
      <c r="CQ297" s="55"/>
    </row>
    <row r="298" spans="2:95" s="35" customFormat="1" ht="12.75" customHeight="1">
      <c r="B298" s="51"/>
      <c r="D298" s="44"/>
      <c r="X298" s="51"/>
      <c r="Y298" s="51"/>
      <c r="AA298" s="47"/>
      <c r="AC298" s="51"/>
      <c r="AN298" s="51"/>
      <c r="AO298" s="51"/>
      <c r="AP298" s="51"/>
      <c r="AQ298" s="51"/>
      <c r="AR298" s="51"/>
      <c r="AS298" s="51"/>
      <c r="AT298" s="51"/>
      <c r="AU298" s="51"/>
      <c r="AV298" s="51"/>
      <c r="AW298" s="51"/>
      <c r="AX298" s="51"/>
      <c r="AY298" s="51"/>
      <c r="AZ298" s="65"/>
      <c r="BA298" s="51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84"/>
      <c r="BV298" s="55"/>
      <c r="BW298" s="55"/>
      <c r="BX298" s="55"/>
      <c r="BY298" s="55"/>
      <c r="BZ298" s="55"/>
      <c r="CA298" s="55"/>
      <c r="CB298" s="55"/>
      <c r="CC298" s="55"/>
      <c r="CD298" s="55"/>
      <c r="CE298" s="55"/>
      <c r="CF298" s="55"/>
      <c r="CG298" s="55"/>
      <c r="CH298" s="55"/>
      <c r="CI298" s="55"/>
      <c r="CJ298" s="55"/>
      <c r="CK298" s="55"/>
      <c r="CL298" s="55"/>
      <c r="CM298" s="55"/>
      <c r="CN298" s="55"/>
      <c r="CO298" s="55"/>
      <c r="CP298" s="55"/>
      <c r="CQ298" s="55"/>
    </row>
    <row r="299" spans="2:95" s="35" customFormat="1" ht="12.75" customHeight="1">
      <c r="B299" s="51"/>
      <c r="D299" s="44"/>
      <c r="X299" s="51"/>
      <c r="Y299" s="51"/>
      <c r="AA299" s="47"/>
      <c r="AC299" s="51"/>
      <c r="AN299" s="51"/>
      <c r="AO299" s="51"/>
      <c r="AP299" s="51"/>
      <c r="AQ299" s="51"/>
      <c r="AR299" s="51"/>
      <c r="AS299" s="51"/>
      <c r="AT299" s="51"/>
      <c r="AU299" s="51"/>
      <c r="AV299" s="51"/>
      <c r="AW299" s="51"/>
      <c r="AX299" s="51"/>
      <c r="AY299" s="51"/>
      <c r="AZ299" s="65"/>
      <c r="BA299" s="51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84"/>
      <c r="BV299" s="55"/>
      <c r="BW299" s="55"/>
      <c r="BX299" s="55"/>
      <c r="BY299" s="55"/>
      <c r="BZ299" s="55"/>
      <c r="CA299" s="55"/>
      <c r="CB299" s="55"/>
      <c r="CC299" s="55"/>
      <c r="CD299" s="55"/>
      <c r="CE299" s="55"/>
      <c r="CF299" s="55"/>
      <c r="CG299" s="55"/>
      <c r="CH299" s="55"/>
      <c r="CI299" s="55"/>
      <c r="CJ299" s="55"/>
      <c r="CK299" s="55"/>
      <c r="CL299" s="55"/>
      <c r="CM299" s="55"/>
      <c r="CN299" s="55"/>
      <c r="CO299" s="55"/>
      <c r="CP299" s="55"/>
      <c r="CQ299" s="55"/>
    </row>
    <row r="300" spans="2:95" s="35" customFormat="1" ht="12.75" customHeight="1">
      <c r="B300" s="51"/>
      <c r="D300" s="44"/>
      <c r="X300" s="51"/>
      <c r="Y300" s="51"/>
      <c r="AA300" s="47"/>
      <c r="AC300" s="51"/>
      <c r="AN300" s="51"/>
      <c r="AO300" s="51"/>
      <c r="AP300" s="51"/>
      <c r="AQ300" s="51"/>
      <c r="AR300" s="51"/>
      <c r="AS300" s="51"/>
      <c r="AT300" s="51"/>
      <c r="AU300" s="51"/>
      <c r="AV300" s="51"/>
      <c r="AW300" s="51"/>
      <c r="AX300" s="51"/>
      <c r="AY300" s="51"/>
      <c r="AZ300" s="65"/>
      <c r="BA300" s="51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84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</row>
    <row r="301" spans="2:95" s="35" customFormat="1" ht="12.75" customHeight="1">
      <c r="B301" s="51"/>
      <c r="D301" s="44"/>
      <c r="X301" s="51"/>
      <c r="Y301" s="51"/>
      <c r="AA301" s="47"/>
      <c r="AC301" s="51"/>
      <c r="AN301" s="51"/>
      <c r="AO301" s="51"/>
      <c r="AP301" s="51"/>
      <c r="AQ301" s="51"/>
      <c r="AR301" s="51"/>
      <c r="AS301" s="51"/>
      <c r="AT301" s="51"/>
      <c r="AU301" s="51"/>
      <c r="AV301" s="51"/>
      <c r="AW301" s="51"/>
      <c r="AX301" s="51"/>
      <c r="AY301" s="51"/>
      <c r="AZ301" s="65"/>
      <c r="BA301" s="51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84"/>
      <c r="BV301" s="55"/>
      <c r="BW301" s="55"/>
      <c r="BX301" s="55"/>
      <c r="BY301" s="55"/>
      <c r="BZ301" s="55"/>
      <c r="CA301" s="55"/>
      <c r="CB301" s="55"/>
      <c r="CC301" s="55"/>
      <c r="CD301" s="55"/>
      <c r="CE301" s="55"/>
      <c r="CF301" s="55"/>
      <c r="CG301" s="55"/>
      <c r="CH301" s="55"/>
      <c r="CI301" s="55"/>
      <c r="CJ301" s="55"/>
      <c r="CK301" s="55"/>
      <c r="CL301" s="55"/>
      <c r="CM301" s="55"/>
      <c r="CN301" s="55"/>
      <c r="CO301" s="55"/>
      <c r="CP301" s="55"/>
      <c r="CQ301" s="55"/>
    </row>
    <row r="302" spans="2:95" s="35" customFormat="1" ht="12.75" customHeight="1">
      <c r="B302" s="51"/>
      <c r="D302" s="44"/>
      <c r="X302" s="51"/>
      <c r="Y302" s="51"/>
      <c r="AA302" s="47"/>
      <c r="AC302" s="51"/>
      <c r="AN302" s="51"/>
      <c r="AO302" s="51"/>
      <c r="AP302" s="51"/>
      <c r="AQ302" s="51"/>
      <c r="AR302" s="51"/>
      <c r="AS302" s="51"/>
      <c r="AT302" s="51"/>
      <c r="AU302" s="51"/>
      <c r="AV302" s="51"/>
      <c r="AW302" s="51"/>
      <c r="AX302" s="51"/>
      <c r="AY302" s="51"/>
      <c r="AZ302" s="65"/>
      <c r="BA302" s="51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84"/>
      <c r="BV302" s="55"/>
      <c r="BW302" s="55"/>
      <c r="BX302" s="55"/>
      <c r="BY302" s="55"/>
      <c r="BZ302" s="55"/>
      <c r="CA302" s="55"/>
      <c r="CB302" s="55"/>
      <c r="CC302" s="55"/>
      <c r="CD302" s="55"/>
      <c r="CE302" s="55"/>
      <c r="CF302" s="55"/>
      <c r="CG302" s="55"/>
      <c r="CH302" s="55"/>
      <c r="CI302" s="55"/>
      <c r="CJ302" s="55"/>
      <c r="CK302" s="55"/>
      <c r="CL302" s="55"/>
      <c r="CM302" s="55"/>
      <c r="CN302" s="55"/>
      <c r="CO302" s="55"/>
      <c r="CP302" s="55"/>
      <c r="CQ302" s="55"/>
    </row>
    <row r="303" spans="2:95" s="35" customFormat="1" ht="12.75" customHeight="1">
      <c r="B303" s="51"/>
      <c r="D303" s="44"/>
      <c r="X303" s="51"/>
      <c r="Y303" s="51"/>
      <c r="AA303" s="47"/>
      <c r="AC303" s="51"/>
      <c r="AN303" s="51"/>
      <c r="AO303" s="51"/>
      <c r="AP303" s="51"/>
      <c r="AQ303" s="51"/>
      <c r="AR303" s="51"/>
      <c r="AS303" s="51"/>
      <c r="AT303" s="51"/>
      <c r="AU303" s="51"/>
      <c r="AV303" s="51"/>
      <c r="AW303" s="51"/>
      <c r="AX303" s="51"/>
      <c r="AY303" s="51"/>
      <c r="AZ303" s="65"/>
      <c r="BA303" s="51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84"/>
      <c r="BV303" s="55"/>
      <c r="BW303" s="55"/>
      <c r="BX303" s="55"/>
      <c r="BY303" s="55"/>
      <c r="BZ303" s="55"/>
      <c r="CA303" s="55"/>
      <c r="CB303" s="55"/>
      <c r="CC303" s="55"/>
      <c r="CD303" s="55"/>
      <c r="CE303" s="55"/>
      <c r="CF303" s="55"/>
      <c r="CG303" s="55"/>
      <c r="CH303" s="55"/>
      <c r="CI303" s="55"/>
      <c r="CJ303" s="55"/>
      <c r="CK303" s="55"/>
      <c r="CL303" s="55"/>
      <c r="CM303" s="55"/>
      <c r="CN303" s="55"/>
      <c r="CO303" s="55"/>
      <c r="CP303" s="55"/>
      <c r="CQ303" s="55"/>
    </row>
    <row r="304" spans="2:95" s="35" customFormat="1" ht="12.75" customHeight="1">
      <c r="B304" s="51"/>
      <c r="D304" s="44"/>
      <c r="X304" s="51"/>
      <c r="Y304" s="51"/>
      <c r="AA304" s="47"/>
      <c r="AC304" s="51"/>
      <c r="AN304" s="51"/>
      <c r="AO304" s="51"/>
      <c r="AP304" s="51"/>
      <c r="AQ304" s="51"/>
      <c r="AR304" s="51"/>
      <c r="AS304" s="51"/>
      <c r="AT304" s="51"/>
      <c r="AU304" s="51"/>
      <c r="AV304" s="51"/>
      <c r="AW304" s="51"/>
      <c r="AX304" s="51"/>
      <c r="AY304" s="51"/>
      <c r="AZ304" s="65"/>
      <c r="BA304" s="51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84"/>
      <c r="BV304" s="55"/>
      <c r="BW304" s="55"/>
      <c r="BX304" s="55"/>
      <c r="BY304" s="55"/>
      <c r="BZ304" s="55"/>
      <c r="CA304" s="55"/>
      <c r="CB304" s="55"/>
      <c r="CC304" s="55"/>
      <c r="CD304" s="55"/>
      <c r="CE304" s="55"/>
      <c r="CF304" s="55"/>
      <c r="CG304" s="55"/>
      <c r="CH304" s="55"/>
      <c r="CI304" s="55"/>
      <c r="CJ304" s="55"/>
      <c r="CK304" s="55"/>
      <c r="CL304" s="55"/>
      <c r="CM304" s="55"/>
      <c r="CN304" s="55"/>
      <c r="CO304" s="55"/>
      <c r="CP304" s="55"/>
      <c r="CQ304" s="55"/>
    </row>
    <row r="305" spans="2:95" s="35" customFormat="1" ht="12.75" customHeight="1">
      <c r="B305" s="51"/>
      <c r="D305" s="44"/>
      <c r="X305" s="51"/>
      <c r="Y305" s="51"/>
      <c r="AA305" s="47"/>
      <c r="AC305" s="51"/>
      <c r="AN305" s="51"/>
      <c r="AO305" s="51"/>
      <c r="AP305" s="51"/>
      <c r="AQ305" s="51"/>
      <c r="AR305" s="51"/>
      <c r="AS305" s="51"/>
      <c r="AT305" s="51"/>
      <c r="AU305" s="51"/>
      <c r="AV305" s="51"/>
      <c r="AW305" s="51"/>
      <c r="AX305" s="51"/>
      <c r="AY305" s="51"/>
      <c r="AZ305" s="65"/>
      <c r="BA305" s="51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84"/>
      <c r="BV305" s="55"/>
      <c r="BW305" s="55"/>
      <c r="BX305" s="55"/>
      <c r="BY305" s="55"/>
      <c r="BZ305" s="55"/>
      <c r="CA305" s="55"/>
      <c r="CB305" s="55"/>
      <c r="CC305" s="55"/>
      <c r="CD305" s="55"/>
      <c r="CE305" s="55"/>
      <c r="CF305" s="55"/>
      <c r="CG305" s="55"/>
      <c r="CH305" s="55"/>
      <c r="CI305" s="55"/>
      <c r="CJ305" s="55"/>
      <c r="CK305" s="55"/>
      <c r="CL305" s="55"/>
      <c r="CM305" s="55"/>
      <c r="CN305" s="55"/>
      <c r="CO305" s="55"/>
      <c r="CP305" s="55"/>
      <c r="CQ305" s="55"/>
    </row>
    <row r="306" spans="2:95" s="35" customFormat="1" ht="12.75" customHeight="1">
      <c r="B306" s="51"/>
      <c r="D306" s="44"/>
      <c r="X306" s="51"/>
      <c r="Y306" s="51"/>
      <c r="AA306" s="47"/>
      <c r="AC306" s="51"/>
      <c r="AN306" s="51"/>
      <c r="AO306" s="51"/>
      <c r="AP306" s="51"/>
      <c r="AQ306" s="51"/>
      <c r="AR306" s="51"/>
      <c r="AS306" s="51"/>
      <c r="AT306" s="51"/>
      <c r="AU306" s="51"/>
      <c r="AV306" s="51"/>
      <c r="AW306" s="51"/>
      <c r="AX306" s="51"/>
      <c r="AY306" s="51"/>
      <c r="AZ306" s="65"/>
      <c r="BA306" s="51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84"/>
      <c r="BV306" s="55"/>
      <c r="BW306" s="55"/>
      <c r="BX306" s="55"/>
      <c r="BY306" s="55"/>
      <c r="BZ306" s="55"/>
      <c r="CA306" s="55"/>
      <c r="CB306" s="55"/>
      <c r="CC306" s="55"/>
      <c r="CD306" s="55"/>
      <c r="CE306" s="55"/>
      <c r="CF306" s="55"/>
      <c r="CG306" s="55"/>
      <c r="CH306" s="55"/>
      <c r="CI306" s="55"/>
      <c r="CJ306" s="55"/>
      <c r="CK306" s="55"/>
      <c r="CL306" s="55"/>
      <c r="CM306" s="55"/>
      <c r="CN306" s="55"/>
      <c r="CO306" s="55"/>
      <c r="CP306" s="55"/>
      <c r="CQ306" s="55"/>
    </row>
    <row r="307" spans="2:95" s="35" customFormat="1" ht="12.75" customHeight="1">
      <c r="B307" s="51"/>
      <c r="D307" s="44"/>
      <c r="X307" s="51"/>
      <c r="Y307" s="51"/>
      <c r="AA307" s="47"/>
      <c r="AC307" s="51"/>
      <c r="AN307" s="51"/>
      <c r="AO307" s="51"/>
      <c r="AP307" s="51"/>
      <c r="AQ307" s="51"/>
      <c r="AR307" s="51"/>
      <c r="AS307" s="51"/>
      <c r="AT307" s="51"/>
      <c r="AU307" s="51"/>
      <c r="AV307" s="51"/>
      <c r="AW307" s="51"/>
      <c r="AX307" s="51"/>
      <c r="AY307" s="51"/>
      <c r="AZ307" s="65"/>
      <c r="BA307" s="51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84"/>
      <c r="BV307" s="55"/>
      <c r="BW307" s="55"/>
      <c r="BX307" s="55"/>
      <c r="BY307" s="55"/>
      <c r="BZ307" s="55"/>
      <c r="CA307" s="55"/>
      <c r="CB307" s="55"/>
      <c r="CC307" s="55"/>
      <c r="CD307" s="55"/>
      <c r="CE307" s="55"/>
      <c r="CF307" s="55"/>
      <c r="CG307" s="55"/>
      <c r="CH307" s="55"/>
      <c r="CI307" s="55"/>
      <c r="CJ307" s="55"/>
      <c r="CK307" s="55"/>
      <c r="CL307" s="55"/>
      <c r="CM307" s="55"/>
      <c r="CN307" s="55"/>
      <c r="CO307" s="55"/>
      <c r="CP307" s="55"/>
      <c r="CQ307" s="55"/>
    </row>
    <row r="308" spans="2:95" s="35" customFormat="1" ht="12.75" customHeight="1">
      <c r="B308" s="51"/>
      <c r="D308" s="44"/>
      <c r="X308" s="51"/>
      <c r="Y308" s="51"/>
      <c r="AA308" s="47"/>
      <c r="AC308" s="51"/>
      <c r="AN308" s="51"/>
      <c r="AO308" s="51"/>
      <c r="AP308" s="51"/>
      <c r="AQ308" s="51"/>
      <c r="AR308" s="51"/>
      <c r="AS308" s="51"/>
      <c r="AT308" s="51"/>
      <c r="AU308" s="51"/>
      <c r="AV308" s="51"/>
      <c r="AW308" s="51"/>
      <c r="AX308" s="51"/>
      <c r="AY308" s="51"/>
      <c r="AZ308" s="65"/>
      <c r="BA308" s="51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84"/>
      <c r="BV308" s="55"/>
      <c r="BW308" s="55"/>
      <c r="BX308" s="55"/>
      <c r="BY308" s="55"/>
      <c r="BZ308" s="55"/>
      <c r="CA308" s="55"/>
      <c r="CB308" s="55"/>
      <c r="CC308" s="55"/>
      <c r="CD308" s="55"/>
      <c r="CE308" s="55"/>
      <c r="CF308" s="55"/>
      <c r="CG308" s="55"/>
      <c r="CH308" s="55"/>
      <c r="CI308" s="55"/>
      <c r="CJ308" s="55"/>
      <c r="CK308" s="55"/>
      <c r="CL308" s="55"/>
      <c r="CM308" s="55"/>
      <c r="CN308" s="55"/>
      <c r="CO308" s="55"/>
      <c r="CP308" s="55"/>
      <c r="CQ308" s="55"/>
    </row>
    <row r="309" spans="2:95" s="35" customFormat="1" ht="12.75" customHeight="1">
      <c r="B309" s="51"/>
      <c r="D309" s="44"/>
      <c r="X309" s="51"/>
      <c r="Y309" s="51"/>
      <c r="AA309" s="47"/>
      <c r="AC309" s="51"/>
      <c r="AN309" s="51"/>
      <c r="AO309" s="51"/>
      <c r="AP309" s="51"/>
      <c r="AQ309" s="51"/>
      <c r="AR309" s="51"/>
      <c r="AS309" s="51"/>
      <c r="AT309" s="51"/>
      <c r="AU309" s="51"/>
      <c r="AV309" s="51"/>
      <c r="AW309" s="51"/>
      <c r="AX309" s="51"/>
      <c r="AY309" s="51"/>
      <c r="AZ309" s="65"/>
      <c r="BA309" s="51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84"/>
      <c r="BV309" s="55"/>
      <c r="BW309" s="55"/>
      <c r="BX309" s="55"/>
      <c r="BY309" s="55"/>
      <c r="BZ309" s="55"/>
      <c r="CA309" s="55"/>
      <c r="CB309" s="55"/>
      <c r="CC309" s="55"/>
      <c r="CD309" s="55"/>
      <c r="CE309" s="55"/>
      <c r="CF309" s="55"/>
      <c r="CG309" s="55"/>
      <c r="CH309" s="55"/>
      <c r="CI309" s="55"/>
      <c r="CJ309" s="55"/>
      <c r="CK309" s="55"/>
      <c r="CL309" s="55"/>
      <c r="CM309" s="55"/>
      <c r="CN309" s="55"/>
      <c r="CO309" s="55"/>
      <c r="CP309" s="55"/>
      <c r="CQ309" s="55"/>
    </row>
    <row r="310" spans="2:95" s="35" customFormat="1" ht="12.75" customHeight="1">
      <c r="B310" s="51"/>
      <c r="D310" s="44"/>
      <c r="X310" s="51"/>
      <c r="Y310" s="51"/>
      <c r="AA310" s="47"/>
      <c r="AC310" s="51"/>
      <c r="AN310" s="51"/>
      <c r="AO310" s="51"/>
      <c r="AP310" s="51"/>
      <c r="AQ310" s="51"/>
      <c r="AR310" s="51"/>
      <c r="AS310" s="51"/>
      <c r="AT310" s="51"/>
      <c r="AU310" s="51"/>
      <c r="AV310" s="51"/>
      <c r="AW310" s="51"/>
      <c r="AX310" s="51"/>
      <c r="AY310" s="51"/>
      <c r="AZ310" s="65"/>
      <c r="BA310" s="51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84"/>
      <c r="BV310" s="55"/>
      <c r="BW310" s="55"/>
      <c r="BX310" s="55"/>
      <c r="BY310" s="55"/>
      <c r="BZ310" s="55"/>
      <c r="CA310" s="55"/>
      <c r="CB310" s="55"/>
      <c r="CC310" s="55"/>
      <c r="CD310" s="55"/>
      <c r="CE310" s="55"/>
      <c r="CF310" s="55"/>
      <c r="CG310" s="55"/>
      <c r="CH310" s="55"/>
      <c r="CI310" s="55"/>
      <c r="CJ310" s="55"/>
      <c r="CK310" s="55"/>
      <c r="CL310" s="55"/>
      <c r="CM310" s="55"/>
      <c r="CN310" s="55"/>
      <c r="CO310" s="55"/>
      <c r="CP310" s="55"/>
      <c r="CQ310" s="55"/>
    </row>
    <row r="311" spans="2:95" s="35" customFormat="1" ht="12.75" customHeight="1">
      <c r="B311" s="51"/>
      <c r="D311" s="44"/>
      <c r="X311" s="51"/>
      <c r="Y311" s="51"/>
      <c r="AA311" s="47"/>
      <c r="AC311" s="51"/>
      <c r="AN311" s="51"/>
      <c r="AO311" s="51"/>
      <c r="AP311" s="51"/>
      <c r="AQ311" s="51"/>
      <c r="AR311" s="51"/>
      <c r="AS311" s="51"/>
      <c r="AT311" s="51"/>
      <c r="AU311" s="51"/>
      <c r="AV311" s="51"/>
      <c r="AW311" s="51"/>
      <c r="AX311" s="51"/>
      <c r="AY311" s="51"/>
      <c r="AZ311" s="65"/>
      <c r="BA311" s="51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84"/>
      <c r="BV311" s="55"/>
      <c r="BW311" s="55"/>
      <c r="BX311" s="55"/>
      <c r="BY311" s="55"/>
      <c r="BZ311" s="55"/>
      <c r="CA311" s="55"/>
      <c r="CB311" s="55"/>
      <c r="CC311" s="55"/>
      <c r="CD311" s="55"/>
      <c r="CE311" s="55"/>
      <c r="CF311" s="55"/>
      <c r="CG311" s="55"/>
      <c r="CH311" s="55"/>
      <c r="CI311" s="55"/>
      <c r="CJ311" s="55"/>
      <c r="CK311" s="55"/>
      <c r="CL311" s="55"/>
      <c r="CM311" s="55"/>
      <c r="CN311" s="55"/>
      <c r="CO311" s="55"/>
      <c r="CP311" s="55"/>
      <c r="CQ311" s="55"/>
    </row>
    <row r="312" spans="2:95" s="35" customFormat="1" ht="12.75" customHeight="1">
      <c r="B312" s="51"/>
      <c r="D312" s="44"/>
      <c r="X312" s="51"/>
      <c r="Y312" s="51"/>
      <c r="AA312" s="47"/>
      <c r="AC312" s="51"/>
      <c r="AN312" s="51"/>
      <c r="AO312" s="51"/>
      <c r="AP312" s="51"/>
      <c r="AQ312" s="51"/>
      <c r="AR312" s="51"/>
      <c r="AS312" s="51"/>
      <c r="AT312" s="51"/>
      <c r="AU312" s="51"/>
      <c r="AV312" s="51"/>
      <c r="AW312" s="51"/>
      <c r="AX312" s="51"/>
      <c r="AY312" s="51"/>
      <c r="AZ312" s="65"/>
      <c r="BA312" s="51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84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</row>
    <row r="313" spans="2:95" s="35" customFormat="1" ht="12.75" customHeight="1">
      <c r="B313" s="51"/>
      <c r="D313" s="44"/>
      <c r="X313" s="51"/>
      <c r="Y313" s="51"/>
      <c r="AA313" s="47"/>
      <c r="AC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65"/>
      <c r="BA313" s="51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84"/>
      <c r="BV313" s="55"/>
      <c r="BW313" s="55"/>
      <c r="BX313" s="55"/>
      <c r="BY313" s="55"/>
      <c r="BZ313" s="55"/>
      <c r="CA313" s="55"/>
      <c r="CB313" s="55"/>
      <c r="CC313" s="55"/>
      <c r="CD313" s="55"/>
      <c r="CE313" s="55"/>
      <c r="CF313" s="55"/>
      <c r="CG313" s="55"/>
      <c r="CH313" s="55"/>
      <c r="CI313" s="55"/>
      <c r="CJ313" s="55"/>
      <c r="CK313" s="55"/>
      <c r="CL313" s="55"/>
      <c r="CM313" s="55"/>
      <c r="CN313" s="55"/>
      <c r="CO313" s="55"/>
      <c r="CP313" s="55"/>
      <c r="CQ313" s="55"/>
    </row>
    <row r="314" spans="2:95" s="35" customFormat="1" ht="12.75" customHeight="1">
      <c r="B314" s="51"/>
      <c r="D314" s="44"/>
      <c r="X314" s="51"/>
      <c r="Y314" s="51"/>
      <c r="AA314" s="47"/>
      <c r="AC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65"/>
      <c r="BA314" s="51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84"/>
      <c r="BV314" s="55"/>
      <c r="BW314" s="55"/>
      <c r="BX314" s="55"/>
      <c r="BY314" s="55"/>
      <c r="BZ314" s="55"/>
      <c r="CA314" s="55"/>
      <c r="CB314" s="55"/>
      <c r="CC314" s="55"/>
      <c r="CD314" s="55"/>
      <c r="CE314" s="55"/>
      <c r="CF314" s="55"/>
      <c r="CG314" s="55"/>
      <c r="CH314" s="55"/>
      <c r="CI314" s="55"/>
      <c r="CJ314" s="55"/>
      <c r="CK314" s="55"/>
      <c r="CL314" s="55"/>
      <c r="CM314" s="55"/>
      <c r="CN314" s="55"/>
      <c r="CO314" s="55"/>
      <c r="CP314" s="55"/>
      <c r="CQ314" s="55"/>
    </row>
    <row r="315" spans="2:95" s="35" customFormat="1" ht="12.75" customHeight="1">
      <c r="B315" s="51"/>
      <c r="D315" s="44"/>
      <c r="X315" s="51"/>
      <c r="Y315" s="51"/>
      <c r="AA315" s="47"/>
      <c r="AC315" s="51"/>
      <c r="AN315" s="51"/>
      <c r="AO315" s="51"/>
      <c r="AP315" s="51"/>
      <c r="AQ315" s="51"/>
      <c r="AR315" s="51"/>
      <c r="AS315" s="51"/>
      <c r="AT315" s="51"/>
      <c r="AU315" s="51"/>
      <c r="AV315" s="51"/>
      <c r="AW315" s="51"/>
      <c r="AX315" s="51"/>
      <c r="AY315" s="51"/>
      <c r="AZ315" s="65"/>
      <c r="BA315" s="51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84"/>
      <c r="BV315" s="55"/>
      <c r="BW315" s="55"/>
      <c r="BX315" s="55"/>
      <c r="BY315" s="55"/>
      <c r="BZ315" s="55"/>
      <c r="CA315" s="55"/>
      <c r="CB315" s="55"/>
      <c r="CC315" s="55"/>
      <c r="CD315" s="55"/>
      <c r="CE315" s="55"/>
      <c r="CF315" s="55"/>
      <c r="CG315" s="55"/>
      <c r="CH315" s="55"/>
      <c r="CI315" s="55"/>
      <c r="CJ315" s="55"/>
      <c r="CK315" s="55"/>
      <c r="CL315" s="55"/>
      <c r="CM315" s="55"/>
      <c r="CN315" s="55"/>
      <c r="CO315" s="55"/>
      <c r="CP315" s="55"/>
      <c r="CQ315" s="55"/>
    </row>
    <row r="316" spans="2:95" s="35" customFormat="1" ht="12.75" customHeight="1">
      <c r="B316" s="51"/>
      <c r="D316" s="44"/>
      <c r="X316" s="51"/>
      <c r="Y316" s="51"/>
      <c r="AA316" s="47"/>
      <c r="AC316" s="51"/>
      <c r="AN316" s="51"/>
      <c r="AO316" s="51"/>
      <c r="AP316" s="51"/>
      <c r="AQ316" s="51"/>
      <c r="AR316" s="51"/>
      <c r="AS316" s="51"/>
      <c r="AT316" s="51"/>
      <c r="AU316" s="51"/>
      <c r="AV316" s="51"/>
      <c r="AW316" s="51"/>
      <c r="AX316" s="51"/>
      <c r="AY316" s="51"/>
      <c r="AZ316" s="65"/>
      <c r="BA316" s="51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84"/>
      <c r="BV316" s="55"/>
      <c r="BW316" s="55"/>
      <c r="BX316" s="55"/>
      <c r="BY316" s="55"/>
      <c r="BZ316" s="55"/>
      <c r="CA316" s="55"/>
      <c r="CB316" s="55"/>
      <c r="CC316" s="55"/>
      <c r="CD316" s="55"/>
      <c r="CE316" s="55"/>
      <c r="CF316" s="55"/>
      <c r="CG316" s="55"/>
      <c r="CH316" s="55"/>
      <c r="CI316" s="55"/>
      <c r="CJ316" s="55"/>
      <c r="CK316" s="55"/>
      <c r="CL316" s="55"/>
      <c r="CM316" s="55"/>
      <c r="CN316" s="55"/>
      <c r="CO316" s="55"/>
      <c r="CP316" s="55"/>
      <c r="CQ316" s="55"/>
    </row>
    <row r="317" spans="2:95" s="35" customFormat="1" ht="12.75" customHeight="1">
      <c r="B317" s="51"/>
      <c r="D317" s="44"/>
      <c r="X317" s="51"/>
      <c r="Y317" s="51"/>
      <c r="AA317" s="47"/>
      <c r="AC317" s="51"/>
      <c r="AN317" s="51"/>
      <c r="AO317" s="51"/>
      <c r="AP317" s="51"/>
      <c r="AQ317" s="51"/>
      <c r="AR317" s="51"/>
      <c r="AS317" s="51"/>
      <c r="AT317" s="51"/>
      <c r="AU317" s="51"/>
      <c r="AV317" s="51"/>
      <c r="AW317" s="51"/>
      <c r="AX317" s="51"/>
      <c r="AY317" s="51"/>
      <c r="AZ317" s="65"/>
      <c r="BA317" s="51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84"/>
      <c r="BV317" s="55"/>
      <c r="BW317" s="55"/>
      <c r="BX317" s="55"/>
      <c r="BY317" s="55"/>
      <c r="BZ317" s="55"/>
      <c r="CA317" s="55"/>
      <c r="CB317" s="55"/>
      <c r="CC317" s="55"/>
      <c r="CD317" s="55"/>
      <c r="CE317" s="55"/>
      <c r="CF317" s="55"/>
      <c r="CG317" s="55"/>
      <c r="CH317" s="55"/>
      <c r="CI317" s="55"/>
      <c r="CJ317" s="55"/>
      <c r="CK317" s="55"/>
      <c r="CL317" s="55"/>
      <c r="CM317" s="55"/>
      <c r="CN317" s="55"/>
      <c r="CO317" s="55"/>
      <c r="CP317" s="55"/>
      <c r="CQ317" s="55"/>
    </row>
    <row r="318" spans="2:95" s="35" customFormat="1" ht="12.75" customHeight="1">
      <c r="B318" s="51"/>
      <c r="D318" s="44"/>
      <c r="X318" s="51"/>
      <c r="Y318" s="51"/>
      <c r="AA318" s="47"/>
      <c r="AC318" s="51"/>
      <c r="AN318" s="51"/>
      <c r="AO318" s="51"/>
      <c r="AP318" s="51"/>
      <c r="AQ318" s="51"/>
      <c r="AR318" s="51"/>
      <c r="AS318" s="51"/>
      <c r="AT318" s="51"/>
      <c r="AU318" s="51"/>
      <c r="AV318" s="51"/>
      <c r="AW318" s="51"/>
      <c r="AX318" s="51"/>
      <c r="AY318" s="51"/>
      <c r="AZ318" s="65"/>
      <c r="BA318" s="51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84"/>
      <c r="BV318" s="55"/>
      <c r="BW318" s="55"/>
      <c r="BX318" s="55"/>
      <c r="BY318" s="55"/>
      <c r="BZ318" s="55"/>
      <c r="CA318" s="55"/>
      <c r="CB318" s="55"/>
      <c r="CC318" s="55"/>
      <c r="CD318" s="55"/>
      <c r="CE318" s="55"/>
      <c r="CF318" s="55"/>
      <c r="CG318" s="55"/>
      <c r="CH318" s="55"/>
      <c r="CI318" s="55"/>
      <c r="CJ318" s="55"/>
      <c r="CK318" s="55"/>
      <c r="CL318" s="55"/>
      <c r="CM318" s="55"/>
      <c r="CN318" s="55"/>
      <c r="CO318" s="55"/>
      <c r="CP318" s="55"/>
      <c r="CQ318" s="55"/>
    </row>
    <row r="319" spans="2:95" s="35" customFormat="1" ht="12.75" customHeight="1">
      <c r="B319" s="51"/>
      <c r="D319" s="44"/>
      <c r="X319" s="51"/>
      <c r="Y319" s="51"/>
      <c r="AA319" s="47"/>
      <c r="AC319" s="51"/>
      <c r="AN319" s="51"/>
      <c r="AO319" s="51"/>
      <c r="AP319" s="51"/>
      <c r="AQ319" s="51"/>
      <c r="AR319" s="51"/>
      <c r="AS319" s="51"/>
      <c r="AT319" s="51"/>
      <c r="AU319" s="51"/>
      <c r="AV319" s="51"/>
      <c r="AW319" s="51"/>
      <c r="AX319" s="51"/>
      <c r="AY319" s="51"/>
      <c r="AZ319" s="65"/>
      <c r="BA319" s="51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84"/>
      <c r="BV319" s="55"/>
      <c r="BW319" s="55"/>
      <c r="BX319" s="55"/>
      <c r="BY319" s="55"/>
      <c r="BZ319" s="55"/>
      <c r="CA319" s="55"/>
      <c r="CB319" s="55"/>
      <c r="CC319" s="55"/>
      <c r="CD319" s="55"/>
      <c r="CE319" s="55"/>
      <c r="CF319" s="55"/>
      <c r="CG319" s="55"/>
      <c r="CH319" s="55"/>
      <c r="CI319" s="55"/>
      <c r="CJ319" s="55"/>
      <c r="CK319" s="55"/>
      <c r="CL319" s="55"/>
      <c r="CM319" s="55"/>
      <c r="CN319" s="55"/>
      <c r="CO319" s="55"/>
      <c r="CP319" s="55"/>
      <c r="CQ319" s="55"/>
    </row>
    <row r="320" spans="2:95" s="35" customFormat="1" ht="12.75" customHeight="1">
      <c r="B320" s="51"/>
      <c r="D320" s="44"/>
      <c r="X320" s="51"/>
      <c r="Y320" s="51"/>
      <c r="AA320" s="47"/>
      <c r="AC320" s="51"/>
      <c r="AN320" s="51"/>
      <c r="AO320" s="51"/>
      <c r="AP320" s="51"/>
      <c r="AQ320" s="51"/>
      <c r="AR320" s="51"/>
      <c r="AS320" s="51"/>
      <c r="AT320" s="51"/>
      <c r="AU320" s="51"/>
      <c r="AV320" s="51"/>
      <c r="AW320" s="51"/>
      <c r="AX320" s="51"/>
      <c r="AY320" s="51"/>
      <c r="AZ320" s="65"/>
      <c r="BA320" s="51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84"/>
      <c r="BV320" s="55"/>
      <c r="BW320" s="55"/>
      <c r="BX320" s="55"/>
      <c r="BY320" s="55"/>
      <c r="BZ320" s="55"/>
      <c r="CA320" s="55"/>
      <c r="CB320" s="55"/>
      <c r="CC320" s="55"/>
      <c r="CD320" s="55"/>
      <c r="CE320" s="55"/>
      <c r="CF320" s="55"/>
      <c r="CG320" s="55"/>
      <c r="CH320" s="55"/>
      <c r="CI320" s="55"/>
      <c r="CJ320" s="55"/>
      <c r="CK320" s="55"/>
      <c r="CL320" s="55"/>
      <c r="CM320" s="55"/>
      <c r="CN320" s="55"/>
      <c r="CO320" s="55"/>
      <c r="CP320" s="55"/>
      <c r="CQ320" s="55"/>
    </row>
    <row r="321" spans="2:95" s="35" customFormat="1" ht="12.75" customHeight="1">
      <c r="B321" s="51"/>
      <c r="D321" s="44"/>
      <c r="X321" s="51"/>
      <c r="Y321" s="51"/>
      <c r="AA321" s="47"/>
      <c r="AC321" s="51"/>
      <c r="AN321" s="51"/>
      <c r="AO321" s="51"/>
      <c r="AP321" s="51"/>
      <c r="AQ321" s="51"/>
      <c r="AR321" s="51"/>
      <c r="AS321" s="51"/>
      <c r="AT321" s="51"/>
      <c r="AU321" s="51"/>
      <c r="AV321" s="51"/>
      <c r="AW321" s="51"/>
      <c r="AX321" s="51"/>
      <c r="AY321" s="51"/>
      <c r="AZ321" s="65"/>
      <c r="BA321" s="51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84"/>
      <c r="BV321" s="55"/>
      <c r="BW321" s="55"/>
      <c r="BX321" s="55"/>
      <c r="BY321" s="55"/>
      <c r="BZ321" s="55"/>
      <c r="CA321" s="55"/>
      <c r="CB321" s="55"/>
      <c r="CC321" s="55"/>
      <c r="CD321" s="55"/>
      <c r="CE321" s="55"/>
      <c r="CF321" s="55"/>
      <c r="CG321" s="55"/>
      <c r="CH321" s="55"/>
      <c r="CI321" s="55"/>
      <c r="CJ321" s="55"/>
      <c r="CK321" s="55"/>
      <c r="CL321" s="55"/>
      <c r="CM321" s="55"/>
      <c r="CN321" s="55"/>
      <c r="CO321" s="55"/>
      <c r="CP321" s="55"/>
      <c r="CQ321" s="55"/>
    </row>
    <row r="322" spans="2:95" s="35" customFormat="1" ht="12.75" customHeight="1">
      <c r="B322" s="51"/>
      <c r="D322" s="44"/>
      <c r="X322" s="51"/>
      <c r="Y322" s="51"/>
      <c r="AA322" s="47"/>
      <c r="AC322" s="51"/>
      <c r="AN322" s="51"/>
      <c r="AO322" s="51"/>
      <c r="AP322" s="51"/>
      <c r="AQ322" s="51"/>
      <c r="AR322" s="51"/>
      <c r="AS322" s="51"/>
      <c r="AT322" s="51"/>
      <c r="AU322" s="51"/>
      <c r="AV322" s="51"/>
      <c r="AW322" s="51"/>
      <c r="AX322" s="51"/>
      <c r="AY322" s="51"/>
      <c r="AZ322" s="65"/>
      <c r="BA322" s="51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84"/>
      <c r="BV322" s="55"/>
      <c r="BW322" s="55"/>
      <c r="BX322" s="55"/>
      <c r="BY322" s="55"/>
      <c r="BZ322" s="55"/>
      <c r="CA322" s="55"/>
      <c r="CB322" s="55"/>
      <c r="CC322" s="55"/>
      <c r="CD322" s="55"/>
      <c r="CE322" s="55"/>
      <c r="CF322" s="55"/>
      <c r="CG322" s="55"/>
      <c r="CH322" s="55"/>
      <c r="CI322" s="55"/>
      <c r="CJ322" s="55"/>
      <c r="CK322" s="55"/>
      <c r="CL322" s="55"/>
      <c r="CM322" s="55"/>
      <c r="CN322" s="55"/>
      <c r="CO322" s="55"/>
      <c r="CP322" s="55"/>
      <c r="CQ322" s="55"/>
    </row>
    <row r="323" spans="2:95" s="35" customFormat="1" ht="12.75" customHeight="1">
      <c r="B323" s="51"/>
      <c r="D323" s="44"/>
      <c r="X323" s="51"/>
      <c r="Y323" s="51"/>
      <c r="AA323" s="47"/>
      <c r="AC323" s="51"/>
      <c r="AN323" s="51"/>
      <c r="AO323" s="51"/>
      <c r="AP323" s="51"/>
      <c r="AQ323" s="51"/>
      <c r="AR323" s="51"/>
      <c r="AS323" s="51"/>
      <c r="AT323" s="51"/>
      <c r="AU323" s="51"/>
      <c r="AV323" s="51"/>
      <c r="AW323" s="51"/>
      <c r="AX323" s="51"/>
      <c r="AY323" s="51"/>
      <c r="AZ323" s="65"/>
      <c r="BA323" s="51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84"/>
      <c r="BV323" s="55"/>
      <c r="BW323" s="55"/>
      <c r="BX323" s="55"/>
      <c r="BY323" s="55"/>
      <c r="BZ323" s="55"/>
      <c r="CA323" s="55"/>
      <c r="CB323" s="55"/>
      <c r="CC323" s="55"/>
      <c r="CD323" s="55"/>
      <c r="CE323" s="55"/>
      <c r="CF323" s="55"/>
      <c r="CG323" s="55"/>
      <c r="CH323" s="55"/>
      <c r="CI323" s="55"/>
      <c r="CJ323" s="55"/>
      <c r="CK323" s="55"/>
      <c r="CL323" s="55"/>
      <c r="CM323" s="55"/>
      <c r="CN323" s="55"/>
      <c r="CO323" s="55"/>
      <c r="CP323" s="55"/>
      <c r="CQ323" s="55"/>
    </row>
    <row r="324" spans="2:95" s="35" customFormat="1" ht="12.75" customHeight="1">
      <c r="B324" s="51"/>
      <c r="D324" s="44"/>
      <c r="X324" s="51"/>
      <c r="Y324" s="51"/>
      <c r="AA324" s="47"/>
      <c r="AC324" s="51"/>
      <c r="AN324" s="51"/>
      <c r="AO324" s="51"/>
      <c r="AP324" s="51"/>
      <c r="AQ324" s="51"/>
      <c r="AR324" s="51"/>
      <c r="AS324" s="51"/>
      <c r="AT324" s="51"/>
      <c r="AU324" s="51"/>
      <c r="AV324" s="51"/>
      <c r="AW324" s="51"/>
      <c r="AX324" s="51"/>
      <c r="AY324" s="51"/>
      <c r="AZ324" s="65"/>
      <c r="BA324" s="51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84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</row>
    <row r="325" spans="2:95" s="35" customFormat="1" ht="12.75" customHeight="1">
      <c r="B325" s="51"/>
      <c r="D325" s="44"/>
      <c r="X325" s="51"/>
      <c r="Y325" s="51"/>
      <c r="AA325" s="47"/>
      <c r="AC325" s="51"/>
      <c r="AN325" s="51"/>
      <c r="AO325" s="51"/>
      <c r="AP325" s="51"/>
      <c r="AQ325" s="51"/>
      <c r="AR325" s="51"/>
      <c r="AS325" s="51"/>
      <c r="AT325" s="51"/>
      <c r="AU325" s="51"/>
      <c r="AV325" s="51"/>
      <c r="AW325" s="51"/>
      <c r="AX325" s="51"/>
      <c r="AY325" s="51"/>
      <c r="AZ325" s="65"/>
      <c r="BA325" s="51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84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</row>
    <row r="326" spans="2:95" s="35" customFormat="1" ht="12.75" customHeight="1">
      <c r="B326" s="51"/>
      <c r="D326" s="44"/>
      <c r="X326" s="51"/>
      <c r="Y326" s="51"/>
      <c r="AA326" s="47"/>
      <c r="AC326" s="51"/>
      <c r="AN326" s="51"/>
      <c r="AO326" s="51"/>
      <c r="AP326" s="51"/>
      <c r="AQ326" s="51"/>
      <c r="AR326" s="51"/>
      <c r="AS326" s="51"/>
      <c r="AT326" s="51"/>
      <c r="AU326" s="51"/>
      <c r="AV326" s="51"/>
      <c r="AW326" s="51"/>
      <c r="AX326" s="51"/>
      <c r="AY326" s="51"/>
      <c r="AZ326" s="65"/>
      <c r="BA326" s="51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84"/>
      <c r="BV326" s="55"/>
      <c r="BW326" s="55"/>
      <c r="BX326" s="55"/>
      <c r="BY326" s="55"/>
      <c r="BZ326" s="55"/>
      <c r="CA326" s="55"/>
      <c r="CB326" s="55"/>
      <c r="CC326" s="55"/>
      <c r="CD326" s="55"/>
      <c r="CE326" s="55"/>
      <c r="CF326" s="55"/>
      <c r="CG326" s="55"/>
      <c r="CH326" s="55"/>
      <c r="CI326" s="55"/>
      <c r="CJ326" s="55"/>
      <c r="CK326" s="55"/>
      <c r="CL326" s="55"/>
      <c r="CM326" s="55"/>
      <c r="CN326" s="55"/>
      <c r="CO326" s="55"/>
      <c r="CP326" s="55"/>
      <c r="CQ326" s="55"/>
    </row>
    <row r="327" spans="2:95" s="35" customFormat="1" ht="12.75" customHeight="1">
      <c r="B327" s="51"/>
      <c r="D327" s="44"/>
      <c r="X327" s="51"/>
      <c r="Y327" s="51"/>
      <c r="AA327" s="47"/>
      <c r="AC327" s="51"/>
      <c r="AN327" s="51"/>
      <c r="AO327" s="51"/>
      <c r="AP327" s="51"/>
      <c r="AQ327" s="51"/>
      <c r="AR327" s="51"/>
      <c r="AS327" s="51"/>
      <c r="AT327" s="51"/>
      <c r="AU327" s="51"/>
      <c r="AV327" s="51"/>
      <c r="AW327" s="51"/>
      <c r="AX327" s="51"/>
      <c r="AY327" s="51"/>
      <c r="AZ327" s="65"/>
      <c r="BA327" s="51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84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</row>
    <row r="328" spans="2:95" s="35" customFormat="1" ht="12.75" customHeight="1">
      <c r="B328" s="51"/>
      <c r="D328" s="44"/>
      <c r="X328" s="51"/>
      <c r="Y328" s="51"/>
      <c r="AA328" s="47"/>
      <c r="AC328" s="51"/>
      <c r="AN328" s="51"/>
      <c r="AO328" s="51"/>
      <c r="AP328" s="51"/>
      <c r="AQ328" s="51"/>
      <c r="AR328" s="51"/>
      <c r="AS328" s="51"/>
      <c r="AT328" s="51"/>
      <c r="AU328" s="51"/>
      <c r="AV328" s="51"/>
      <c r="AW328" s="51"/>
      <c r="AX328" s="51"/>
      <c r="AY328" s="51"/>
      <c r="AZ328" s="65"/>
      <c r="BA328" s="51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84"/>
      <c r="BV328" s="55"/>
      <c r="BW328" s="55"/>
      <c r="BX328" s="55"/>
      <c r="BY328" s="55"/>
      <c r="BZ328" s="55"/>
      <c r="CA328" s="55"/>
      <c r="CB328" s="55"/>
      <c r="CC328" s="55"/>
      <c r="CD328" s="55"/>
      <c r="CE328" s="55"/>
      <c r="CF328" s="55"/>
      <c r="CG328" s="55"/>
      <c r="CH328" s="55"/>
      <c r="CI328" s="55"/>
      <c r="CJ328" s="55"/>
      <c r="CK328" s="55"/>
      <c r="CL328" s="55"/>
      <c r="CM328" s="55"/>
      <c r="CN328" s="55"/>
      <c r="CO328" s="55"/>
      <c r="CP328" s="55"/>
      <c r="CQ328" s="55"/>
    </row>
    <row r="329" spans="2:95" s="35" customFormat="1" ht="12.75" customHeight="1">
      <c r="B329" s="51"/>
      <c r="D329" s="44"/>
      <c r="X329" s="51"/>
      <c r="Y329" s="51"/>
      <c r="AA329" s="47"/>
      <c r="AC329" s="51"/>
      <c r="AN329" s="51"/>
      <c r="AO329" s="51"/>
      <c r="AP329" s="51"/>
      <c r="AQ329" s="51"/>
      <c r="AR329" s="51"/>
      <c r="AS329" s="51"/>
      <c r="AT329" s="51"/>
      <c r="AU329" s="51"/>
      <c r="AV329" s="51"/>
      <c r="AW329" s="51"/>
      <c r="AX329" s="51"/>
      <c r="AY329" s="51"/>
      <c r="AZ329" s="65"/>
      <c r="BA329" s="51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84"/>
      <c r="BV329" s="55"/>
      <c r="BW329" s="55"/>
      <c r="BX329" s="55"/>
      <c r="BY329" s="55"/>
      <c r="BZ329" s="55"/>
      <c r="CA329" s="55"/>
      <c r="CB329" s="55"/>
      <c r="CC329" s="55"/>
      <c r="CD329" s="55"/>
      <c r="CE329" s="55"/>
      <c r="CF329" s="55"/>
      <c r="CG329" s="55"/>
      <c r="CH329" s="55"/>
      <c r="CI329" s="55"/>
      <c r="CJ329" s="55"/>
      <c r="CK329" s="55"/>
      <c r="CL329" s="55"/>
      <c r="CM329" s="55"/>
      <c r="CN329" s="55"/>
      <c r="CO329" s="55"/>
      <c r="CP329" s="55"/>
      <c r="CQ329" s="55"/>
    </row>
    <row r="330" spans="2:95" s="35" customFormat="1" ht="12.75" customHeight="1">
      <c r="B330" s="51"/>
      <c r="D330" s="44"/>
      <c r="X330" s="51"/>
      <c r="Y330" s="51"/>
      <c r="AA330" s="47"/>
      <c r="AC330" s="51"/>
      <c r="AN330" s="51"/>
      <c r="AO330" s="51"/>
      <c r="AP330" s="51"/>
      <c r="AQ330" s="51"/>
      <c r="AR330" s="51"/>
      <c r="AS330" s="51"/>
      <c r="AT330" s="51"/>
      <c r="AU330" s="51"/>
      <c r="AV330" s="51"/>
      <c r="AW330" s="51"/>
      <c r="AX330" s="51"/>
      <c r="AY330" s="51"/>
      <c r="AZ330" s="65"/>
      <c r="BA330" s="51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84"/>
      <c r="BV330" s="55"/>
      <c r="BW330" s="55"/>
      <c r="BX330" s="55"/>
      <c r="BY330" s="55"/>
      <c r="BZ330" s="55"/>
      <c r="CA330" s="55"/>
      <c r="CB330" s="55"/>
      <c r="CC330" s="55"/>
      <c r="CD330" s="55"/>
      <c r="CE330" s="55"/>
      <c r="CF330" s="55"/>
      <c r="CG330" s="55"/>
      <c r="CH330" s="55"/>
      <c r="CI330" s="55"/>
      <c r="CJ330" s="55"/>
      <c r="CK330" s="55"/>
      <c r="CL330" s="55"/>
      <c r="CM330" s="55"/>
      <c r="CN330" s="55"/>
      <c r="CO330" s="55"/>
      <c r="CP330" s="55"/>
      <c r="CQ330" s="55"/>
    </row>
    <row r="331" spans="2:95" s="35" customFormat="1" ht="12.75" customHeight="1">
      <c r="B331" s="51"/>
      <c r="D331" s="44"/>
      <c r="X331" s="51"/>
      <c r="Y331" s="51"/>
      <c r="AA331" s="47"/>
      <c r="AC331" s="51"/>
      <c r="AN331" s="51"/>
      <c r="AO331" s="51"/>
      <c r="AP331" s="51"/>
      <c r="AQ331" s="51"/>
      <c r="AR331" s="51"/>
      <c r="AS331" s="51"/>
      <c r="AT331" s="51"/>
      <c r="AU331" s="51"/>
      <c r="AV331" s="51"/>
      <c r="AW331" s="51"/>
      <c r="AX331" s="51"/>
      <c r="AY331" s="51"/>
      <c r="AZ331" s="65"/>
      <c r="BA331" s="51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84"/>
      <c r="BV331" s="55"/>
      <c r="BW331" s="55"/>
      <c r="BX331" s="55"/>
      <c r="BY331" s="55"/>
      <c r="BZ331" s="55"/>
      <c r="CA331" s="55"/>
      <c r="CB331" s="55"/>
      <c r="CC331" s="55"/>
      <c r="CD331" s="55"/>
      <c r="CE331" s="55"/>
      <c r="CF331" s="55"/>
      <c r="CG331" s="55"/>
      <c r="CH331" s="55"/>
      <c r="CI331" s="55"/>
      <c r="CJ331" s="55"/>
      <c r="CK331" s="55"/>
      <c r="CL331" s="55"/>
      <c r="CM331" s="55"/>
      <c r="CN331" s="55"/>
      <c r="CO331" s="55"/>
      <c r="CP331" s="55"/>
      <c r="CQ331" s="55"/>
    </row>
    <row r="332" spans="2:95" s="35" customFormat="1" ht="12.75" customHeight="1">
      <c r="B332" s="51"/>
      <c r="D332" s="44"/>
      <c r="X332" s="51"/>
      <c r="Y332" s="51"/>
      <c r="AA332" s="47"/>
      <c r="AC332" s="51"/>
      <c r="AN332" s="51"/>
      <c r="AO332" s="51"/>
      <c r="AP332" s="51"/>
      <c r="AQ332" s="51"/>
      <c r="AR332" s="51"/>
      <c r="AS332" s="51"/>
      <c r="AT332" s="51"/>
      <c r="AU332" s="51"/>
      <c r="AV332" s="51"/>
      <c r="AW332" s="51"/>
      <c r="AX332" s="51"/>
      <c r="AY332" s="51"/>
      <c r="AZ332" s="65"/>
      <c r="BA332" s="51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84"/>
      <c r="BV332" s="55"/>
      <c r="BW332" s="55"/>
      <c r="BX332" s="55"/>
      <c r="BY332" s="55"/>
      <c r="BZ332" s="55"/>
      <c r="CA332" s="55"/>
      <c r="CB332" s="55"/>
      <c r="CC332" s="55"/>
      <c r="CD332" s="55"/>
      <c r="CE332" s="55"/>
      <c r="CF332" s="55"/>
      <c r="CG332" s="55"/>
      <c r="CH332" s="55"/>
      <c r="CI332" s="55"/>
      <c r="CJ332" s="55"/>
      <c r="CK332" s="55"/>
      <c r="CL332" s="55"/>
      <c r="CM332" s="55"/>
      <c r="CN332" s="55"/>
      <c r="CO332" s="55"/>
      <c r="CP332" s="55"/>
      <c r="CQ332" s="55"/>
    </row>
    <row r="333" spans="2:95" s="35" customFormat="1" ht="12.75" customHeight="1">
      <c r="B333" s="51"/>
      <c r="D333" s="44"/>
      <c r="X333" s="51"/>
      <c r="Y333" s="51"/>
      <c r="AA333" s="47"/>
      <c r="AC333" s="51"/>
      <c r="AN333" s="51"/>
      <c r="AO333" s="51"/>
      <c r="AP333" s="51"/>
      <c r="AQ333" s="51"/>
      <c r="AR333" s="51"/>
      <c r="AS333" s="51"/>
      <c r="AT333" s="51"/>
      <c r="AU333" s="51"/>
      <c r="AV333" s="51"/>
      <c r="AW333" s="51"/>
      <c r="AX333" s="51"/>
      <c r="AY333" s="51"/>
      <c r="AZ333" s="65"/>
      <c r="BA333" s="51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84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</row>
    <row r="334" spans="2:95" s="35" customFormat="1" ht="12.75" customHeight="1">
      <c r="B334" s="51"/>
      <c r="D334" s="44"/>
      <c r="X334" s="51"/>
      <c r="Y334" s="51"/>
      <c r="AA334" s="47"/>
      <c r="AC334" s="51"/>
      <c r="AN334" s="51"/>
      <c r="AO334" s="51"/>
      <c r="AP334" s="51"/>
      <c r="AQ334" s="51"/>
      <c r="AR334" s="51"/>
      <c r="AS334" s="51"/>
      <c r="AT334" s="51"/>
      <c r="AU334" s="51"/>
      <c r="AV334" s="51"/>
      <c r="AW334" s="51"/>
      <c r="AX334" s="51"/>
      <c r="AY334" s="51"/>
      <c r="AZ334" s="65"/>
      <c r="BA334" s="51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84"/>
      <c r="BV334" s="55"/>
      <c r="BW334" s="55"/>
      <c r="BX334" s="55"/>
      <c r="BY334" s="55"/>
      <c r="BZ334" s="55"/>
      <c r="CA334" s="55"/>
      <c r="CB334" s="55"/>
      <c r="CC334" s="55"/>
      <c r="CD334" s="55"/>
      <c r="CE334" s="55"/>
      <c r="CF334" s="55"/>
      <c r="CG334" s="55"/>
      <c r="CH334" s="55"/>
      <c r="CI334" s="55"/>
      <c r="CJ334" s="55"/>
      <c r="CK334" s="55"/>
      <c r="CL334" s="55"/>
      <c r="CM334" s="55"/>
      <c r="CN334" s="55"/>
      <c r="CO334" s="55"/>
      <c r="CP334" s="55"/>
      <c r="CQ334" s="55"/>
    </row>
    <row r="335" spans="2:95" s="35" customFormat="1" ht="12.75" customHeight="1">
      <c r="B335" s="51"/>
      <c r="D335" s="44"/>
      <c r="X335" s="51"/>
      <c r="Y335" s="51"/>
      <c r="AA335" s="47"/>
      <c r="AC335" s="51"/>
      <c r="AN335" s="51"/>
      <c r="AO335" s="51"/>
      <c r="AP335" s="51"/>
      <c r="AQ335" s="51"/>
      <c r="AR335" s="51"/>
      <c r="AS335" s="51"/>
      <c r="AT335" s="51"/>
      <c r="AU335" s="51"/>
      <c r="AV335" s="51"/>
      <c r="AW335" s="51"/>
      <c r="AX335" s="51"/>
      <c r="AY335" s="51"/>
      <c r="AZ335" s="65"/>
      <c r="BA335" s="51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84"/>
      <c r="BV335" s="55"/>
      <c r="BW335" s="55"/>
      <c r="BX335" s="55"/>
      <c r="BY335" s="55"/>
      <c r="BZ335" s="55"/>
      <c r="CA335" s="55"/>
      <c r="CB335" s="55"/>
      <c r="CC335" s="55"/>
      <c r="CD335" s="55"/>
      <c r="CE335" s="55"/>
      <c r="CF335" s="55"/>
      <c r="CG335" s="55"/>
      <c r="CH335" s="55"/>
      <c r="CI335" s="55"/>
      <c r="CJ335" s="55"/>
      <c r="CK335" s="55"/>
      <c r="CL335" s="55"/>
      <c r="CM335" s="55"/>
      <c r="CN335" s="55"/>
      <c r="CO335" s="55"/>
      <c r="CP335" s="55"/>
      <c r="CQ335" s="55"/>
    </row>
    <row r="336" spans="2:95" s="35" customFormat="1" ht="12.75" customHeight="1">
      <c r="B336" s="51"/>
      <c r="D336" s="44"/>
      <c r="X336" s="51"/>
      <c r="Y336" s="51"/>
      <c r="AA336" s="47"/>
      <c r="AC336" s="51"/>
      <c r="AN336" s="51"/>
      <c r="AO336" s="51"/>
      <c r="AP336" s="51"/>
      <c r="AQ336" s="51"/>
      <c r="AR336" s="51"/>
      <c r="AS336" s="51"/>
      <c r="AT336" s="51"/>
      <c r="AU336" s="51"/>
      <c r="AV336" s="51"/>
      <c r="AW336" s="51"/>
      <c r="AX336" s="51"/>
      <c r="AY336" s="51"/>
      <c r="AZ336" s="65"/>
      <c r="BA336" s="51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84"/>
      <c r="BV336" s="55"/>
      <c r="BW336" s="55"/>
      <c r="BX336" s="55"/>
      <c r="BY336" s="55"/>
      <c r="BZ336" s="55"/>
      <c r="CA336" s="55"/>
      <c r="CB336" s="55"/>
      <c r="CC336" s="55"/>
      <c r="CD336" s="55"/>
      <c r="CE336" s="55"/>
      <c r="CF336" s="55"/>
      <c r="CG336" s="55"/>
      <c r="CH336" s="55"/>
      <c r="CI336" s="55"/>
      <c r="CJ336" s="55"/>
      <c r="CK336" s="55"/>
      <c r="CL336" s="55"/>
      <c r="CM336" s="55"/>
      <c r="CN336" s="55"/>
      <c r="CO336" s="55"/>
      <c r="CP336" s="55"/>
      <c r="CQ336" s="55"/>
    </row>
    <row r="337" spans="2:95" s="35" customFormat="1" ht="12.75" customHeight="1">
      <c r="B337" s="51"/>
      <c r="D337" s="44"/>
      <c r="X337" s="51"/>
      <c r="Y337" s="51"/>
      <c r="AA337" s="47"/>
      <c r="AC337" s="51"/>
      <c r="AN337" s="51"/>
      <c r="AO337" s="51"/>
      <c r="AP337" s="51"/>
      <c r="AQ337" s="51"/>
      <c r="AR337" s="51"/>
      <c r="AS337" s="51"/>
      <c r="AT337" s="51"/>
      <c r="AU337" s="51"/>
      <c r="AV337" s="51"/>
      <c r="AW337" s="51"/>
      <c r="AX337" s="51"/>
      <c r="AY337" s="51"/>
      <c r="AZ337" s="65"/>
      <c r="BA337" s="51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84"/>
      <c r="BV337" s="55"/>
      <c r="BW337" s="55"/>
      <c r="BX337" s="55"/>
      <c r="BY337" s="55"/>
      <c r="BZ337" s="55"/>
      <c r="CA337" s="55"/>
      <c r="CB337" s="55"/>
      <c r="CC337" s="55"/>
      <c r="CD337" s="55"/>
      <c r="CE337" s="55"/>
      <c r="CF337" s="55"/>
      <c r="CG337" s="55"/>
      <c r="CH337" s="55"/>
      <c r="CI337" s="55"/>
      <c r="CJ337" s="55"/>
      <c r="CK337" s="55"/>
      <c r="CL337" s="55"/>
      <c r="CM337" s="55"/>
      <c r="CN337" s="55"/>
      <c r="CO337" s="55"/>
      <c r="CP337" s="55"/>
      <c r="CQ337" s="55"/>
    </row>
    <row r="338" spans="2:95" s="35" customFormat="1" ht="12.75" customHeight="1">
      <c r="B338" s="51"/>
      <c r="D338" s="44"/>
      <c r="X338" s="51"/>
      <c r="Y338" s="51"/>
      <c r="AA338" s="47"/>
      <c r="AC338" s="51"/>
      <c r="AN338" s="51"/>
      <c r="AO338" s="51"/>
      <c r="AP338" s="51"/>
      <c r="AQ338" s="51"/>
      <c r="AR338" s="51"/>
      <c r="AS338" s="51"/>
      <c r="AT338" s="51"/>
      <c r="AU338" s="51"/>
      <c r="AV338" s="51"/>
      <c r="AW338" s="51"/>
      <c r="AX338" s="51"/>
      <c r="AY338" s="51"/>
      <c r="AZ338" s="65"/>
      <c r="BA338" s="51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84"/>
      <c r="BV338" s="55"/>
      <c r="BW338" s="55"/>
      <c r="BX338" s="55"/>
      <c r="BY338" s="55"/>
      <c r="BZ338" s="55"/>
      <c r="CA338" s="55"/>
      <c r="CB338" s="55"/>
      <c r="CC338" s="55"/>
      <c r="CD338" s="55"/>
      <c r="CE338" s="55"/>
      <c r="CF338" s="55"/>
      <c r="CG338" s="55"/>
      <c r="CH338" s="55"/>
      <c r="CI338" s="55"/>
      <c r="CJ338" s="55"/>
      <c r="CK338" s="55"/>
      <c r="CL338" s="55"/>
      <c r="CM338" s="55"/>
      <c r="CN338" s="55"/>
      <c r="CO338" s="55"/>
      <c r="CP338" s="55"/>
      <c r="CQ338" s="55"/>
    </row>
    <row r="339" spans="2:95" s="35" customFormat="1" ht="12.75" customHeight="1">
      <c r="B339" s="51"/>
      <c r="D339" s="44"/>
      <c r="X339" s="51"/>
      <c r="Y339" s="51"/>
      <c r="AA339" s="47"/>
      <c r="AC339" s="51"/>
      <c r="AN339" s="51"/>
      <c r="AO339" s="51"/>
      <c r="AP339" s="51"/>
      <c r="AQ339" s="51"/>
      <c r="AR339" s="51"/>
      <c r="AS339" s="51"/>
      <c r="AT339" s="51"/>
      <c r="AU339" s="51"/>
      <c r="AV339" s="51"/>
      <c r="AW339" s="51"/>
      <c r="AX339" s="51"/>
      <c r="AY339" s="51"/>
      <c r="AZ339" s="65"/>
      <c r="BA339" s="51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84"/>
      <c r="BV339" s="55"/>
      <c r="BW339" s="55"/>
      <c r="BX339" s="55"/>
      <c r="BY339" s="55"/>
      <c r="BZ339" s="55"/>
      <c r="CA339" s="55"/>
      <c r="CB339" s="55"/>
      <c r="CC339" s="55"/>
      <c r="CD339" s="55"/>
      <c r="CE339" s="55"/>
      <c r="CF339" s="55"/>
      <c r="CG339" s="55"/>
      <c r="CH339" s="55"/>
      <c r="CI339" s="55"/>
      <c r="CJ339" s="55"/>
      <c r="CK339" s="55"/>
      <c r="CL339" s="55"/>
      <c r="CM339" s="55"/>
      <c r="CN339" s="55"/>
      <c r="CO339" s="55"/>
      <c r="CP339" s="55"/>
      <c r="CQ339" s="55"/>
    </row>
    <row r="340" spans="2:95" s="35" customFormat="1" ht="12.75" customHeight="1">
      <c r="B340" s="51"/>
      <c r="D340" s="44"/>
      <c r="X340" s="51"/>
      <c r="Y340" s="51"/>
      <c r="AA340" s="47"/>
      <c r="AC340" s="51"/>
      <c r="AN340" s="51"/>
      <c r="AO340" s="51"/>
      <c r="AP340" s="51"/>
      <c r="AQ340" s="51"/>
      <c r="AR340" s="51"/>
      <c r="AS340" s="51"/>
      <c r="AT340" s="51"/>
      <c r="AU340" s="51"/>
      <c r="AV340" s="51"/>
      <c r="AW340" s="51"/>
      <c r="AX340" s="51"/>
      <c r="AY340" s="51"/>
      <c r="AZ340" s="65"/>
      <c r="BA340" s="51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84"/>
      <c r="BV340" s="55"/>
      <c r="BW340" s="55"/>
      <c r="BX340" s="55"/>
      <c r="BY340" s="55"/>
      <c r="BZ340" s="55"/>
      <c r="CA340" s="55"/>
      <c r="CB340" s="55"/>
      <c r="CC340" s="55"/>
      <c r="CD340" s="55"/>
      <c r="CE340" s="55"/>
      <c r="CF340" s="55"/>
      <c r="CG340" s="55"/>
      <c r="CH340" s="55"/>
      <c r="CI340" s="55"/>
      <c r="CJ340" s="55"/>
      <c r="CK340" s="55"/>
      <c r="CL340" s="55"/>
      <c r="CM340" s="55"/>
      <c r="CN340" s="55"/>
      <c r="CO340" s="55"/>
      <c r="CP340" s="55"/>
      <c r="CQ340" s="55"/>
    </row>
    <row r="341" spans="2:95" s="35" customFormat="1" ht="12.75" customHeight="1">
      <c r="B341" s="51"/>
      <c r="D341" s="44"/>
      <c r="X341" s="51"/>
      <c r="Y341" s="51"/>
      <c r="AA341" s="47"/>
      <c r="AC341" s="51"/>
      <c r="AN341" s="51"/>
      <c r="AO341" s="51"/>
      <c r="AP341" s="51"/>
      <c r="AQ341" s="51"/>
      <c r="AR341" s="51"/>
      <c r="AS341" s="51"/>
      <c r="AT341" s="51"/>
      <c r="AU341" s="51"/>
      <c r="AV341" s="51"/>
      <c r="AW341" s="51"/>
      <c r="AX341" s="51"/>
      <c r="AY341" s="51"/>
      <c r="AZ341" s="65"/>
      <c r="BA341" s="51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84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</row>
    <row r="342" spans="2:95" s="35" customFormat="1" ht="12.75" customHeight="1">
      <c r="B342" s="51"/>
      <c r="D342" s="44"/>
      <c r="X342" s="51"/>
      <c r="Y342" s="51"/>
      <c r="AA342" s="47"/>
      <c r="AC342" s="51"/>
      <c r="AN342" s="51"/>
      <c r="AO342" s="51"/>
      <c r="AP342" s="51"/>
      <c r="AQ342" s="51"/>
      <c r="AR342" s="51"/>
      <c r="AS342" s="51"/>
      <c r="AT342" s="51"/>
      <c r="AU342" s="51"/>
      <c r="AV342" s="51"/>
      <c r="AW342" s="51"/>
      <c r="AX342" s="51"/>
      <c r="AY342" s="51"/>
      <c r="AZ342" s="65"/>
      <c r="BA342" s="51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84"/>
      <c r="BV342" s="55"/>
      <c r="BW342" s="55"/>
      <c r="BX342" s="55"/>
      <c r="BY342" s="55"/>
      <c r="BZ342" s="55"/>
      <c r="CA342" s="55"/>
      <c r="CB342" s="55"/>
      <c r="CC342" s="55"/>
      <c r="CD342" s="55"/>
      <c r="CE342" s="55"/>
      <c r="CF342" s="55"/>
      <c r="CG342" s="55"/>
      <c r="CH342" s="55"/>
      <c r="CI342" s="55"/>
      <c r="CJ342" s="55"/>
      <c r="CK342" s="55"/>
      <c r="CL342" s="55"/>
      <c r="CM342" s="55"/>
      <c r="CN342" s="55"/>
      <c r="CO342" s="55"/>
      <c r="CP342" s="55"/>
      <c r="CQ342" s="55"/>
    </row>
    <row r="343" spans="2:95" s="35" customFormat="1" ht="12.75" customHeight="1">
      <c r="B343" s="51"/>
      <c r="D343" s="44"/>
      <c r="X343" s="51"/>
      <c r="Y343" s="51"/>
      <c r="AA343" s="47"/>
      <c r="AC343" s="51"/>
      <c r="AN343" s="51"/>
      <c r="AO343" s="51"/>
      <c r="AP343" s="51"/>
      <c r="AQ343" s="51"/>
      <c r="AR343" s="51"/>
      <c r="AS343" s="51"/>
      <c r="AT343" s="51"/>
      <c r="AU343" s="51"/>
      <c r="AV343" s="51"/>
      <c r="AW343" s="51"/>
      <c r="AX343" s="51"/>
      <c r="AY343" s="51"/>
      <c r="AZ343" s="65"/>
      <c r="BA343" s="51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84"/>
      <c r="BV343" s="55"/>
      <c r="BW343" s="55"/>
      <c r="BX343" s="55"/>
      <c r="BY343" s="55"/>
      <c r="BZ343" s="55"/>
      <c r="CA343" s="55"/>
      <c r="CB343" s="55"/>
      <c r="CC343" s="55"/>
      <c r="CD343" s="55"/>
      <c r="CE343" s="55"/>
      <c r="CF343" s="55"/>
      <c r="CG343" s="55"/>
      <c r="CH343" s="55"/>
      <c r="CI343" s="55"/>
      <c r="CJ343" s="55"/>
      <c r="CK343" s="55"/>
      <c r="CL343" s="55"/>
      <c r="CM343" s="55"/>
      <c r="CN343" s="55"/>
      <c r="CO343" s="55"/>
      <c r="CP343" s="55"/>
      <c r="CQ343" s="55"/>
    </row>
  </sheetData>
  <mergeCells count="1">
    <mergeCell ref="Q7:U7"/>
  </mergeCells>
  <phoneticPr fontId="4" type="noConversion"/>
  <pageMargins left="0.75" right="0.75" top="0.5" bottom="0.5" header="0" footer="0.25"/>
  <pageSetup scale="85" firstPageNumber="76" pageOrder="overThenDown" orientation="portrait" useFirstPageNumber="1" r:id="rId1"/>
  <headerFooter alignWithMargins="0">
    <oddFooter>&amp;C&amp;"Times New Roman,Regular"&amp;11&amp;P</oddFooter>
  </headerFooter>
  <rowBreaks count="6" manualBreakCount="6">
    <brk id="94" max="22" man="1"/>
    <brk id="94" min="25" max="51" man="1"/>
    <brk id="94" min="53" max="65" man="1"/>
    <brk id="185" max="22" man="1"/>
    <brk id="185" min="25" max="51" man="1"/>
    <brk id="185" min="53" max="65" man="1"/>
  </rowBreaks>
  <colBreaks count="4" manualBreakCount="4">
    <brk id="14" min="11" max="254" man="1"/>
    <brk id="23" min="11" max="251" man="1"/>
    <brk id="39" min="11" max="254" man="1"/>
    <brk id="53" min="11" max="25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dimension ref="A1:DD315"/>
  <sheetViews>
    <sheetView view="pageBreakPreview" zoomScale="180" zoomScaleNormal="100" zoomScaleSheetLayoutView="180" workbookViewId="0">
      <pane xSplit="4" ySplit="8" topLeftCell="E199" activePane="bottomRight" state="frozen"/>
      <selection activeCell="A49" sqref="A49:IV50"/>
      <selection pane="topRight" activeCell="A49" sqref="A49:IV50"/>
      <selection pane="bottomLeft" activeCell="A49" sqref="A49:IV50"/>
      <selection pane="bottomRight" activeCell="G212" sqref="G212"/>
    </sheetView>
  </sheetViews>
  <sheetFormatPr defaultColWidth="8.44140625" defaultRowHeight="12.75" customHeight="1"/>
  <cols>
    <col min="1" max="1" width="15.6640625" style="36" customWidth="1"/>
    <col min="2" max="2" width="2.109375" customWidth="1"/>
    <col min="3" max="3" width="10.88671875" style="36" customWidth="1"/>
    <col min="4" max="4" width="2.109375" style="2" customWidth="1"/>
    <col min="5" max="5" width="12.33203125" style="36" customWidth="1"/>
    <col min="6" max="6" width="2.109375" style="36" customWidth="1"/>
    <col min="7" max="7" width="12.44140625" style="36" customWidth="1"/>
    <col min="8" max="8" width="2.109375" style="36" customWidth="1"/>
    <col min="9" max="9" width="12.33203125" style="36" customWidth="1"/>
    <col min="10" max="10" width="2" style="36" customWidth="1"/>
    <col min="11" max="11" width="12.44140625" style="36" customWidth="1"/>
    <col min="12" max="12" width="1" style="36" customWidth="1"/>
    <col min="13" max="13" width="11.6640625" style="36" customWidth="1"/>
    <col min="14" max="14" width="1.6640625" style="36" customWidth="1"/>
    <col min="15" max="15" width="11.6640625" style="36" customWidth="1"/>
    <col min="16" max="16" width="1.6640625" style="36" customWidth="1"/>
    <col min="17" max="17" width="11.6640625" style="36" customWidth="1"/>
    <col min="18" max="18" width="1.6640625" style="36" customWidth="1"/>
    <col min="19" max="19" width="11.6640625" style="36" customWidth="1"/>
    <col min="20" max="20" width="1.6640625" style="36" customWidth="1"/>
    <col min="21" max="21" width="11.6640625" style="36" customWidth="1"/>
    <col min="22" max="22" width="1.6640625" style="36" customWidth="1"/>
    <col min="23" max="24" width="11.6640625" style="36" customWidth="1"/>
    <col min="25" max="25" width="14.109375" style="36" customWidth="1"/>
    <col min="26" max="26" width="1.6640625" style="36" customWidth="1"/>
    <col min="27" max="27" width="10.88671875" style="36" customWidth="1"/>
    <col min="28" max="28" width="1.6640625" style="36" customWidth="1"/>
    <col min="29" max="29" width="10.88671875" style="36" customWidth="1"/>
    <col min="30" max="30" width="1.6640625" style="36" customWidth="1"/>
    <col min="31" max="31" width="10.88671875" style="36" customWidth="1"/>
    <col min="32" max="32" width="1.6640625" style="36" customWidth="1"/>
    <col min="33" max="33" width="10.88671875" style="36" customWidth="1"/>
    <col min="34" max="34" width="1.6640625" style="36" customWidth="1"/>
    <col min="35" max="35" width="10.88671875" style="36" customWidth="1"/>
    <col min="36" max="36" width="1.6640625" style="36" customWidth="1"/>
    <col min="37" max="37" width="11.6640625" style="36" customWidth="1"/>
    <col min="38" max="38" width="1.6640625" style="36" customWidth="1"/>
    <col min="39" max="39" width="10.88671875" style="36" customWidth="1"/>
    <col min="40" max="40" width="1.6640625" style="36" customWidth="1"/>
    <col min="41" max="41" width="10.88671875" style="36" customWidth="1"/>
    <col min="42" max="42" width="1.6640625" style="36" customWidth="1"/>
    <col min="43" max="43" width="10.88671875" style="36" customWidth="1"/>
    <col min="44" max="44" width="1.6640625" style="36" customWidth="1"/>
    <col min="45" max="45" width="10.88671875" style="36" customWidth="1"/>
    <col min="46" max="46" width="1.6640625" style="36" customWidth="1"/>
    <col min="47" max="47" width="10.88671875" style="36" hidden="1" customWidth="1"/>
    <col min="48" max="48" width="1.6640625" style="36" hidden="1" customWidth="1"/>
    <col min="49" max="49" width="10.88671875" style="36" hidden="1" customWidth="1"/>
    <col min="50" max="50" width="1.6640625" style="36" hidden="1" customWidth="1"/>
    <col min="51" max="52" width="11.88671875" style="36" customWidth="1"/>
    <col min="53" max="53" width="13" style="36" customWidth="1"/>
    <col min="54" max="54" width="1.6640625" style="36" customWidth="1"/>
    <col min="55" max="55" width="10.6640625" style="36" customWidth="1"/>
    <col min="56" max="56" width="1.6640625" style="36" customWidth="1"/>
    <col min="57" max="57" width="10.6640625" style="10" customWidth="1"/>
    <col min="58" max="58" width="1.6640625" style="36" customWidth="1"/>
    <col min="59" max="59" width="10.6640625" style="36" customWidth="1"/>
    <col min="60" max="60" width="1.6640625" style="36" customWidth="1"/>
    <col min="61" max="61" width="10.6640625" style="36" customWidth="1"/>
    <col min="62" max="62" width="1.6640625" style="36" customWidth="1"/>
    <col min="63" max="63" width="10.6640625" style="36" customWidth="1"/>
    <col min="64" max="64" width="1.6640625" style="36" customWidth="1"/>
    <col min="65" max="65" width="11.44140625" style="36" bestFit="1" customWidth="1"/>
    <col min="66" max="66" width="1.6640625" style="36" hidden="1" customWidth="1"/>
    <col min="67" max="67" width="10.6640625" style="36" hidden="1" customWidth="1"/>
    <col min="68" max="68" width="11.6640625" style="21" hidden="1" customWidth="1"/>
    <col min="69" max="69" width="10.6640625" style="21" hidden="1" customWidth="1"/>
    <col min="70" max="70" width="1.6640625" style="21" customWidth="1"/>
    <col min="71" max="71" width="10.6640625" style="21" customWidth="1"/>
    <col min="72" max="72" width="11.6640625" style="21" customWidth="1"/>
    <col min="73" max="73" width="1.6640625" style="21" customWidth="1"/>
    <col min="74" max="74" width="11.6640625" style="21" customWidth="1"/>
    <col min="75" max="75" width="1.6640625" style="21" customWidth="1"/>
    <col min="76" max="76" width="11.6640625" style="36" customWidth="1"/>
    <col min="77" max="77" width="1.6640625" style="36" customWidth="1"/>
    <col min="78" max="78" width="11.6640625" style="36" customWidth="1"/>
    <col min="79" max="79" width="1.6640625" style="36" customWidth="1"/>
    <col min="80" max="80" width="11.6640625" style="36" customWidth="1"/>
    <col min="81" max="81" width="1.6640625" style="36" customWidth="1"/>
    <col min="82" max="82" width="11.6640625" style="36" customWidth="1"/>
    <col min="83" max="83" width="1.6640625" style="36" customWidth="1"/>
    <col min="84" max="84" width="15.44140625" style="36" customWidth="1"/>
    <col min="85" max="85" width="1.6640625" style="10" customWidth="1"/>
    <col min="86" max="86" width="10.109375" style="36" customWidth="1"/>
    <col min="87" max="87" width="1.6640625" style="36" customWidth="1"/>
    <col min="88" max="88" width="11.6640625" style="36" customWidth="1"/>
    <col min="89" max="89" width="1.6640625" style="36" customWidth="1"/>
    <col min="90" max="90" width="11.6640625" style="36" customWidth="1"/>
    <col min="91" max="91" width="1.6640625" style="36" customWidth="1"/>
    <col min="92" max="92" width="11.6640625" style="36" customWidth="1"/>
    <col min="93" max="93" width="1.6640625" style="36" customWidth="1"/>
    <col min="94" max="94" width="11.6640625" style="36" customWidth="1"/>
    <col min="95" max="95" width="2.6640625" style="36" customWidth="1"/>
    <col min="96" max="96" width="11.6640625" style="36" customWidth="1"/>
    <col min="97" max="97" width="1.6640625" style="36" customWidth="1"/>
    <col min="98" max="16384" width="8.44140625" style="36"/>
  </cols>
  <sheetData>
    <row r="1" spans="1:97" s="39" customFormat="1" ht="12.75" customHeight="1">
      <c r="A1" s="29" t="s">
        <v>392</v>
      </c>
      <c r="C1" s="38"/>
      <c r="D1" s="2"/>
      <c r="E1" s="22"/>
      <c r="F1" s="22"/>
      <c r="G1" s="22"/>
      <c r="H1" s="22"/>
      <c r="I1" s="22"/>
      <c r="J1" s="22"/>
      <c r="K1" s="22"/>
      <c r="L1" s="22"/>
      <c r="N1" s="22"/>
      <c r="O1" s="29"/>
      <c r="P1" s="22"/>
      <c r="Q1" s="22"/>
      <c r="R1" s="22"/>
      <c r="S1" s="22"/>
      <c r="T1" s="22"/>
      <c r="U1" s="22"/>
      <c r="V1" s="22"/>
      <c r="W1" s="22"/>
      <c r="X1" s="22"/>
      <c r="Y1" s="29" t="s">
        <v>392</v>
      </c>
      <c r="AA1" s="38"/>
      <c r="AB1" s="38"/>
      <c r="AD1" s="5"/>
      <c r="AE1" s="29"/>
      <c r="AF1" s="5"/>
      <c r="AG1" s="5"/>
      <c r="AH1" s="5"/>
      <c r="AI1" s="5"/>
      <c r="AJ1" s="5"/>
      <c r="AK1" s="5"/>
      <c r="AL1" s="5"/>
      <c r="AM1" s="5"/>
      <c r="AN1" s="5"/>
      <c r="AP1" s="5"/>
      <c r="AQ1" s="5"/>
      <c r="AR1" s="5"/>
      <c r="AS1" s="29"/>
      <c r="AT1" s="5"/>
      <c r="AU1" s="5"/>
      <c r="AV1" s="5"/>
      <c r="AW1" s="5"/>
      <c r="AX1" s="5"/>
      <c r="AY1" s="5"/>
      <c r="AZ1" s="5"/>
      <c r="BA1" s="29" t="s">
        <v>392</v>
      </c>
      <c r="BC1" s="38"/>
      <c r="BD1" s="5"/>
      <c r="BF1" s="5"/>
      <c r="BG1" s="5"/>
      <c r="BH1" s="5"/>
      <c r="BI1" s="5"/>
      <c r="BJ1" s="5"/>
      <c r="BK1" s="29"/>
      <c r="BL1" s="5"/>
      <c r="BM1" s="22"/>
      <c r="BN1" s="22"/>
      <c r="BR1"/>
      <c r="BS1" s="5"/>
      <c r="BU1" s="5"/>
      <c r="BV1" s="5"/>
      <c r="BW1" s="5"/>
      <c r="BX1" s="29"/>
      <c r="BY1" s="5"/>
      <c r="BZ1" s="5"/>
      <c r="CA1" s="5"/>
      <c r="CB1" s="5"/>
      <c r="CC1" s="5"/>
      <c r="CD1" s="5"/>
      <c r="CE1" s="5"/>
      <c r="CF1" s="29"/>
      <c r="CH1" s="38"/>
      <c r="CI1" s="5"/>
      <c r="CK1" s="5"/>
      <c r="CL1" s="5"/>
      <c r="CM1" s="5"/>
      <c r="CN1" s="5"/>
      <c r="CO1" s="5"/>
      <c r="CP1" s="29"/>
      <c r="CQ1" s="5"/>
      <c r="CR1" s="22"/>
      <c r="CS1" s="22"/>
    </row>
    <row r="2" spans="1:97" s="39" customFormat="1" ht="12.75" customHeight="1">
      <c r="A2" s="23" t="s">
        <v>472</v>
      </c>
      <c r="C2" s="38"/>
      <c r="D2" s="2"/>
      <c r="E2" s="22"/>
      <c r="F2" s="22"/>
      <c r="G2" s="22"/>
      <c r="H2" s="22"/>
      <c r="I2" s="22"/>
      <c r="J2" s="22"/>
      <c r="K2" s="22"/>
      <c r="L2" s="22"/>
      <c r="N2" s="22"/>
      <c r="O2" s="29"/>
      <c r="P2" s="22"/>
      <c r="Q2" s="22"/>
      <c r="R2" s="22"/>
      <c r="S2" s="22"/>
      <c r="T2" s="22"/>
      <c r="U2" s="22"/>
      <c r="V2" s="22"/>
      <c r="W2" s="22"/>
      <c r="X2" s="22"/>
      <c r="Y2" s="23" t="s">
        <v>473</v>
      </c>
      <c r="AA2" s="38"/>
      <c r="AB2" s="38"/>
      <c r="AD2" s="5"/>
      <c r="AE2" s="29"/>
      <c r="AF2" s="5"/>
      <c r="AG2" s="5"/>
      <c r="AH2" s="5"/>
      <c r="AI2" s="5"/>
      <c r="AJ2" s="5"/>
      <c r="AK2" s="5"/>
      <c r="AL2" s="5"/>
      <c r="AM2" s="5"/>
      <c r="AN2" s="5"/>
      <c r="AP2" s="5"/>
      <c r="AQ2" s="5"/>
      <c r="AR2" s="5"/>
      <c r="AS2" s="29"/>
      <c r="AT2" s="5"/>
      <c r="AU2" s="5"/>
      <c r="AV2" s="5"/>
      <c r="AW2" s="5"/>
      <c r="AX2" s="5"/>
      <c r="AY2" s="5"/>
      <c r="AZ2" s="5"/>
      <c r="BA2" s="43" t="s">
        <v>348</v>
      </c>
      <c r="BC2" s="38"/>
      <c r="BD2" s="5"/>
      <c r="BF2" s="5"/>
      <c r="BG2" s="5"/>
      <c r="BH2" s="5"/>
      <c r="BI2" s="5"/>
      <c r="BJ2" s="5"/>
      <c r="BK2" s="29"/>
      <c r="BL2" s="5"/>
      <c r="BM2" s="22"/>
      <c r="BN2" s="22"/>
      <c r="BR2"/>
      <c r="BS2" s="5"/>
      <c r="BU2" s="5"/>
      <c r="BV2" s="5"/>
      <c r="BW2" s="5"/>
      <c r="BX2" s="29"/>
      <c r="BY2" s="5"/>
      <c r="BZ2" s="5"/>
      <c r="CA2" s="5"/>
      <c r="CB2" s="5"/>
      <c r="CC2" s="5"/>
      <c r="CD2" s="5"/>
      <c r="CE2" s="5"/>
      <c r="CF2" s="43"/>
      <c r="CH2" s="38"/>
      <c r="CI2" s="5"/>
      <c r="CK2" s="5"/>
      <c r="CL2" s="5"/>
      <c r="CM2" s="5"/>
      <c r="CN2" s="5"/>
      <c r="CO2" s="5"/>
      <c r="CP2" s="29"/>
      <c r="CQ2" s="5"/>
      <c r="CR2" s="22"/>
      <c r="CS2" s="22"/>
    </row>
    <row r="3" spans="1:97" s="39" customFormat="1" ht="12.75" customHeight="1">
      <c r="A3" s="29" t="s">
        <v>495</v>
      </c>
      <c r="C3" s="38"/>
      <c r="D3" s="2"/>
      <c r="E3" s="22"/>
      <c r="F3" s="22"/>
      <c r="G3" s="22"/>
      <c r="H3" s="22"/>
      <c r="I3" s="22"/>
      <c r="J3" s="22"/>
      <c r="K3" s="22"/>
      <c r="L3" s="22"/>
      <c r="N3" s="22"/>
      <c r="O3" s="29"/>
      <c r="P3" s="22"/>
      <c r="Q3" s="22"/>
      <c r="R3" s="22"/>
      <c r="S3" s="22"/>
      <c r="T3" s="22"/>
      <c r="U3" s="22"/>
      <c r="V3" s="22"/>
      <c r="W3" s="22"/>
      <c r="X3" s="22"/>
      <c r="Y3" s="29" t="s">
        <v>495</v>
      </c>
      <c r="AA3" s="38"/>
      <c r="AB3" s="38"/>
      <c r="AD3" s="5"/>
      <c r="AE3" s="29"/>
      <c r="AF3" s="5"/>
      <c r="AG3" s="5"/>
      <c r="AH3" s="5"/>
      <c r="AI3" s="5"/>
      <c r="AJ3" s="5"/>
      <c r="AK3" s="5"/>
      <c r="AL3" s="5"/>
      <c r="AM3" s="5"/>
      <c r="AN3" s="5"/>
      <c r="AP3" s="5"/>
      <c r="AQ3" s="5"/>
      <c r="AR3" s="5"/>
      <c r="AS3" s="29"/>
      <c r="AT3" s="5"/>
      <c r="AU3" s="5"/>
      <c r="AV3" s="5"/>
      <c r="AW3" s="5"/>
      <c r="AX3" s="5"/>
      <c r="AY3" s="5"/>
      <c r="AZ3" s="5"/>
      <c r="BA3" s="29" t="s">
        <v>495</v>
      </c>
      <c r="BC3" s="38"/>
      <c r="BD3" s="5"/>
      <c r="BF3" s="5"/>
      <c r="BG3" s="5"/>
      <c r="BH3" s="5"/>
      <c r="BI3" s="5"/>
      <c r="BJ3" s="5"/>
      <c r="BK3" s="29"/>
      <c r="BL3" s="5"/>
      <c r="BM3" s="22"/>
      <c r="BN3" s="22"/>
      <c r="BR3"/>
      <c r="BS3" s="5"/>
      <c r="BU3" s="5"/>
      <c r="BV3" s="5"/>
      <c r="BW3" s="5"/>
      <c r="BX3" s="29"/>
      <c r="BY3" s="5"/>
      <c r="BZ3" s="5"/>
      <c r="CA3" s="5"/>
      <c r="CB3" s="5"/>
      <c r="CC3" s="5"/>
      <c r="CD3" s="5"/>
      <c r="CE3" s="5"/>
      <c r="CF3" s="29"/>
      <c r="CH3" s="38"/>
      <c r="CI3" s="5"/>
      <c r="CK3" s="5"/>
      <c r="CL3" s="5"/>
      <c r="CM3" s="5"/>
      <c r="CN3" s="5"/>
      <c r="CO3" s="5"/>
      <c r="CP3" s="29"/>
      <c r="CQ3" s="5"/>
      <c r="CR3" s="22"/>
      <c r="CS3" s="22"/>
    </row>
    <row r="4" spans="1:97" ht="12.75" customHeight="1">
      <c r="A4" s="42" t="s">
        <v>289</v>
      </c>
      <c r="C4" s="40"/>
      <c r="E4" s="5"/>
      <c r="F4" s="5"/>
      <c r="G4" s="5"/>
      <c r="H4" s="5"/>
      <c r="I4" s="5"/>
      <c r="J4" s="5"/>
      <c r="K4" s="5"/>
      <c r="L4" s="5"/>
      <c r="N4" s="5"/>
      <c r="O4" s="42"/>
      <c r="P4" s="5"/>
      <c r="Q4" s="5"/>
      <c r="R4" s="5"/>
      <c r="S4" s="5"/>
      <c r="T4" s="5"/>
      <c r="U4" s="5"/>
      <c r="V4" s="5"/>
      <c r="W4" s="5"/>
      <c r="X4" s="5"/>
      <c r="Y4" s="42" t="s">
        <v>289</v>
      </c>
      <c r="Z4" s="10"/>
      <c r="AA4" s="40"/>
      <c r="AB4" s="40"/>
      <c r="AD4" s="5"/>
      <c r="AE4" s="42"/>
      <c r="AF4" s="5"/>
      <c r="AG4" s="5"/>
      <c r="AH4" s="5"/>
      <c r="AI4" s="5"/>
      <c r="AJ4" s="5"/>
      <c r="AK4" s="5"/>
      <c r="AL4" s="5"/>
      <c r="AM4" s="5"/>
      <c r="AN4" s="5"/>
      <c r="AP4" s="5"/>
      <c r="AQ4" s="5"/>
      <c r="AR4" s="5"/>
      <c r="AS4" s="42"/>
      <c r="AT4" s="5"/>
      <c r="AU4" s="5"/>
      <c r="AV4" s="5"/>
      <c r="AW4" s="5"/>
      <c r="AX4" s="5"/>
      <c r="AY4" s="5"/>
      <c r="AZ4" s="5"/>
      <c r="BA4" s="42" t="s">
        <v>289</v>
      </c>
      <c r="BB4" s="10"/>
      <c r="BC4" s="40"/>
      <c r="BD4" s="5"/>
      <c r="BE4" s="36"/>
      <c r="BF4" s="5"/>
      <c r="BG4" s="5"/>
      <c r="BH4" s="5"/>
      <c r="BI4" s="5"/>
      <c r="BJ4" s="5"/>
      <c r="BK4" s="42"/>
      <c r="BL4" s="5"/>
      <c r="BM4" s="5"/>
      <c r="BN4" s="5"/>
      <c r="BP4" s="36"/>
      <c r="BQ4" s="36"/>
      <c r="BR4"/>
      <c r="BS4" s="5"/>
      <c r="BT4" s="36"/>
      <c r="BU4" s="5"/>
      <c r="BV4" s="5"/>
      <c r="BW4" s="5"/>
      <c r="BX4" s="42"/>
      <c r="BY4" s="5"/>
      <c r="BZ4" s="5"/>
      <c r="CA4" s="5"/>
      <c r="CB4" s="5"/>
      <c r="CC4" s="5"/>
      <c r="CD4" s="5"/>
      <c r="CE4" s="5"/>
      <c r="CF4" s="42"/>
      <c r="CH4" s="40"/>
      <c r="CI4" s="5"/>
      <c r="CK4" s="5"/>
      <c r="CL4" s="5"/>
      <c r="CM4" s="5"/>
      <c r="CN4" s="5"/>
      <c r="CO4" s="5"/>
      <c r="CP4" s="42"/>
      <c r="CQ4" s="5"/>
      <c r="CR4" s="5"/>
      <c r="CS4" s="5"/>
    </row>
    <row r="5" spans="1:97" ht="12.75" customHeight="1">
      <c r="A5" s="74" t="s">
        <v>484</v>
      </c>
      <c r="Q5" s="161" t="s">
        <v>2</v>
      </c>
      <c r="R5" s="161"/>
      <c r="S5" s="161"/>
      <c r="T5" s="161"/>
      <c r="U5" s="161"/>
      <c r="Y5" s="74" t="s">
        <v>484</v>
      </c>
      <c r="AU5" s="41" t="s">
        <v>411</v>
      </c>
      <c r="AW5" s="41" t="s">
        <v>412</v>
      </c>
      <c r="BA5" s="74" t="s">
        <v>484</v>
      </c>
      <c r="BE5" s="34" t="s">
        <v>348</v>
      </c>
      <c r="BF5" s="34"/>
      <c r="BG5" s="34"/>
      <c r="BH5" s="34"/>
      <c r="BI5" s="34"/>
      <c r="BJ5" s="34"/>
      <c r="BK5" s="4"/>
      <c r="CG5" s="19"/>
    </row>
    <row r="6" spans="1:97" s="41" customFormat="1" ht="12.75" customHeight="1">
      <c r="D6" s="3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 t="s">
        <v>7</v>
      </c>
      <c r="W6" s="6"/>
      <c r="X6" s="6"/>
      <c r="Z6" s="12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 t="s">
        <v>349</v>
      </c>
      <c r="AV6" s="6"/>
      <c r="AW6" s="6" t="s">
        <v>349</v>
      </c>
      <c r="AX6" s="6"/>
      <c r="AY6" s="6"/>
      <c r="AZ6" s="6"/>
      <c r="BB6" s="12"/>
      <c r="BD6" s="6"/>
      <c r="BE6" s="6" t="s">
        <v>296</v>
      </c>
      <c r="BF6" s="6"/>
      <c r="BG6" s="6" t="s">
        <v>350</v>
      </c>
      <c r="BH6" s="6"/>
      <c r="BI6" s="6"/>
      <c r="BJ6" s="6"/>
      <c r="BK6" s="6" t="s">
        <v>294</v>
      </c>
      <c r="BL6" s="6"/>
      <c r="BM6" s="6" t="s">
        <v>6</v>
      </c>
      <c r="BN6" s="33"/>
      <c r="BR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G6" s="15"/>
      <c r="CI6" s="6"/>
      <c r="CJ6" s="6"/>
      <c r="CK6" s="6"/>
      <c r="CL6" s="6"/>
      <c r="CM6" s="6"/>
      <c r="CN6" s="6"/>
      <c r="CO6" s="6"/>
      <c r="CP6" s="6"/>
      <c r="CQ6" s="6"/>
      <c r="CR6" s="6"/>
      <c r="CS6" s="33"/>
    </row>
    <row r="7" spans="1:97" s="41" customFormat="1" ht="12.75" customHeight="1">
      <c r="D7" s="6"/>
      <c r="E7" s="6" t="s">
        <v>3</v>
      </c>
      <c r="F7" s="6"/>
      <c r="G7" s="6" t="s">
        <v>351</v>
      </c>
      <c r="H7" s="6"/>
      <c r="I7" s="6" t="s">
        <v>6</v>
      </c>
      <c r="J7" s="6"/>
      <c r="K7" s="6" t="s">
        <v>3</v>
      </c>
      <c r="L7" s="6"/>
      <c r="M7" s="6" t="s">
        <v>351</v>
      </c>
      <c r="N7" s="6"/>
      <c r="O7" s="6" t="s">
        <v>6</v>
      </c>
      <c r="P7" s="6"/>
      <c r="Q7" s="41" t="s">
        <v>4</v>
      </c>
      <c r="R7" s="6"/>
      <c r="S7" s="6"/>
      <c r="T7" s="6"/>
      <c r="U7" s="6"/>
      <c r="V7" s="6"/>
      <c r="W7" s="8" t="s">
        <v>6</v>
      </c>
      <c r="X7" s="8"/>
      <c r="AC7" s="6" t="s">
        <v>345</v>
      </c>
      <c r="AD7" s="6"/>
      <c r="AE7" s="6" t="s">
        <v>353</v>
      </c>
      <c r="AF7" s="6"/>
      <c r="AG7" s="6"/>
      <c r="AH7" s="6"/>
      <c r="AI7" s="6" t="s">
        <v>345</v>
      </c>
      <c r="AJ7" s="6"/>
      <c r="AK7" s="6" t="s">
        <v>354</v>
      </c>
      <c r="AL7" s="6"/>
      <c r="AM7" s="6"/>
      <c r="AN7" s="6"/>
      <c r="AO7" s="6"/>
      <c r="AP7" s="6"/>
      <c r="AQ7" s="6" t="s">
        <v>4</v>
      </c>
      <c r="AR7" s="6"/>
      <c r="AS7" s="6" t="s">
        <v>368</v>
      </c>
      <c r="AT7" s="6"/>
      <c r="AU7" s="6" t="s">
        <v>413</v>
      </c>
      <c r="AV7" s="6"/>
      <c r="AW7" s="6" t="s">
        <v>413</v>
      </c>
      <c r="AX7" s="6"/>
      <c r="AY7" s="6" t="s">
        <v>355</v>
      </c>
      <c r="AZ7" s="6"/>
      <c r="BD7" s="6"/>
      <c r="BE7" s="6" t="s">
        <v>356</v>
      </c>
      <c r="BF7" s="6"/>
      <c r="BG7" s="6" t="s">
        <v>302</v>
      </c>
      <c r="BH7" s="6"/>
      <c r="BI7" s="6"/>
      <c r="BJ7" s="6"/>
      <c r="BK7" s="6" t="s">
        <v>352</v>
      </c>
      <c r="BL7" s="6"/>
      <c r="BM7" s="6" t="s">
        <v>352</v>
      </c>
      <c r="BN7" s="33"/>
      <c r="BR7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33"/>
    </row>
    <row r="8" spans="1:97" s="89" customFormat="1" ht="12.75" customHeight="1">
      <c r="A8" s="7" t="s">
        <v>8</v>
      </c>
      <c r="C8" s="7" t="s">
        <v>9</v>
      </c>
      <c r="D8" s="8"/>
      <c r="E8" s="7" t="s">
        <v>0</v>
      </c>
      <c r="F8" s="8"/>
      <c r="G8" s="7" t="s">
        <v>0</v>
      </c>
      <c r="H8" s="8"/>
      <c r="I8" s="7" t="s">
        <v>0</v>
      </c>
      <c r="J8" s="8"/>
      <c r="K8" s="7" t="s">
        <v>1</v>
      </c>
      <c r="L8" s="8"/>
      <c r="M8" s="7" t="s">
        <v>1</v>
      </c>
      <c r="N8" s="8"/>
      <c r="O8" s="7" t="s">
        <v>1</v>
      </c>
      <c r="P8" s="8"/>
      <c r="Q8" s="7" t="s">
        <v>0</v>
      </c>
      <c r="R8" s="8"/>
      <c r="S8" s="7" t="s">
        <v>10</v>
      </c>
      <c r="T8" s="8"/>
      <c r="U8" s="7" t="s">
        <v>11</v>
      </c>
      <c r="V8" s="8"/>
      <c r="W8" s="105" t="s">
        <v>2</v>
      </c>
      <c r="Y8" s="7" t="s">
        <v>8</v>
      </c>
      <c r="AA8" s="7" t="s">
        <v>9</v>
      </c>
      <c r="AB8" s="8"/>
      <c r="AC8" s="78" t="s">
        <v>302</v>
      </c>
      <c r="AD8" s="8"/>
      <c r="AE8" s="78" t="s">
        <v>357</v>
      </c>
      <c r="AF8" s="8"/>
      <c r="AG8" s="78" t="s">
        <v>357</v>
      </c>
      <c r="AH8" s="8"/>
      <c r="AI8" s="78" t="s">
        <v>358</v>
      </c>
      <c r="AJ8" s="8"/>
      <c r="AK8" s="78" t="s">
        <v>414</v>
      </c>
      <c r="AL8" s="8"/>
      <c r="AM8" s="78" t="s">
        <v>359</v>
      </c>
      <c r="AN8" s="8"/>
      <c r="AO8" s="78" t="s">
        <v>360</v>
      </c>
      <c r="AP8" s="8"/>
      <c r="AQ8" s="78" t="s">
        <v>361</v>
      </c>
      <c r="AR8" s="8"/>
      <c r="AS8" s="78" t="s">
        <v>2</v>
      </c>
      <c r="AT8" s="8"/>
      <c r="AU8" s="7" t="s">
        <v>415</v>
      </c>
      <c r="AV8" s="8"/>
      <c r="AW8" s="7" t="s">
        <v>415</v>
      </c>
      <c r="AX8" s="8"/>
      <c r="AY8" s="78" t="s">
        <v>4</v>
      </c>
      <c r="AZ8" s="8"/>
      <c r="BA8" s="7" t="s">
        <v>8</v>
      </c>
      <c r="BC8" s="7" t="s">
        <v>9</v>
      </c>
      <c r="BD8" s="8"/>
      <c r="BE8" s="78" t="s">
        <v>362</v>
      </c>
      <c r="BF8" s="8"/>
      <c r="BG8" s="78" t="s">
        <v>362</v>
      </c>
      <c r="BH8" s="8"/>
      <c r="BI8" s="78" t="s">
        <v>363</v>
      </c>
      <c r="BJ8" s="8"/>
      <c r="BK8" s="78" t="s">
        <v>364</v>
      </c>
      <c r="BL8" s="8"/>
      <c r="BM8" s="7" t="s">
        <v>364</v>
      </c>
      <c r="BN8" s="54"/>
      <c r="BR8" s="51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54"/>
    </row>
    <row r="9" spans="1:97" s="89" customFormat="1" ht="12.75" customHeight="1">
      <c r="A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Y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54"/>
      <c r="BR9" s="51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54"/>
    </row>
    <row r="10" spans="1:97" s="90" customFormat="1" ht="12.75" customHeight="1">
      <c r="A10" s="35" t="s">
        <v>12</v>
      </c>
      <c r="B10" s="51"/>
      <c r="C10" s="35" t="s">
        <v>13</v>
      </c>
      <c r="D10" s="44"/>
      <c r="E10" s="79">
        <f t="shared" ref="E10:E13" si="0">I10-G10</f>
        <v>14089952</v>
      </c>
      <c r="F10" s="79"/>
      <c r="G10" s="79">
        <v>244624864</v>
      </c>
      <c r="H10" s="79"/>
      <c r="I10" s="79">
        <v>258714816</v>
      </c>
      <c r="J10" s="79"/>
      <c r="K10" s="79">
        <f t="shared" ref="K10:K71" si="1">O10-M10</f>
        <v>15682466</v>
      </c>
      <c r="L10" s="79"/>
      <c r="M10" s="79">
        <v>61586347</v>
      </c>
      <c r="N10" s="79"/>
      <c r="O10" s="79">
        <v>77268813</v>
      </c>
      <c r="P10" s="79"/>
      <c r="Q10" s="79">
        <v>176815772</v>
      </c>
      <c r="R10" s="79"/>
      <c r="S10" s="79">
        <v>6520124</v>
      </c>
      <c r="T10" s="79"/>
      <c r="U10" s="79">
        <v>-1889893</v>
      </c>
      <c r="V10" s="79"/>
      <c r="W10" s="79">
        <f t="shared" ref="W10:W22" si="2">SUM(Q10:U10)</f>
        <v>181446003</v>
      </c>
      <c r="X10" s="53"/>
      <c r="Y10" s="35" t="s">
        <v>12</v>
      </c>
      <c r="Z10" s="55"/>
      <c r="AA10" s="35" t="s">
        <v>13</v>
      </c>
      <c r="AB10" s="35"/>
      <c r="AC10" s="79">
        <v>38506628</v>
      </c>
      <c r="AD10" s="79"/>
      <c r="AE10" s="79">
        <f>32902636-7426054</f>
        <v>25476582</v>
      </c>
      <c r="AF10" s="79"/>
      <c r="AG10" s="79">
        <v>7426054</v>
      </c>
      <c r="AH10" s="79"/>
      <c r="AI10" s="94">
        <f t="shared" ref="AI10:AI71" si="3">+AC10-AE10-AG10</f>
        <v>5603992</v>
      </c>
      <c r="AJ10" s="94"/>
      <c r="AK10" s="94">
        <v>-2892143</v>
      </c>
      <c r="AL10" s="94"/>
      <c r="AM10" s="79">
        <v>0</v>
      </c>
      <c r="AN10" s="79"/>
      <c r="AO10" s="79">
        <v>0</v>
      </c>
      <c r="AP10" s="79"/>
      <c r="AQ10" s="79">
        <v>107016</v>
      </c>
      <c r="AR10" s="79"/>
      <c r="AS10" s="94">
        <f t="shared" ref="AS10:AS73" si="4">+AI10+AK10+AM10-AO10+AQ10</f>
        <v>2818865</v>
      </c>
      <c r="AT10" s="94"/>
      <c r="AU10" s="79">
        <v>0</v>
      </c>
      <c r="AV10" s="79"/>
      <c r="AW10" s="79">
        <v>0</v>
      </c>
      <c r="AX10" s="79"/>
      <c r="AY10" s="79">
        <f t="shared" ref="AY10:AY71" si="5">+E10-K10</f>
        <v>-1592514</v>
      </c>
      <c r="AZ10" s="53"/>
      <c r="BA10" s="35" t="s">
        <v>12</v>
      </c>
      <c r="BB10" s="55"/>
      <c r="BC10" s="35" t="s">
        <v>13</v>
      </c>
      <c r="BD10" s="53"/>
      <c r="BE10" s="79">
        <v>0</v>
      </c>
      <c r="BF10" s="79"/>
      <c r="BG10" s="79">
        <v>0</v>
      </c>
      <c r="BH10" s="79"/>
      <c r="BI10" s="79">
        <v>0</v>
      </c>
      <c r="BJ10" s="79"/>
      <c r="BK10" s="79">
        <v>1712209</v>
      </c>
      <c r="BL10" s="79"/>
      <c r="BM10" s="79">
        <f t="shared" ref="BM10:BM18" si="6">SUM(BE10:BK10)</f>
        <v>1712209</v>
      </c>
      <c r="BN10" s="91" t="s">
        <v>347</v>
      </c>
      <c r="BR10" s="66"/>
      <c r="BS10" s="79"/>
      <c r="BT10" s="79"/>
      <c r="BU10" s="79"/>
      <c r="BV10" s="79"/>
      <c r="BW10" s="79"/>
      <c r="BX10" s="94"/>
      <c r="BY10" s="94"/>
      <c r="BZ10" s="79"/>
      <c r="CA10" s="79"/>
      <c r="CB10" s="79"/>
      <c r="CC10" s="79"/>
      <c r="CD10" s="79"/>
      <c r="CE10" s="79"/>
      <c r="CF10" s="64"/>
      <c r="CH10" s="64"/>
      <c r="CI10" s="79"/>
      <c r="CJ10" s="79"/>
      <c r="CK10" s="79"/>
      <c r="CL10" s="79"/>
      <c r="CM10" s="79"/>
      <c r="CN10" s="79"/>
      <c r="CO10" s="79"/>
      <c r="CP10" s="79"/>
      <c r="CQ10" s="79"/>
      <c r="CR10" s="79"/>
      <c r="CS10" s="91"/>
    </row>
    <row r="11" spans="1:97" s="55" customFormat="1" ht="12.75" customHeight="1">
      <c r="A11" s="35" t="s">
        <v>14</v>
      </c>
      <c r="B11" s="65"/>
      <c r="C11" s="35" t="s">
        <v>15</v>
      </c>
      <c r="D11" s="44"/>
      <c r="E11" s="53">
        <f t="shared" si="0"/>
        <v>4790116</v>
      </c>
      <c r="F11" s="53"/>
      <c r="G11" s="53">
        <v>8418331</v>
      </c>
      <c r="H11" s="53"/>
      <c r="I11" s="53">
        <v>13208447</v>
      </c>
      <c r="J11" s="53"/>
      <c r="K11" s="53">
        <v>878821</v>
      </c>
      <c r="L11" s="53"/>
      <c r="M11" s="53">
        <v>2434158</v>
      </c>
      <c r="N11" s="53"/>
      <c r="O11" s="53">
        <v>3312979</v>
      </c>
      <c r="P11" s="53"/>
      <c r="Q11" s="53">
        <v>5954589</v>
      </c>
      <c r="R11" s="53"/>
      <c r="S11" s="53">
        <v>0</v>
      </c>
      <c r="T11" s="53"/>
      <c r="U11" s="53">
        <v>39408779</v>
      </c>
      <c r="V11" s="53"/>
      <c r="W11" s="53">
        <f t="shared" si="2"/>
        <v>45363368</v>
      </c>
      <c r="X11" s="53"/>
      <c r="Y11" s="35" t="s">
        <v>14</v>
      </c>
      <c r="AA11" s="35" t="s">
        <v>15</v>
      </c>
      <c r="AB11" s="35"/>
      <c r="AC11" s="53">
        <v>4180728</v>
      </c>
      <c r="AD11" s="53"/>
      <c r="AE11" s="53">
        <f>3584653-395303</f>
        <v>3189350</v>
      </c>
      <c r="AF11" s="53"/>
      <c r="AG11" s="53">
        <v>395303</v>
      </c>
      <c r="AH11" s="53"/>
      <c r="AI11" s="45">
        <f t="shared" si="3"/>
        <v>596075</v>
      </c>
      <c r="AJ11" s="45"/>
      <c r="AK11" s="53">
        <v>-18924</v>
      </c>
      <c r="AL11" s="45"/>
      <c r="AM11" s="53">
        <v>0</v>
      </c>
      <c r="AN11" s="53"/>
      <c r="AO11" s="53">
        <v>0</v>
      </c>
      <c r="AP11" s="53"/>
      <c r="AQ11" s="53">
        <v>0</v>
      </c>
      <c r="AR11" s="53"/>
      <c r="AS11" s="45">
        <f t="shared" si="4"/>
        <v>577151</v>
      </c>
      <c r="AT11" s="45"/>
      <c r="AU11" s="53">
        <v>0</v>
      </c>
      <c r="AV11" s="53"/>
      <c r="AW11" s="53">
        <v>0</v>
      </c>
      <c r="AX11" s="53"/>
      <c r="AY11" s="53">
        <f t="shared" si="5"/>
        <v>3911295</v>
      </c>
      <c r="AZ11" s="53"/>
      <c r="BA11" s="35" t="s">
        <v>14</v>
      </c>
      <c r="BC11" s="35" t="s">
        <v>15</v>
      </c>
      <c r="BD11" s="53"/>
      <c r="BE11" s="53">
        <v>0</v>
      </c>
      <c r="BF11" s="53"/>
      <c r="BG11" s="53">
        <v>0</v>
      </c>
      <c r="BH11" s="53"/>
      <c r="BI11" s="53">
        <v>0</v>
      </c>
      <c r="BJ11" s="53"/>
      <c r="BK11" s="53">
        <v>0</v>
      </c>
      <c r="BL11" s="53"/>
      <c r="BM11" s="53">
        <f t="shared" si="6"/>
        <v>0</v>
      </c>
      <c r="BN11" s="54" t="s">
        <v>347</v>
      </c>
      <c r="BR11" s="65"/>
      <c r="BS11" s="53"/>
      <c r="BT11" s="53"/>
      <c r="BU11" s="53"/>
      <c r="BV11" s="53"/>
      <c r="BW11" s="53"/>
      <c r="BX11" s="45"/>
      <c r="BY11" s="45"/>
      <c r="BZ11" s="53"/>
      <c r="CA11" s="53"/>
      <c r="CB11" s="53"/>
      <c r="CC11" s="53"/>
      <c r="CD11" s="53"/>
      <c r="CE11" s="53"/>
      <c r="CF11" s="35"/>
      <c r="CH11" s="35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4"/>
    </row>
    <row r="12" spans="1:97" s="55" customFormat="1" ht="12.75" customHeight="1">
      <c r="A12" s="35" t="s">
        <v>16</v>
      </c>
      <c r="B12" s="65"/>
      <c r="C12" s="35" t="s">
        <v>17</v>
      </c>
      <c r="D12" s="44"/>
      <c r="E12" s="53">
        <f t="shared" si="0"/>
        <v>4210803</v>
      </c>
      <c r="F12" s="53"/>
      <c r="G12" s="53">
        <v>15337688</v>
      </c>
      <c r="H12" s="53"/>
      <c r="I12" s="53">
        <v>19548491</v>
      </c>
      <c r="J12" s="53"/>
      <c r="K12" s="53">
        <f t="shared" si="1"/>
        <v>553808</v>
      </c>
      <c r="L12" s="53"/>
      <c r="M12" s="53">
        <v>8039492</v>
      </c>
      <c r="N12" s="53"/>
      <c r="O12" s="53">
        <v>8593300</v>
      </c>
      <c r="P12" s="53"/>
      <c r="Q12" s="53">
        <v>6930449</v>
      </c>
      <c r="R12" s="53"/>
      <c r="S12" s="53">
        <v>0</v>
      </c>
      <c r="T12" s="53"/>
      <c r="U12" s="53">
        <v>4024742</v>
      </c>
      <c r="V12" s="53"/>
      <c r="W12" s="53">
        <f t="shared" si="2"/>
        <v>10955191</v>
      </c>
      <c r="X12" s="53"/>
      <c r="Y12" s="35" t="s">
        <v>16</v>
      </c>
      <c r="AA12" s="35" t="s">
        <v>17</v>
      </c>
      <c r="AB12" s="35"/>
      <c r="AC12" s="53">
        <v>1726057</v>
      </c>
      <c r="AD12" s="53"/>
      <c r="AE12" s="53">
        <f>1873986-147591</f>
        <v>1726395</v>
      </c>
      <c r="AF12" s="53"/>
      <c r="AG12" s="53">
        <v>147591</v>
      </c>
      <c r="AH12" s="53"/>
      <c r="AI12" s="45">
        <f t="shared" si="3"/>
        <v>-147929</v>
      </c>
      <c r="AJ12" s="45"/>
      <c r="AK12" s="53">
        <v>-65986</v>
      </c>
      <c r="AL12" s="45"/>
      <c r="AM12" s="53">
        <v>0</v>
      </c>
      <c r="AN12" s="53"/>
      <c r="AO12" s="53">
        <v>0</v>
      </c>
      <c r="AP12" s="53"/>
      <c r="AQ12" s="53">
        <v>0</v>
      </c>
      <c r="AR12" s="53"/>
      <c r="AS12" s="45">
        <f t="shared" si="4"/>
        <v>-213915</v>
      </c>
      <c r="AT12" s="45"/>
      <c r="AU12" s="53">
        <v>0</v>
      </c>
      <c r="AV12" s="53"/>
      <c r="AW12" s="53">
        <v>0</v>
      </c>
      <c r="AX12" s="53"/>
      <c r="AY12" s="53">
        <f t="shared" si="5"/>
        <v>3656995</v>
      </c>
      <c r="AZ12" s="53"/>
      <c r="BA12" s="35" t="s">
        <v>16</v>
      </c>
      <c r="BC12" s="35" t="s">
        <v>17</v>
      </c>
      <c r="BD12" s="53"/>
      <c r="BE12" s="53">
        <f>591897+505000</f>
        <v>1096897</v>
      </c>
      <c r="BF12" s="53"/>
      <c r="BG12" s="53">
        <v>0</v>
      </c>
      <c r="BH12" s="53"/>
      <c r="BI12" s="53">
        <v>0</v>
      </c>
      <c r="BJ12" s="53"/>
      <c r="BK12" s="53">
        <v>0</v>
      </c>
      <c r="BL12" s="53"/>
      <c r="BM12" s="53">
        <f t="shared" si="6"/>
        <v>1096897</v>
      </c>
      <c r="BN12" s="54" t="s">
        <v>347</v>
      </c>
      <c r="BR12" s="65"/>
      <c r="BS12" s="53"/>
      <c r="BT12" s="53"/>
      <c r="BU12" s="53"/>
      <c r="BV12" s="53"/>
      <c r="BW12" s="53"/>
      <c r="BX12" s="45"/>
      <c r="BY12" s="45"/>
      <c r="BZ12" s="53"/>
      <c r="CA12" s="53"/>
      <c r="CB12" s="53"/>
      <c r="CC12" s="53"/>
      <c r="CD12" s="53"/>
      <c r="CE12" s="53"/>
      <c r="CF12" s="35"/>
      <c r="CH12" s="35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4"/>
    </row>
    <row r="13" spans="1:97" s="55" customFormat="1" ht="12.75" customHeight="1">
      <c r="A13" s="35" t="s">
        <v>18</v>
      </c>
      <c r="B13" s="65"/>
      <c r="C13" s="35" t="s">
        <v>18</v>
      </c>
      <c r="D13" s="44"/>
      <c r="E13" s="53">
        <f t="shared" si="0"/>
        <v>7615642</v>
      </c>
      <c r="F13" s="53"/>
      <c r="G13" s="53">
        <v>21102737</v>
      </c>
      <c r="H13" s="53"/>
      <c r="I13" s="53">
        <v>28718379</v>
      </c>
      <c r="J13" s="53"/>
      <c r="K13" s="53">
        <f t="shared" si="1"/>
        <v>12280555</v>
      </c>
      <c r="L13" s="53"/>
      <c r="M13" s="53">
        <v>3206619</v>
      </c>
      <c r="N13" s="53"/>
      <c r="O13" s="53">
        <v>15487174</v>
      </c>
      <c r="P13" s="53"/>
      <c r="Q13" s="53">
        <v>11423190</v>
      </c>
      <c r="R13" s="53"/>
      <c r="S13" s="53">
        <v>0</v>
      </c>
      <c r="T13" s="53"/>
      <c r="U13" s="53">
        <v>1808015</v>
      </c>
      <c r="V13" s="53"/>
      <c r="W13" s="53">
        <f t="shared" si="2"/>
        <v>13231205</v>
      </c>
      <c r="X13" s="53"/>
      <c r="Y13" s="35" t="s">
        <v>18</v>
      </c>
      <c r="AA13" s="35" t="s">
        <v>18</v>
      </c>
      <c r="AB13" s="35"/>
      <c r="AC13" s="53">
        <v>2964354</v>
      </c>
      <c r="AD13" s="53"/>
      <c r="AE13" s="53">
        <f>2693589-549706</f>
        <v>2143883</v>
      </c>
      <c r="AF13" s="53"/>
      <c r="AG13" s="53">
        <v>549706</v>
      </c>
      <c r="AH13" s="53"/>
      <c r="AI13" s="45">
        <f t="shared" si="3"/>
        <v>270765</v>
      </c>
      <c r="AJ13" s="45"/>
      <c r="AK13" s="53">
        <v>-374148</v>
      </c>
      <c r="AL13" s="45"/>
      <c r="AM13" s="53">
        <v>0</v>
      </c>
      <c r="AN13" s="53"/>
      <c r="AO13" s="53">
        <v>10705</v>
      </c>
      <c r="AP13" s="53"/>
      <c r="AQ13" s="53">
        <v>0</v>
      </c>
      <c r="AR13" s="53"/>
      <c r="AS13" s="45">
        <f t="shared" si="4"/>
        <v>-114088</v>
      </c>
      <c r="AT13" s="45"/>
      <c r="AU13" s="53">
        <v>0</v>
      </c>
      <c r="AV13" s="53"/>
      <c r="AW13" s="53">
        <v>0</v>
      </c>
      <c r="AX13" s="53"/>
      <c r="AY13" s="53">
        <f t="shared" si="5"/>
        <v>-4664913</v>
      </c>
      <c r="AZ13" s="53"/>
      <c r="BA13" s="35" t="s">
        <v>18</v>
      </c>
      <c r="BC13" s="35" t="s">
        <v>18</v>
      </c>
      <c r="BD13" s="53"/>
      <c r="BE13" s="53">
        <v>0</v>
      </c>
      <c r="BF13" s="53"/>
      <c r="BG13" s="53">
        <v>0</v>
      </c>
      <c r="BH13" s="53"/>
      <c r="BI13" s="53">
        <v>0</v>
      </c>
      <c r="BJ13" s="53"/>
      <c r="BK13" s="53">
        <v>0</v>
      </c>
      <c r="BL13" s="53"/>
      <c r="BM13" s="53">
        <f t="shared" si="6"/>
        <v>0</v>
      </c>
      <c r="BN13" s="54" t="s">
        <v>347</v>
      </c>
      <c r="BR13" s="65"/>
      <c r="BS13" s="53"/>
      <c r="BT13" s="53"/>
      <c r="BU13" s="53"/>
      <c r="BV13" s="53"/>
      <c r="BW13" s="53"/>
      <c r="BX13" s="45"/>
      <c r="BY13" s="45"/>
      <c r="BZ13" s="53"/>
      <c r="CA13" s="53"/>
      <c r="CB13" s="53"/>
      <c r="CC13" s="53"/>
      <c r="CD13" s="53"/>
      <c r="CE13" s="53"/>
      <c r="CF13" s="35"/>
      <c r="CH13" s="35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4"/>
    </row>
    <row r="14" spans="1:97" s="55" customFormat="1" ht="12.75" customHeight="1">
      <c r="A14" s="35" t="s">
        <v>19</v>
      </c>
      <c r="B14" s="65"/>
      <c r="C14" s="35" t="s">
        <v>19</v>
      </c>
      <c r="D14" s="44"/>
      <c r="E14" s="53">
        <v>2720773</v>
      </c>
      <c r="F14" s="53"/>
      <c r="G14" s="53">
        <v>14108029</v>
      </c>
      <c r="H14" s="53"/>
      <c r="I14" s="53">
        <v>16828802</v>
      </c>
      <c r="J14" s="53"/>
      <c r="K14" s="53">
        <v>712365</v>
      </c>
      <c r="L14" s="53"/>
      <c r="M14" s="53">
        <v>3629476</v>
      </c>
      <c r="N14" s="53"/>
      <c r="O14" s="53">
        <v>4341841</v>
      </c>
      <c r="P14" s="53"/>
      <c r="Q14" s="53">
        <v>10343268</v>
      </c>
      <c r="R14" s="53"/>
      <c r="S14" s="53">
        <v>0</v>
      </c>
      <c r="T14" s="53"/>
      <c r="U14" s="53">
        <v>2143693</v>
      </c>
      <c r="V14" s="53"/>
      <c r="W14" s="53">
        <f t="shared" si="2"/>
        <v>12486961</v>
      </c>
      <c r="X14" s="53"/>
      <c r="Y14" s="35" t="s">
        <v>19</v>
      </c>
      <c r="AA14" s="35" t="s">
        <v>19</v>
      </c>
      <c r="AB14" s="35"/>
      <c r="AC14" s="53">
        <v>3871973</v>
      </c>
      <c r="AD14" s="53"/>
      <c r="AE14" s="53">
        <f>4303442-521350</f>
        <v>3782092</v>
      </c>
      <c r="AF14" s="53"/>
      <c r="AG14" s="53">
        <v>521350</v>
      </c>
      <c r="AH14" s="53"/>
      <c r="AI14" s="45">
        <f t="shared" si="3"/>
        <v>-431469</v>
      </c>
      <c r="AJ14" s="45"/>
      <c r="AK14" s="53">
        <v>-139093</v>
      </c>
      <c r="AL14" s="45"/>
      <c r="AM14" s="53">
        <v>0</v>
      </c>
      <c r="AN14" s="53"/>
      <c r="AO14" s="53">
        <v>162820</v>
      </c>
      <c r="AP14" s="53"/>
      <c r="AQ14" s="53">
        <v>950371</v>
      </c>
      <c r="AR14" s="53"/>
      <c r="AS14" s="45">
        <f t="shared" si="4"/>
        <v>216989</v>
      </c>
      <c r="AT14" s="45"/>
      <c r="AU14" s="53">
        <v>0</v>
      </c>
      <c r="AV14" s="53"/>
      <c r="AW14" s="53">
        <v>0</v>
      </c>
      <c r="AX14" s="53"/>
      <c r="AY14" s="53">
        <f t="shared" si="5"/>
        <v>2008408</v>
      </c>
      <c r="AZ14" s="53"/>
      <c r="BA14" s="35" t="s">
        <v>19</v>
      </c>
      <c r="BC14" s="35" t="s">
        <v>19</v>
      </c>
      <c r="BD14" s="53"/>
      <c r="BE14" s="53">
        <v>0</v>
      </c>
      <c r="BF14" s="53"/>
      <c r="BG14" s="53">
        <v>0</v>
      </c>
      <c r="BH14" s="53"/>
      <c r="BI14" s="53">
        <f>1024045+2078727+161989+500000</f>
        <v>3764761</v>
      </c>
      <c r="BJ14" s="53"/>
      <c r="BK14" s="53">
        <v>363516</v>
      </c>
      <c r="BL14" s="53"/>
      <c r="BM14" s="53">
        <f t="shared" si="6"/>
        <v>4128277</v>
      </c>
      <c r="BN14" s="54" t="s">
        <v>347</v>
      </c>
      <c r="BR14" s="65"/>
      <c r="BS14" s="53"/>
      <c r="BT14" s="53"/>
      <c r="BU14" s="53"/>
      <c r="BV14" s="53"/>
      <c r="BW14" s="53"/>
      <c r="BX14" s="45"/>
      <c r="BY14" s="45"/>
      <c r="BZ14" s="53"/>
      <c r="CA14" s="53"/>
      <c r="CB14" s="53"/>
      <c r="CC14" s="53"/>
      <c r="CD14" s="53"/>
      <c r="CE14" s="53"/>
      <c r="CF14" s="35"/>
      <c r="CH14" s="35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4"/>
    </row>
    <row r="15" spans="1:97" s="55" customFormat="1" ht="12.75" customHeight="1">
      <c r="A15" s="35" t="s">
        <v>20</v>
      </c>
      <c r="B15" s="65"/>
      <c r="C15" s="35" t="s">
        <v>20</v>
      </c>
      <c r="D15" s="44"/>
      <c r="E15" s="53">
        <v>733391</v>
      </c>
      <c r="F15" s="53"/>
      <c r="G15" s="53">
        <f>102510+10232443</f>
        <v>10334953</v>
      </c>
      <c r="H15" s="53"/>
      <c r="I15" s="53">
        <v>11297163</v>
      </c>
      <c r="J15" s="53"/>
      <c r="K15" s="53">
        <f t="shared" si="1"/>
        <v>1249687</v>
      </c>
      <c r="L15" s="53"/>
      <c r="M15" s="53">
        <f>38447+3421417</f>
        <v>3459864</v>
      </c>
      <c r="N15" s="53"/>
      <c r="O15" s="53">
        <v>4709551</v>
      </c>
      <c r="P15" s="53"/>
      <c r="Q15" s="53">
        <v>6033737</v>
      </c>
      <c r="R15" s="53"/>
      <c r="S15" s="53">
        <v>0</v>
      </c>
      <c r="T15" s="53"/>
      <c r="U15" s="53">
        <v>553875</v>
      </c>
      <c r="V15" s="53"/>
      <c r="W15" s="53">
        <f t="shared" si="2"/>
        <v>6587612</v>
      </c>
      <c r="X15" s="53"/>
      <c r="Y15" s="35" t="s">
        <v>20</v>
      </c>
      <c r="AA15" s="35" t="s">
        <v>20</v>
      </c>
      <c r="AB15" s="35"/>
      <c r="AC15" s="53">
        <v>3265232</v>
      </c>
      <c r="AD15" s="53"/>
      <c r="AE15" s="53">
        <f>2388304-395703</f>
        <v>1992601</v>
      </c>
      <c r="AF15" s="53"/>
      <c r="AG15" s="53">
        <v>395703</v>
      </c>
      <c r="AH15" s="53"/>
      <c r="AI15" s="45">
        <f t="shared" si="3"/>
        <v>876928</v>
      </c>
      <c r="AJ15" s="45"/>
      <c r="AK15" s="53">
        <v>-172796</v>
      </c>
      <c r="AL15" s="45"/>
      <c r="AM15" s="53">
        <v>61817</v>
      </c>
      <c r="AN15" s="53"/>
      <c r="AO15" s="53">
        <v>5000</v>
      </c>
      <c r="AP15" s="53"/>
      <c r="AQ15" s="53">
        <v>0</v>
      </c>
      <c r="AR15" s="53"/>
      <c r="AS15" s="45">
        <f t="shared" si="4"/>
        <v>760949</v>
      </c>
      <c r="AT15" s="45"/>
      <c r="AU15" s="53">
        <v>0</v>
      </c>
      <c r="AV15" s="53"/>
      <c r="AW15" s="53">
        <v>0</v>
      </c>
      <c r="AX15" s="53"/>
      <c r="AY15" s="53">
        <f t="shared" si="5"/>
        <v>-516296</v>
      </c>
      <c r="AZ15" s="53"/>
      <c r="BA15" s="35" t="s">
        <v>20</v>
      </c>
      <c r="BC15" s="35" t="s">
        <v>20</v>
      </c>
      <c r="BD15" s="53"/>
      <c r="BE15" s="53">
        <v>0</v>
      </c>
      <c r="BF15" s="53"/>
      <c r="BG15" s="53">
        <v>0</v>
      </c>
      <c r="BH15" s="53"/>
      <c r="BI15" s="53">
        <v>0</v>
      </c>
      <c r="BJ15" s="53"/>
      <c r="BK15" s="53">
        <v>0</v>
      </c>
      <c r="BL15" s="53"/>
      <c r="BM15" s="53">
        <f t="shared" si="6"/>
        <v>0</v>
      </c>
      <c r="BN15" s="54" t="s">
        <v>347</v>
      </c>
      <c r="BO15" s="55" t="s">
        <v>403</v>
      </c>
      <c r="BR15" s="65"/>
      <c r="BS15" s="53"/>
      <c r="BT15" s="53"/>
      <c r="BU15" s="53"/>
      <c r="BV15" s="53"/>
      <c r="BW15" s="53"/>
      <c r="BX15" s="45"/>
      <c r="BY15" s="45"/>
      <c r="BZ15" s="53"/>
      <c r="CA15" s="53"/>
      <c r="CB15" s="53"/>
      <c r="CC15" s="53"/>
      <c r="CD15" s="53"/>
      <c r="CE15" s="53"/>
      <c r="CF15" s="35"/>
      <c r="CH15" s="35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4"/>
    </row>
    <row r="16" spans="1:97" s="55" customFormat="1" ht="12.75" customHeight="1">
      <c r="A16" s="35" t="s">
        <v>21</v>
      </c>
      <c r="B16" s="65"/>
      <c r="C16" s="35" t="s">
        <v>22</v>
      </c>
      <c r="D16" s="44"/>
      <c r="E16" s="53">
        <v>2481739</v>
      </c>
      <c r="F16" s="53"/>
      <c r="G16" s="53">
        <v>28967376</v>
      </c>
      <c r="H16" s="53"/>
      <c r="I16" s="53">
        <v>2918465</v>
      </c>
      <c r="J16" s="53"/>
      <c r="K16" s="53">
        <f t="shared" si="1"/>
        <v>771280</v>
      </c>
      <c r="L16" s="53"/>
      <c r="M16" s="53">
        <v>6880998</v>
      </c>
      <c r="N16" s="53"/>
      <c r="O16" s="53">
        <v>7652278</v>
      </c>
      <c r="P16" s="53"/>
      <c r="Q16" s="53">
        <v>21456382</v>
      </c>
      <c r="R16" s="53"/>
      <c r="S16" s="53">
        <v>0</v>
      </c>
      <c r="T16" s="53"/>
      <c r="U16" s="53">
        <v>2777181</v>
      </c>
      <c r="V16" s="53"/>
      <c r="W16" s="53">
        <f t="shared" si="2"/>
        <v>24233563</v>
      </c>
      <c r="X16" s="53"/>
      <c r="Y16" s="35" t="s">
        <v>21</v>
      </c>
      <c r="AA16" s="35" t="s">
        <v>22</v>
      </c>
      <c r="AB16" s="35"/>
      <c r="AC16" s="53">
        <v>1788505</v>
      </c>
      <c r="AD16" s="53"/>
      <c r="AE16" s="53">
        <f>2275678-778624</f>
        <v>1497054</v>
      </c>
      <c r="AF16" s="53"/>
      <c r="AG16" s="53">
        <v>778624</v>
      </c>
      <c r="AH16" s="53"/>
      <c r="AI16" s="45">
        <f t="shared" si="3"/>
        <v>-487173</v>
      </c>
      <c r="AJ16" s="45"/>
      <c r="AK16" s="53">
        <v>-180479</v>
      </c>
      <c r="AL16" s="45"/>
      <c r="AM16" s="53">
        <v>150000</v>
      </c>
      <c r="AN16" s="53"/>
      <c r="AO16" s="53">
        <v>0</v>
      </c>
      <c r="AP16" s="53"/>
      <c r="AQ16" s="53">
        <v>647480</v>
      </c>
      <c r="AR16" s="53"/>
      <c r="AS16" s="45">
        <f t="shared" si="4"/>
        <v>129828</v>
      </c>
      <c r="AT16" s="45"/>
      <c r="AU16" s="53">
        <v>0</v>
      </c>
      <c r="AV16" s="53"/>
      <c r="AW16" s="53">
        <v>0</v>
      </c>
      <c r="AX16" s="53"/>
      <c r="AY16" s="53">
        <f t="shared" si="5"/>
        <v>1710459</v>
      </c>
      <c r="AZ16" s="53"/>
      <c r="BA16" s="35" t="s">
        <v>21</v>
      </c>
      <c r="BC16" s="35" t="s">
        <v>22</v>
      </c>
      <c r="BD16" s="53"/>
      <c r="BE16" s="53">
        <v>4858877</v>
      </c>
      <c r="BF16" s="53"/>
      <c r="BG16" s="53">
        <v>0</v>
      </c>
      <c r="BH16" s="53"/>
      <c r="BI16" s="53">
        <v>183599</v>
      </c>
      <c r="BJ16" s="53"/>
      <c r="BK16" s="53">
        <f>2602537+23481+3480+768499+103727+200000+1027214</f>
        <v>4728938</v>
      </c>
      <c r="BL16" s="53"/>
      <c r="BM16" s="53">
        <f t="shared" si="6"/>
        <v>9771414</v>
      </c>
      <c r="BN16" s="54" t="s">
        <v>347</v>
      </c>
      <c r="BR16" s="65"/>
      <c r="BS16" s="53"/>
      <c r="BT16" s="53"/>
      <c r="BU16" s="53"/>
      <c r="BV16" s="53"/>
      <c r="BW16" s="53"/>
      <c r="BX16" s="45"/>
      <c r="BY16" s="45"/>
      <c r="BZ16" s="53"/>
      <c r="CA16" s="53"/>
      <c r="CB16" s="53"/>
      <c r="CC16" s="53"/>
      <c r="CD16" s="53"/>
      <c r="CE16" s="53"/>
      <c r="CF16" s="35"/>
      <c r="CH16" s="35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4"/>
    </row>
    <row r="17" spans="1:97" s="55" customFormat="1" ht="12.75" customHeight="1">
      <c r="A17" s="35" t="s">
        <v>23</v>
      </c>
      <c r="B17" s="65"/>
      <c r="C17" s="35" t="s">
        <v>17</v>
      </c>
      <c r="D17" s="44"/>
      <c r="E17" s="53">
        <v>666271</v>
      </c>
      <c r="F17" s="53"/>
      <c r="G17" s="53">
        <v>17078881</v>
      </c>
      <c r="H17" s="53"/>
      <c r="I17" s="53">
        <v>17745152</v>
      </c>
      <c r="J17" s="53"/>
      <c r="K17" s="53">
        <v>422782</v>
      </c>
      <c r="L17" s="53"/>
      <c r="M17" s="53">
        <v>784114</v>
      </c>
      <c r="N17" s="53"/>
      <c r="O17" s="53">
        <v>1206896</v>
      </c>
      <c r="P17" s="53"/>
      <c r="Q17" s="53">
        <v>16095531</v>
      </c>
      <c r="R17" s="53"/>
      <c r="S17" s="53">
        <v>0</v>
      </c>
      <c r="T17" s="53"/>
      <c r="U17" s="53">
        <v>442725</v>
      </c>
      <c r="V17" s="53"/>
      <c r="W17" s="53">
        <f t="shared" si="2"/>
        <v>16538256</v>
      </c>
      <c r="X17" s="53"/>
      <c r="Y17" s="35" t="s">
        <v>23</v>
      </c>
      <c r="AA17" s="35" t="s">
        <v>17</v>
      </c>
      <c r="AB17" s="35"/>
      <c r="AC17" s="53">
        <v>1322446</v>
      </c>
      <c r="AD17" s="53"/>
      <c r="AE17" s="53">
        <f>1654263-551488</f>
        <v>1102775</v>
      </c>
      <c r="AF17" s="53"/>
      <c r="AG17" s="53">
        <v>551488</v>
      </c>
      <c r="AH17" s="53"/>
      <c r="AI17" s="45">
        <f t="shared" si="3"/>
        <v>-331817</v>
      </c>
      <c r="AJ17" s="45"/>
      <c r="AK17" s="53">
        <v>-2816</v>
      </c>
      <c r="AL17" s="45"/>
      <c r="AM17" s="53">
        <v>306650</v>
      </c>
      <c r="AN17" s="53"/>
      <c r="AO17" s="53">
        <v>0</v>
      </c>
      <c r="AP17" s="53"/>
      <c r="AQ17" s="53">
        <v>587409</v>
      </c>
      <c r="AR17" s="53"/>
      <c r="AS17" s="45">
        <f t="shared" si="4"/>
        <v>559426</v>
      </c>
      <c r="AT17" s="45"/>
      <c r="AU17" s="53">
        <v>0</v>
      </c>
      <c r="AV17" s="53"/>
      <c r="AW17" s="53">
        <v>0</v>
      </c>
      <c r="AX17" s="53"/>
      <c r="AY17" s="53">
        <f t="shared" si="5"/>
        <v>243489</v>
      </c>
      <c r="AZ17" s="53"/>
      <c r="BA17" s="35" t="s">
        <v>23</v>
      </c>
      <c r="BC17" s="35" t="s">
        <v>17</v>
      </c>
      <c r="BD17" s="53"/>
      <c r="BE17" s="53">
        <v>0</v>
      </c>
      <c r="BF17" s="53"/>
      <c r="BG17" s="53">
        <v>0</v>
      </c>
      <c r="BH17" s="53"/>
      <c r="BI17" s="53">
        <v>0</v>
      </c>
      <c r="BJ17" s="53"/>
      <c r="BK17" s="53">
        <v>0</v>
      </c>
      <c r="BL17" s="53"/>
      <c r="BM17" s="53">
        <f t="shared" si="6"/>
        <v>0</v>
      </c>
      <c r="BN17" s="54" t="s">
        <v>347</v>
      </c>
      <c r="BR17" s="65"/>
      <c r="BS17" s="53"/>
      <c r="BT17" s="53"/>
      <c r="BU17" s="53"/>
      <c r="BV17" s="53"/>
      <c r="BW17" s="53"/>
      <c r="BX17" s="45"/>
      <c r="BY17" s="45"/>
      <c r="BZ17" s="53"/>
      <c r="CA17" s="53"/>
      <c r="CB17" s="53"/>
      <c r="CC17" s="53"/>
      <c r="CD17" s="53"/>
      <c r="CE17" s="53"/>
      <c r="CF17" s="35"/>
      <c r="CH17" s="35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4"/>
    </row>
    <row r="18" spans="1:97" s="55" customFormat="1" ht="12.75" customHeight="1">
      <c r="A18" s="35" t="s">
        <v>24</v>
      </c>
      <c r="B18" s="65"/>
      <c r="C18" s="35" t="s">
        <v>17</v>
      </c>
      <c r="D18" s="44"/>
      <c r="E18" s="53">
        <f>+I18</f>
        <v>21456518</v>
      </c>
      <c r="F18" s="53"/>
      <c r="G18" s="53">
        <v>0</v>
      </c>
      <c r="H18" s="53"/>
      <c r="I18" s="53">
        <v>21456518</v>
      </c>
      <c r="J18" s="53"/>
      <c r="K18" s="53">
        <v>1012442</v>
      </c>
      <c r="L18" s="53"/>
      <c r="M18" s="53">
        <v>7807978</v>
      </c>
      <c r="N18" s="53"/>
      <c r="O18" s="53">
        <v>8820420</v>
      </c>
      <c r="P18" s="53"/>
      <c r="Q18" s="53">
        <v>11953442</v>
      </c>
      <c r="R18" s="53"/>
      <c r="S18" s="53">
        <v>0</v>
      </c>
      <c r="T18" s="53"/>
      <c r="U18" s="53">
        <v>682656</v>
      </c>
      <c r="V18" s="53"/>
      <c r="W18" s="53">
        <f t="shared" si="2"/>
        <v>12636098</v>
      </c>
      <c r="X18" s="53"/>
      <c r="Y18" s="35" t="s">
        <v>24</v>
      </c>
      <c r="AA18" s="35" t="s">
        <v>17</v>
      </c>
      <c r="AB18" s="35"/>
      <c r="AC18" s="53">
        <v>3181306</v>
      </c>
      <c r="AD18" s="53"/>
      <c r="AE18" s="53">
        <f>4705394-658237</f>
        <v>4047157</v>
      </c>
      <c r="AF18" s="53"/>
      <c r="AG18" s="53">
        <v>658237</v>
      </c>
      <c r="AH18" s="53"/>
      <c r="AI18" s="45">
        <f t="shared" si="3"/>
        <v>-1524088</v>
      </c>
      <c r="AJ18" s="45"/>
      <c r="AK18" s="53">
        <v>-258289</v>
      </c>
      <c r="AL18" s="45"/>
      <c r="AM18" s="53">
        <v>1129878</v>
      </c>
      <c r="AN18" s="53"/>
      <c r="AO18" s="53">
        <v>24813</v>
      </c>
      <c r="AP18" s="53"/>
      <c r="AQ18" s="53">
        <v>147764</v>
      </c>
      <c r="AR18" s="53"/>
      <c r="AS18" s="45">
        <f t="shared" si="4"/>
        <v>-529548</v>
      </c>
      <c r="AT18" s="45"/>
      <c r="AU18" s="53">
        <v>0</v>
      </c>
      <c r="AV18" s="53"/>
      <c r="AW18" s="53">
        <v>0</v>
      </c>
      <c r="AX18" s="53"/>
      <c r="AY18" s="53">
        <f t="shared" si="5"/>
        <v>20444076</v>
      </c>
      <c r="AZ18" s="53"/>
      <c r="BA18" s="35" t="s">
        <v>24</v>
      </c>
      <c r="BC18" s="35" t="s">
        <v>17</v>
      </c>
      <c r="BD18" s="53"/>
      <c r="BE18" s="53">
        <v>0</v>
      </c>
      <c r="BF18" s="53"/>
      <c r="BG18" s="53">
        <v>0</v>
      </c>
      <c r="BH18" s="53"/>
      <c r="BI18" s="53">
        <v>0</v>
      </c>
      <c r="BJ18" s="53"/>
      <c r="BK18" s="53">
        <v>0</v>
      </c>
      <c r="BL18" s="53"/>
      <c r="BM18" s="53">
        <f t="shared" si="6"/>
        <v>0</v>
      </c>
      <c r="BN18" s="54" t="s">
        <v>347</v>
      </c>
      <c r="BR18" s="65"/>
      <c r="BS18" s="53"/>
      <c r="BT18" s="53"/>
      <c r="BU18" s="53"/>
      <c r="BV18" s="53"/>
      <c r="BW18" s="53"/>
      <c r="BX18" s="45"/>
      <c r="BY18" s="45"/>
      <c r="BZ18" s="53"/>
      <c r="CA18" s="53"/>
      <c r="CB18" s="53"/>
      <c r="CC18" s="53"/>
      <c r="CD18" s="53"/>
      <c r="CE18" s="53"/>
      <c r="CF18" s="35"/>
      <c r="CH18" s="35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4"/>
    </row>
    <row r="19" spans="1:97" s="55" customFormat="1" ht="12.75" customHeight="1">
      <c r="A19" s="35" t="s">
        <v>25</v>
      </c>
      <c r="C19" s="35" t="s">
        <v>13</v>
      </c>
      <c r="D19" s="44"/>
      <c r="E19" s="53">
        <v>2059321</v>
      </c>
      <c r="F19" s="53"/>
      <c r="G19" s="53">
        <v>23188639</v>
      </c>
      <c r="H19" s="53"/>
      <c r="I19" s="53">
        <v>25247960</v>
      </c>
      <c r="J19" s="53"/>
      <c r="K19" s="53">
        <f t="shared" si="1"/>
        <v>743483</v>
      </c>
      <c r="L19" s="53"/>
      <c r="M19" s="53">
        <v>1206758</v>
      </c>
      <c r="N19" s="53"/>
      <c r="O19" s="53">
        <v>1950241</v>
      </c>
      <c r="P19" s="53"/>
      <c r="Q19" s="53">
        <v>20815988</v>
      </c>
      <c r="R19" s="53"/>
      <c r="S19" s="53">
        <v>1039101</v>
      </c>
      <c r="T19" s="53"/>
      <c r="U19" s="53">
        <v>1442630</v>
      </c>
      <c r="V19" s="53"/>
      <c r="W19" s="53">
        <f t="shared" si="2"/>
        <v>23297719</v>
      </c>
      <c r="X19" s="53"/>
      <c r="Y19" s="35" t="s">
        <v>25</v>
      </c>
      <c r="AA19" s="35" t="s">
        <v>13</v>
      </c>
      <c r="AB19" s="35"/>
      <c r="AC19" s="53">
        <v>4295848</v>
      </c>
      <c r="AD19" s="53"/>
      <c r="AE19" s="53">
        <f>4389751-1055680</f>
        <v>3334071</v>
      </c>
      <c r="AF19" s="53"/>
      <c r="AG19" s="53">
        <v>1055680</v>
      </c>
      <c r="AH19" s="53"/>
      <c r="AI19" s="45">
        <f t="shared" si="3"/>
        <v>-93903</v>
      </c>
      <c r="AJ19" s="45"/>
      <c r="AK19" s="53">
        <v>-60012</v>
      </c>
      <c r="AL19" s="45"/>
      <c r="AM19" s="53">
        <v>0</v>
      </c>
      <c r="AN19" s="53"/>
      <c r="AO19" s="53">
        <v>0</v>
      </c>
      <c r="AP19" s="53"/>
      <c r="AQ19" s="53">
        <v>0</v>
      </c>
      <c r="AR19" s="53"/>
      <c r="AS19" s="45">
        <f t="shared" si="4"/>
        <v>-153915</v>
      </c>
      <c r="AT19" s="45"/>
      <c r="AU19" s="53">
        <v>0</v>
      </c>
      <c r="AV19" s="53"/>
      <c r="AW19" s="53">
        <v>0</v>
      </c>
      <c r="AX19" s="53"/>
      <c r="AY19" s="53">
        <f t="shared" si="5"/>
        <v>1315838</v>
      </c>
      <c r="AZ19" s="53"/>
      <c r="BA19" s="35" t="s">
        <v>25</v>
      </c>
      <c r="BC19" s="35" t="s">
        <v>13</v>
      </c>
      <c r="BD19" s="53"/>
      <c r="BE19" s="53">
        <v>0</v>
      </c>
      <c r="BF19" s="53"/>
      <c r="BG19" s="53">
        <v>0</v>
      </c>
      <c r="BH19" s="53"/>
      <c r="BI19" s="53">
        <v>0</v>
      </c>
      <c r="BJ19" s="53"/>
      <c r="BK19" s="55">
        <v>0</v>
      </c>
      <c r="BL19" s="53"/>
      <c r="BM19" s="53">
        <f>SUM(BE19:BK19)</f>
        <v>0</v>
      </c>
      <c r="BN19" s="54" t="s">
        <v>347</v>
      </c>
      <c r="BR19" s="65"/>
      <c r="BS19" s="53"/>
      <c r="BT19" s="53"/>
      <c r="BU19" s="53"/>
      <c r="BV19" s="53"/>
      <c r="BW19" s="53"/>
      <c r="BX19" s="45"/>
      <c r="BY19" s="45"/>
      <c r="BZ19" s="53"/>
      <c r="CA19" s="53"/>
      <c r="CB19" s="53"/>
      <c r="CC19" s="53"/>
      <c r="CD19" s="53"/>
      <c r="CE19" s="53"/>
      <c r="CF19" s="35"/>
      <c r="CH19" s="35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4"/>
    </row>
    <row r="20" spans="1:97" s="55" customFormat="1" ht="12.75" customHeight="1">
      <c r="A20" s="35" t="s">
        <v>26</v>
      </c>
      <c r="B20" s="65"/>
      <c r="C20" s="35" t="s">
        <v>27</v>
      </c>
      <c r="D20" s="44"/>
      <c r="E20" s="53">
        <v>904594</v>
      </c>
      <c r="F20" s="53"/>
      <c r="G20" s="53">
        <v>9676006</v>
      </c>
      <c r="H20" s="53"/>
      <c r="I20" s="53">
        <v>10580600</v>
      </c>
      <c r="J20" s="53"/>
      <c r="K20" s="53">
        <f t="shared" si="1"/>
        <v>159259</v>
      </c>
      <c r="L20" s="53"/>
      <c r="M20" s="53">
        <v>668115</v>
      </c>
      <c r="N20" s="53"/>
      <c r="O20" s="53">
        <v>827374</v>
      </c>
      <c r="P20" s="53"/>
      <c r="Q20" s="53">
        <v>4157462</v>
      </c>
      <c r="R20" s="53"/>
      <c r="S20" s="53">
        <v>0</v>
      </c>
      <c r="T20" s="53"/>
      <c r="U20" s="53">
        <v>5595764</v>
      </c>
      <c r="V20" s="53"/>
      <c r="W20" s="53">
        <f t="shared" si="2"/>
        <v>9753226</v>
      </c>
      <c r="X20" s="53"/>
      <c r="Y20" s="35" t="s">
        <v>26</v>
      </c>
      <c r="AA20" s="35" t="s">
        <v>27</v>
      </c>
      <c r="AB20" s="35"/>
      <c r="AC20" s="53">
        <v>1478488</v>
      </c>
      <c r="AD20" s="53"/>
      <c r="AE20" s="53">
        <f>1698125-155348</f>
        <v>1542777</v>
      </c>
      <c r="AF20" s="53"/>
      <c r="AG20" s="53">
        <v>155348</v>
      </c>
      <c r="AH20" s="53"/>
      <c r="AI20" s="45">
        <f t="shared" si="3"/>
        <v>-219637</v>
      </c>
      <c r="AJ20" s="45"/>
      <c r="AK20" s="53">
        <v>-224637</v>
      </c>
      <c r="AL20" s="45"/>
      <c r="AM20" s="53">
        <v>61375</v>
      </c>
      <c r="AN20" s="53"/>
      <c r="AO20" s="53">
        <v>0</v>
      </c>
      <c r="AP20" s="53"/>
      <c r="AQ20" s="53">
        <v>919894</v>
      </c>
      <c r="AR20" s="53"/>
      <c r="AS20" s="45">
        <f t="shared" si="4"/>
        <v>536995</v>
      </c>
      <c r="AT20" s="45"/>
      <c r="AU20" s="53">
        <v>0</v>
      </c>
      <c r="AV20" s="53"/>
      <c r="AW20" s="53">
        <v>0</v>
      </c>
      <c r="AX20" s="53"/>
      <c r="AY20" s="53">
        <f t="shared" si="5"/>
        <v>745335</v>
      </c>
      <c r="AZ20" s="53"/>
      <c r="BA20" s="35" t="s">
        <v>26</v>
      </c>
      <c r="BC20" s="35" t="s">
        <v>27</v>
      </c>
      <c r="BD20" s="53"/>
      <c r="BE20" s="53">
        <v>0</v>
      </c>
      <c r="BF20" s="53"/>
      <c r="BG20" s="53">
        <v>0</v>
      </c>
      <c r="BH20" s="53"/>
      <c r="BI20" s="53">
        <v>0</v>
      </c>
      <c r="BJ20" s="53"/>
      <c r="BK20" s="53">
        <v>0</v>
      </c>
      <c r="BL20" s="53"/>
      <c r="BM20" s="53">
        <f t="shared" ref="BM20:BM22" si="7">SUM(BE20:BK20)</f>
        <v>0</v>
      </c>
      <c r="BN20" s="54" t="s">
        <v>347</v>
      </c>
      <c r="BR20" s="65"/>
      <c r="BS20" s="53"/>
      <c r="BT20" s="53"/>
      <c r="BU20" s="53"/>
      <c r="BV20" s="53"/>
      <c r="BW20" s="53"/>
      <c r="BX20" s="45"/>
      <c r="BY20" s="45"/>
      <c r="BZ20" s="53"/>
      <c r="CA20" s="53"/>
      <c r="CB20" s="53"/>
      <c r="CC20" s="53"/>
      <c r="CD20" s="53"/>
      <c r="CE20" s="53"/>
      <c r="CF20" s="35"/>
      <c r="CH20" s="35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4"/>
    </row>
    <row r="21" spans="1:97" s="143" customFormat="1" ht="12.75" hidden="1" customHeight="1">
      <c r="A21" s="126" t="s">
        <v>28</v>
      </c>
      <c r="B21" s="125"/>
      <c r="C21" s="126" t="s">
        <v>27</v>
      </c>
      <c r="D21" s="121"/>
      <c r="E21" s="140"/>
      <c r="F21" s="140"/>
      <c r="G21" s="140"/>
      <c r="H21" s="140"/>
      <c r="I21" s="140"/>
      <c r="J21" s="140"/>
      <c r="K21" s="140">
        <f t="shared" si="1"/>
        <v>0</v>
      </c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>
        <f t="shared" si="2"/>
        <v>0</v>
      </c>
      <c r="X21" s="140"/>
      <c r="Y21" s="126" t="s">
        <v>28</v>
      </c>
      <c r="AA21" s="126" t="s">
        <v>27</v>
      </c>
      <c r="AB21" s="126"/>
      <c r="AC21" s="140"/>
      <c r="AD21" s="140"/>
      <c r="AE21" s="140"/>
      <c r="AF21" s="140"/>
      <c r="AG21" s="140"/>
      <c r="AH21" s="140"/>
      <c r="AI21" s="127">
        <f t="shared" si="3"/>
        <v>0</v>
      </c>
      <c r="AJ21" s="127"/>
      <c r="AK21" s="140"/>
      <c r="AL21" s="127"/>
      <c r="AM21" s="140">
        <v>0</v>
      </c>
      <c r="AN21" s="140"/>
      <c r="AO21" s="140">
        <v>0</v>
      </c>
      <c r="AP21" s="140"/>
      <c r="AQ21" s="140">
        <v>0</v>
      </c>
      <c r="AR21" s="140"/>
      <c r="AS21" s="45">
        <f t="shared" si="4"/>
        <v>0</v>
      </c>
      <c r="AT21" s="127"/>
      <c r="AU21" s="140">
        <v>0</v>
      </c>
      <c r="AV21" s="140"/>
      <c r="AW21" s="140">
        <v>0</v>
      </c>
      <c r="AX21" s="140"/>
      <c r="AY21" s="140">
        <f t="shared" si="5"/>
        <v>0</v>
      </c>
      <c r="AZ21" s="140"/>
      <c r="BA21" s="126" t="s">
        <v>28</v>
      </c>
      <c r="BC21" s="126" t="s">
        <v>27</v>
      </c>
      <c r="BD21" s="140"/>
      <c r="BE21" s="140"/>
      <c r="BF21" s="140"/>
      <c r="BG21" s="140"/>
      <c r="BH21" s="140"/>
      <c r="BI21" s="140"/>
      <c r="BJ21" s="140"/>
      <c r="BK21" s="140"/>
      <c r="BL21" s="140"/>
      <c r="BM21" s="140">
        <f t="shared" si="7"/>
        <v>0</v>
      </c>
      <c r="BN21" s="142" t="s">
        <v>347</v>
      </c>
      <c r="BR21" s="125"/>
      <c r="BS21" s="140"/>
      <c r="BT21" s="140"/>
      <c r="BU21" s="140"/>
      <c r="BV21" s="140"/>
      <c r="BW21" s="140"/>
      <c r="BX21" s="127"/>
      <c r="BY21" s="127"/>
      <c r="BZ21" s="140"/>
      <c r="CA21" s="140"/>
      <c r="CB21" s="140"/>
      <c r="CC21" s="140"/>
      <c r="CD21" s="140"/>
      <c r="CE21" s="140"/>
      <c r="CF21" s="126"/>
      <c r="CH21" s="126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2"/>
    </row>
    <row r="22" spans="1:97" s="143" customFormat="1" ht="12.75" hidden="1" customHeight="1">
      <c r="A22" s="126" t="s">
        <v>29</v>
      </c>
      <c r="B22" s="125"/>
      <c r="C22" s="126" t="s">
        <v>30</v>
      </c>
      <c r="D22" s="121"/>
      <c r="E22" s="140"/>
      <c r="F22" s="140"/>
      <c r="G22" s="140"/>
      <c r="H22" s="140"/>
      <c r="I22" s="140"/>
      <c r="J22" s="140"/>
      <c r="K22" s="140">
        <f t="shared" si="1"/>
        <v>0</v>
      </c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>
        <f t="shared" si="2"/>
        <v>0</v>
      </c>
      <c r="X22" s="140"/>
      <c r="Y22" s="126" t="s">
        <v>29</v>
      </c>
      <c r="AA22" s="126" t="s">
        <v>30</v>
      </c>
      <c r="AB22" s="126"/>
      <c r="AC22" s="140"/>
      <c r="AD22" s="140"/>
      <c r="AE22" s="140"/>
      <c r="AF22" s="140"/>
      <c r="AG22" s="140"/>
      <c r="AH22" s="140"/>
      <c r="AI22" s="127">
        <f t="shared" si="3"/>
        <v>0</v>
      </c>
      <c r="AJ22" s="127"/>
      <c r="AK22" s="140"/>
      <c r="AL22" s="127"/>
      <c r="AM22" s="140"/>
      <c r="AN22" s="140"/>
      <c r="AO22" s="140"/>
      <c r="AP22" s="140"/>
      <c r="AQ22" s="140"/>
      <c r="AR22" s="140"/>
      <c r="AS22" s="45">
        <f t="shared" si="4"/>
        <v>0</v>
      </c>
      <c r="AT22" s="127"/>
      <c r="AU22" s="140">
        <v>0</v>
      </c>
      <c r="AV22" s="140"/>
      <c r="AW22" s="140">
        <v>0</v>
      </c>
      <c r="AX22" s="140"/>
      <c r="AY22" s="140">
        <f t="shared" si="5"/>
        <v>0</v>
      </c>
      <c r="AZ22" s="140"/>
      <c r="BA22" s="126" t="s">
        <v>29</v>
      </c>
      <c r="BC22" s="126" t="s">
        <v>30</v>
      </c>
      <c r="BD22" s="140"/>
      <c r="BE22" s="140"/>
      <c r="BF22" s="140"/>
      <c r="BG22" s="140"/>
      <c r="BH22" s="140"/>
      <c r="BI22" s="140"/>
      <c r="BJ22" s="140"/>
      <c r="BK22" s="140"/>
      <c r="BL22" s="140"/>
      <c r="BM22" s="140">
        <f t="shared" si="7"/>
        <v>0</v>
      </c>
      <c r="BN22" s="142" t="s">
        <v>347</v>
      </c>
      <c r="BR22" s="125"/>
      <c r="BS22" s="140"/>
      <c r="BT22" s="140"/>
      <c r="BU22" s="140"/>
      <c r="BV22" s="140"/>
      <c r="BW22" s="140"/>
      <c r="BX22" s="127"/>
      <c r="BY22" s="127"/>
      <c r="BZ22" s="140"/>
      <c r="CA22" s="140"/>
      <c r="CB22" s="140"/>
      <c r="CC22" s="140"/>
      <c r="CD22" s="140"/>
      <c r="CE22" s="140"/>
      <c r="CF22" s="126"/>
      <c r="CH22" s="126"/>
      <c r="CI22" s="140"/>
      <c r="CJ22" s="140"/>
      <c r="CK22" s="140"/>
      <c r="CL22" s="140"/>
      <c r="CM22" s="140"/>
      <c r="CN22" s="140"/>
      <c r="CO22" s="140"/>
      <c r="CP22" s="140"/>
      <c r="CQ22" s="140"/>
      <c r="CR22" s="140"/>
      <c r="CS22" s="142"/>
    </row>
    <row r="23" spans="1:97" s="55" customFormat="1" ht="12.75" customHeight="1">
      <c r="A23" s="35" t="s">
        <v>31</v>
      </c>
      <c r="B23" s="65"/>
      <c r="C23" s="35" t="s">
        <v>27</v>
      </c>
      <c r="D23" s="44"/>
      <c r="E23" s="53">
        <f>I23-G23</f>
        <v>1581357</v>
      </c>
      <c r="F23" s="53"/>
      <c r="G23" s="53">
        <v>7701829</v>
      </c>
      <c r="H23" s="53"/>
      <c r="I23" s="53">
        <v>9283186</v>
      </c>
      <c r="J23" s="53"/>
      <c r="K23" s="53">
        <f>O23-M23</f>
        <v>195092</v>
      </c>
      <c r="L23" s="53"/>
      <c r="M23" s="53">
        <f>11037+1395000+28636</f>
        <v>1434673</v>
      </c>
      <c r="N23" s="53"/>
      <c r="O23" s="53">
        <v>1629765</v>
      </c>
      <c r="P23" s="53"/>
      <c r="Q23" s="53">
        <v>7106450</v>
      </c>
      <c r="R23" s="53"/>
      <c r="S23" s="53">
        <v>0</v>
      </c>
      <c r="T23" s="53"/>
      <c r="U23" s="53">
        <v>546971</v>
      </c>
      <c r="V23" s="53"/>
      <c r="W23" s="53">
        <f>SUM(Q23:U23)</f>
        <v>7653421</v>
      </c>
      <c r="X23" s="53"/>
      <c r="Y23" s="35" t="s">
        <v>32</v>
      </c>
      <c r="AA23" s="35" t="s">
        <v>27</v>
      </c>
      <c r="AB23" s="35"/>
      <c r="AC23" s="53">
        <v>3236686</v>
      </c>
      <c r="AD23" s="53"/>
      <c r="AE23" s="53">
        <f>2945183-426904</f>
        <v>2518279</v>
      </c>
      <c r="AF23" s="53"/>
      <c r="AG23" s="53">
        <v>426904</v>
      </c>
      <c r="AH23" s="53"/>
      <c r="AI23" s="45">
        <f>+AC23-AE23-AG23</f>
        <v>291503</v>
      </c>
      <c r="AJ23" s="45"/>
      <c r="AK23" s="53">
        <v>-41628</v>
      </c>
      <c r="AL23" s="45"/>
      <c r="AM23" s="53">
        <v>0</v>
      </c>
      <c r="AN23" s="53"/>
      <c r="AO23" s="53">
        <v>186044</v>
      </c>
      <c r="AP23" s="53"/>
      <c r="AQ23" s="53">
        <v>0</v>
      </c>
      <c r="AR23" s="53"/>
      <c r="AS23" s="45">
        <f>+AI23+AK23+AM23-AO23+AQ23</f>
        <v>63831</v>
      </c>
      <c r="AT23" s="45"/>
      <c r="AU23" s="53">
        <v>0</v>
      </c>
      <c r="AV23" s="53"/>
      <c r="AW23" s="53">
        <v>0</v>
      </c>
      <c r="AX23" s="53"/>
      <c r="AY23" s="53">
        <f t="shared" si="5"/>
        <v>1386265</v>
      </c>
      <c r="AZ23" s="53"/>
      <c r="BA23" s="35" t="s">
        <v>32</v>
      </c>
      <c r="BC23" s="35" t="s">
        <v>27</v>
      </c>
      <c r="BD23" s="53"/>
      <c r="BE23" s="53">
        <v>962200</v>
      </c>
      <c r="BF23" s="53"/>
      <c r="BG23" s="53">
        <v>0</v>
      </c>
      <c r="BH23" s="53"/>
      <c r="BI23" s="53">
        <v>0</v>
      </c>
      <c r="BJ23" s="53"/>
      <c r="BK23" s="53">
        <v>498733</v>
      </c>
      <c r="BL23" s="53"/>
      <c r="BM23" s="53">
        <f>SUM(BE23:BK23)</f>
        <v>1460933</v>
      </c>
      <c r="BN23" s="54" t="s">
        <v>347</v>
      </c>
      <c r="BO23" s="55" t="s">
        <v>404</v>
      </c>
      <c r="BR23" s="65"/>
      <c r="BS23" s="53"/>
      <c r="BT23" s="53"/>
      <c r="BU23" s="53"/>
      <c r="BV23" s="53"/>
      <c r="BW23" s="53"/>
      <c r="BX23" s="45"/>
      <c r="BY23" s="45"/>
      <c r="BZ23" s="53"/>
      <c r="CA23" s="53"/>
      <c r="CB23" s="53"/>
      <c r="CC23" s="53"/>
      <c r="CD23" s="53"/>
      <c r="CE23" s="53"/>
      <c r="CF23" s="44"/>
      <c r="CH23" s="35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4"/>
    </row>
    <row r="24" spans="1:97" s="55" customFormat="1" ht="12.75" hidden="1" customHeight="1">
      <c r="A24" s="35" t="s">
        <v>32</v>
      </c>
      <c r="B24" s="65"/>
      <c r="C24" s="35" t="s">
        <v>27</v>
      </c>
      <c r="D24" s="44"/>
      <c r="E24" s="53">
        <f t="shared" ref="E24:E53" si="8">I24-G24</f>
        <v>0</v>
      </c>
      <c r="F24" s="53"/>
      <c r="G24" s="53"/>
      <c r="H24" s="53"/>
      <c r="I24" s="53"/>
      <c r="J24" s="53"/>
      <c r="K24" s="53">
        <f t="shared" ref="K24:K53" si="9">O24-M24</f>
        <v>0</v>
      </c>
      <c r="L24" s="53"/>
      <c r="M24" s="53"/>
      <c r="N24" s="53"/>
      <c r="O24" s="53"/>
      <c r="P24" s="53"/>
      <c r="Q24" s="53"/>
      <c r="R24" s="53"/>
      <c r="S24" s="53"/>
      <c r="T24" s="53"/>
      <c r="U24" s="53"/>
      <c r="V24" s="53"/>
      <c r="W24" s="53">
        <f t="shared" ref="W24:W41" si="10">SUM(Q24:U24)</f>
        <v>0</v>
      </c>
      <c r="X24" s="53"/>
      <c r="Y24" s="35" t="s">
        <v>34</v>
      </c>
      <c r="AA24" s="35" t="s">
        <v>30</v>
      </c>
      <c r="AB24" s="35"/>
      <c r="AC24" s="53"/>
      <c r="AD24" s="53"/>
      <c r="AE24" s="53"/>
      <c r="AF24" s="53"/>
      <c r="AG24" s="53"/>
      <c r="AH24" s="53"/>
      <c r="AI24" s="45">
        <f t="shared" ref="AI24:AI52" si="11">+AC24-AE24-AG24</f>
        <v>0</v>
      </c>
      <c r="AJ24" s="45"/>
      <c r="AK24" s="53"/>
      <c r="AL24" s="45"/>
      <c r="AM24" s="53">
        <v>0</v>
      </c>
      <c r="AN24" s="53"/>
      <c r="AO24" s="53">
        <v>0</v>
      </c>
      <c r="AP24" s="53"/>
      <c r="AQ24" s="53">
        <v>0</v>
      </c>
      <c r="AR24" s="53"/>
      <c r="AS24" s="45">
        <f t="shared" ref="AS24:AS53" si="12">+AI24+AK24+AM24-AO24+AQ24</f>
        <v>0</v>
      </c>
      <c r="AT24" s="45"/>
      <c r="AU24" s="53">
        <v>0</v>
      </c>
      <c r="AV24" s="53"/>
      <c r="AW24" s="53">
        <v>0</v>
      </c>
      <c r="AX24" s="53"/>
      <c r="AY24" s="53">
        <f t="shared" ref="AY24:AY53" si="13">+E24-K24</f>
        <v>0</v>
      </c>
      <c r="AZ24" s="53"/>
      <c r="BA24" s="35" t="s">
        <v>34</v>
      </c>
      <c r="BC24" s="35" t="s">
        <v>30</v>
      </c>
      <c r="BD24" s="53"/>
      <c r="BE24" s="53"/>
      <c r="BF24" s="53"/>
      <c r="BG24" s="53"/>
      <c r="BH24" s="53"/>
      <c r="BI24" s="53"/>
      <c r="BJ24" s="53"/>
      <c r="BK24" s="53"/>
      <c r="BL24" s="53"/>
      <c r="BM24" s="53">
        <f t="shared" ref="BM24:BM46" si="14">SUM(BE24:BK24)</f>
        <v>0</v>
      </c>
      <c r="BN24" s="54" t="s">
        <v>347</v>
      </c>
      <c r="BR24" s="65"/>
      <c r="BS24" s="53"/>
      <c r="BT24" s="53"/>
      <c r="BU24" s="53"/>
      <c r="BV24" s="53"/>
      <c r="BW24" s="53"/>
      <c r="BX24" s="45"/>
      <c r="BY24" s="45"/>
      <c r="BZ24" s="53"/>
      <c r="CA24" s="53"/>
      <c r="CB24" s="53"/>
      <c r="CC24" s="53"/>
      <c r="CD24" s="53"/>
      <c r="CE24" s="53"/>
      <c r="CF24" s="35"/>
      <c r="CH24" s="35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4"/>
    </row>
    <row r="25" spans="1:97" s="55" customFormat="1" ht="12.75" customHeight="1">
      <c r="A25" s="35" t="s">
        <v>34</v>
      </c>
      <c r="B25" s="65"/>
      <c r="C25" s="35" t="s">
        <v>30</v>
      </c>
      <c r="D25" s="44"/>
      <c r="E25" s="53">
        <f t="shared" si="8"/>
        <v>3486137</v>
      </c>
      <c r="F25" s="53"/>
      <c r="G25" s="53">
        <f>8906132+247811</f>
        <v>9153943</v>
      </c>
      <c r="H25" s="53"/>
      <c r="I25" s="53">
        <v>12640080</v>
      </c>
      <c r="J25" s="53"/>
      <c r="K25" s="53">
        <f t="shared" si="9"/>
        <v>652476</v>
      </c>
      <c r="L25" s="53"/>
      <c r="M25" s="53">
        <f>205400+1445000+19052</f>
        <v>1669452</v>
      </c>
      <c r="N25" s="53"/>
      <c r="O25" s="53">
        <v>2321928</v>
      </c>
      <c r="P25" s="53"/>
      <c r="Q25" s="53">
        <v>7007605</v>
      </c>
      <c r="R25" s="53"/>
      <c r="S25" s="53">
        <v>514122</v>
      </c>
      <c r="T25" s="53"/>
      <c r="U25" s="53">
        <v>2796425</v>
      </c>
      <c r="V25" s="53"/>
      <c r="W25" s="53">
        <f t="shared" si="10"/>
        <v>10318152</v>
      </c>
      <c r="X25" s="53"/>
      <c r="Y25" s="35" t="s">
        <v>35</v>
      </c>
      <c r="AA25" s="35" t="s">
        <v>36</v>
      </c>
      <c r="AB25" s="35"/>
      <c r="AC25" s="53">
        <v>2909018</v>
      </c>
      <c r="AD25" s="53"/>
      <c r="AE25" s="53">
        <f>1439192-266292</f>
        <v>1172900</v>
      </c>
      <c r="AF25" s="53"/>
      <c r="AG25" s="53">
        <v>266292</v>
      </c>
      <c r="AH25" s="53"/>
      <c r="AI25" s="45">
        <f t="shared" si="11"/>
        <v>1469826</v>
      </c>
      <c r="AJ25" s="45"/>
      <c r="AK25" s="53">
        <v>-39943</v>
      </c>
      <c r="AL25" s="45"/>
      <c r="AM25" s="53">
        <v>0</v>
      </c>
      <c r="AN25" s="53"/>
      <c r="AO25" s="53">
        <v>0</v>
      </c>
      <c r="AP25" s="53"/>
      <c r="AQ25" s="53">
        <v>0</v>
      </c>
      <c r="AR25" s="53"/>
      <c r="AS25" s="45">
        <f t="shared" si="12"/>
        <v>1429883</v>
      </c>
      <c r="AT25" s="45"/>
      <c r="AU25" s="53">
        <v>0</v>
      </c>
      <c r="AV25" s="53"/>
      <c r="AW25" s="53">
        <v>0</v>
      </c>
      <c r="AX25" s="53"/>
      <c r="AY25" s="53">
        <f t="shared" si="13"/>
        <v>2833661</v>
      </c>
      <c r="AZ25" s="53"/>
      <c r="BA25" s="35" t="s">
        <v>35</v>
      </c>
      <c r="BC25" s="35" t="s">
        <v>36</v>
      </c>
      <c r="BD25" s="53"/>
      <c r="BE25" s="53">
        <v>1280000</v>
      </c>
      <c r="BF25" s="53"/>
      <c r="BG25" s="53">
        <v>0</v>
      </c>
      <c r="BH25" s="53"/>
      <c r="BI25" s="53">
        <v>0</v>
      </c>
      <c r="BJ25" s="53"/>
      <c r="BK25" s="53">
        <f>230663/2</f>
        <v>115331.5</v>
      </c>
      <c r="BL25" s="53"/>
      <c r="BM25" s="53">
        <f t="shared" si="14"/>
        <v>1395331.5</v>
      </c>
      <c r="BN25" s="54" t="s">
        <v>347</v>
      </c>
      <c r="BR25" s="65"/>
      <c r="BS25" s="53"/>
      <c r="BT25" s="53"/>
      <c r="BU25" s="53"/>
      <c r="BV25" s="53"/>
      <c r="BW25" s="53"/>
      <c r="BX25" s="45"/>
      <c r="BY25" s="45"/>
      <c r="BZ25" s="53"/>
      <c r="CA25" s="53"/>
      <c r="CB25" s="53"/>
      <c r="CC25" s="53"/>
      <c r="CD25" s="53"/>
      <c r="CE25" s="53"/>
      <c r="CF25" s="35"/>
      <c r="CH25" s="35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4"/>
    </row>
    <row r="26" spans="1:97" s="55" customFormat="1" ht="12.75" hidden="1" customHeight="1">
      <c r="A26" s="35" t="s">
        <v>35</v>
      </c>
      <c r="B26" s="65"/>
      <c r="C26" s="35" t="s">
        <v>36</v>
      </c>
      <c r="D26" s="44"/>
      <c r="E26" s="53">
        <f t="shared" si="8"/>
        <v>0</v>
      </c>
      <c r="F26" s="53"/>
      <c r="G26" s="53"/>
      <c r="H26" s="53"/>
      <c r="I26" s="53"/>
      <c r="J26" s="53"/>
      <c r="K26" s="53">
        <f t="shared" si="9"/>
        <v>0</v>
      </c>
      <c r="L26" s="53"/>
      <c r="M26" s="53"/>
      <c r="N26" s="53"/>
      <c r="O26" s="53"/>
      <c r="P26" s="53"/>
      <c r="Q26" s="53"/>
      <c r="R26" s="53"/>
      <c r="S26" s="53"/>
      <c r="T26" s="53"/>
      <c r="U26" s="53"/>
      <c r="V26" s="53"/>
      <c r="W26" s="53">
        <f t="shared" si="10"/>
        <v>0</v>
      </c>
      <c r="X26" s="53"/>
      <c r="Y26" s="35" t="s">
        <v>37</v>
      </c>
      <c r="AA26" s="35" t="s">
        <v>38</v>
      </c>
      <c r="AB26" s="35"/>
      <c r="AC26" s="53"/>
      <c r="AD26" s="53"/>
      <c r="AE26" s="53"/>
      <c r="AF26" s="53"/>
      <c r="AG26" s="53"/>
      <c r="AH26" s="53"/>
      <c r="AI26" s="45">
        <f t="shared" si="11"/>
        <v>0</v>
      </c>
      <c r="AJ26" s="45"/>
      <c r="AK26" s="53"/>
      <c r="AL26" s="45"/>
      <c r="AM26" s="53">
        <v>0</v>
      </c>
      <c r="AN26" s="53"/>
      <c r="AO26" s="53">
        <v>0</v>
      </c>
      <c r="AP26" s="53"/>
      <c r="AQ26" s="53">
        <v>0</v>
      </c>
      <c r="AR26" s="53"/>
      <c r="AS26" s="45">
        <f t="shared" si="12"/>
        <v>0</v>
      </c>
      <c r="AT26" s="45"/>
      <c r="AU26" s="53">
        <v>0</v>
      </c>
      <c r="AV26" s="53"/>
      <c r="AW26" s="53">
        <v>0</v>
      </c>
      <c r="AX26" s="53"/>
      <c r="AY26" s="53">
        <f t="shared" si="13"/>
        <v>0</v>
      </c>
      <c r="AZ26" s="53"/>
      <c r="BA26" s="35" t="s">
        <v>37</v>
      </c>
      <c r="BC26" s="35" t="s">
        <v>38</v>
      </c>
      <c r="BD26" s="53"/>
      <c r="BE26" s="53"/>
      <c r="BF26" s="53"/>
      <c r="BG26" s="53"/>
      <c r="BH26" s="53"/>
      <c r="BI26" s="53"/>
      <c r="BJ26" s="53"/>
      <c r="BK26" s="53"/>
      <c r="BL26" s="53"/>
      <c r="BM26" s="53">
        <f t="shared" si="14"/>
        <v>0</v>
      </c>
      <c r="BN26" s="54" t="s">
        <v>347</v>
      </c>
      <c r="BR26" s="65"/>
      <c r="BS26" s="53"/>
      <c r="BT26" s="53"/>
      <c r="BU26" s="53"/>
      <c r="BV26" s="53"/>
      <c r="BW26" s="53"/>
      <c r="BX26" s="45"/>
      <c r="BY26" s="45"/>
      <c r="BZ26" s="53"/>
      <c r="CA26" s="53"/>
      <c r="CB26" s="53"/>
      <c r="CC26" s="53"/>
      <c r="CD26" s="53"/>
      <c r="CE26" s="53"/>
      <c r="CF26" s="35"/>
      <c r="CH26" s="35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4"/>
    </row>
    <row r="27" spans="1:97" s="55" customFormat="1" ht="12.75" customHeight="1">
      <c r="A27" s="35" t="s">
        <v>37</v>
      </c>
      <c r="B27" s="65"/>
      <c r="C27" s="35" t="s">
        <v>38</v>
      </c>
      <c r="D27" s="44"/>
      <c r="E27" s="53">
        <f t="shared" si="8"/>
        <v>642006</v>
      </c>
      <c r="F27" s="53"/>
      <c r="G27" s="53">
        <v>7597522</v>
      </c>
      <c r="H27" s="53"/>
      <c r="I27" s="53">
        <v>8239528</v>
      </c>
      <c r="J27" s="53"/>
      <c r="K27" s="53">
        <f t="shared" si="9"/>
        <v>409941</v>
      </c>
      <c r="L27" s="53"/>
      <c r="M27" s="53">
        <v>3414341</v>
      </c>
      <c r="N27" s="53"/>
      <c r="O27" s="53">
        <v>3824282</v>
      </c>
      <c r="P27" s="53"/>
      <c r="Q27" s="53">
        <v>3840157</v>
      </c>
      <c r="R27" s="53"/>
      <c r="S27" s="53">
        <v>0</v>
      </c>
      <c r="T27" s="53"/>
      <c r="U27" s="53">
        <v>575089</v>
      </c>
      <c r="V27" s="53"/>
      <c r="W27" s="53">
        <f>SUM(Q27:U27)</f>
        <v>4415246</v>
      </c>
      <c r="X27" s="65"/>
      <c r="Y27" s="35" t="s">
        <v>39</v>
      </c>
      <c r="Z27" s="53"/>
      <c r="AA27" s="35" t="s">
        <v>40</v>
      </c>
      <c r="AB27" s="65"/>
      <c r="AC27" s="53">
        <v>1409606</v>
      </c>
      <c r="AD27" s="53"/>
      <c r="AE27" s="53">
        <f>1169056-206793</f>
        <v>962263</v>
      </c>
      <c r="AF27" s="53"/>
      <c r="AG27" s="53">
        <v>206793</v>
      </c>
      <c r="AH27" s="53"/>
      <c r="AI27" s="45">
        <f>+AC27-AE27-AG27</f>
        <v>240550</v>
      </c>
      <c r="AJ27" s="45"/>
      <c r="AK27" s="53">
        <v>-156546</v>
      </c>
      <c r="AL27" s="45"/>
      <c r="AM27" s="53">
        <v>0</v>
      </c>
      <c r="AN27" s="53"/>
      <c r="AO27" s="53">
        <v>0</v>
      </c>
      <c r="AP27" s="53"/>
      <c r="AQ27" s="53">
        <v>0</v>
      </c>
      <c r="AR27" s="53"/>
      <c r="AS27" s="45">
        <f t="shared" si="12"/>
        <v>84004</v>
      </c>
      <c r="AT27" s="45"/>
      <c r="AU27" s="53">
        <v>0</v>
      </c>
      <c r="AV27" s="53"/>
      <c r="AW27" s="53">
        <v>0</v>
      </c>
      <c r="AX27" s="53"/>
      <c r="AY27" s="53">
        <f>+E27-K27</f>
        <v>232065</v>
      </c>
      <c r="AZ27" s="65"/>
      <c r="BA27" s="35" t="s">
        <v>39</v>
      </c>
      <c r="BB27" s="35"/>
      <c r="BC27" s="35" t="s">
        <v>40</v>
      </c>
      <c r="BD27" s="53"/>
      <c r="BE27" s="53">
        <v>0</v>
      </c>
      <c r="BF27" s="53"/>
      <c r="BG27" s="53">
        <v>0</v>
      </c>
      <c r="BH27" s="53"/>
      <c r="BI27" s="53">
        <v>0</v>
      </c>
      <c r="BJ27" s="53"/>
      <c r="BK27" s="53">
        <v>0</v>
      </c>
      <c r="BL27" s="53"/>
      <c r="BM27" s="53">
        <f t="shared" si="14"/>
        <v>0</v>
      </c>
      <c r="BN27" s="54" t="s">
        <v>347</v>
      </c>
      <c r="BR27" s="65"/>
      <c r="BS27" s="53"/>
      <c r="BT27" s="53"/>
      <c r="BU27" s="53"/>
      <c r="BV27" s="53"/>
      <c r="BW27" s="53"/>
      <c r="BX27" s="45"/>
      <c r="BY27" s="45"/>
      <c r="BZ27" s="53"/>
      <c r="CA27" s="53"/>
      <c r="CB27" s="53"/>
      <c r="CC27" s="53"/>
      <c r="CD27" s="53"/>
      <c r="CE27" s="53"/>
      <c r="CF27" s="35"/>
      <c r="CH27" s="35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4"/>
    </row>
    <row r="28" spans="1:97" s="35" customFormat="1" ht="12.75" customHeight="1">
      <c r="A28" s="35" t="s">
        <v>39</v>
      </c>
      <c r="B28" s="65"/>
      <c r="C28" s="35" t="s">
        <v>40</v>
      </c>
      <c r="D28" s="44"/>
      <c r="E28" s="53">
        <f t="shared" si="8"/>
        <v>566767</v>
      </c>
      <c r="F28" s="53"/>
      <c r="G28" s="53">
        <v>10939814</v>
      </c>
      <c r="H28" s="53"/>
      <c r="I28" s="53">
        <v>11506581</v>
      </c>
      <c r="J28" s="53"/>
      <c r="K28" s="53">
        <f t="shared" si="9"/>
        <v>324829</v>
      </c>
      <c r="L28" s="53"/>
      <c r="M28" s="53">
        <v>4216637</v>
      </c>
      <c r="N28" s="53"/>
      <c r="O28" s="53">
        <v>4541466</v>
      </c>
      <c r="P28" s="53"/>
      <c r="Q28" s="53">
        <v>6604764</v>
      </c>
      <c r="R28" s="53"/>
      <c r="S28" s="53">
        <v>0</v>
      </c>
      <c r="T28" s="53"/>
      <c r="U28" s="53">
        <v>360351</v>
      </c>
      <c r="V28" s="53"/>
      <c r="W28" s="53">
        <f>SUM(Q28:U28)</f>
        <v>6965115</v>
      </c>
      <c r="X28" s="53"/>
      <c r="Y28" s="35" t="s">
        <v>41</v>
      </c>
      <c r="Z28" s="55"/>
      <c r="AA28" s="35" t="s">
        <v>27</v>
      </c>
      <c r="AC28" s="53">
        <v>771313</v>
      </c>
      <c r="AD28" s="53"/>
      <c r="AE28" s="53">
        <f>852977-256378</f>
        <v>596599</v>
      </c>
      <c r="AF28" s="53"/>
      <c r="AG28" s="53">
        <v>256378</v>
      </c>
      <c r="AH28" s="53"/>
      <c r="AI28" s="45">
        <f>+AC28-AE28-AG28</f>
        <v>-81664</v>
      </c>
      <c r="AJ28" s="45"/>
      <c r="AK28" s="53">
        <v>-85546</v>
      </c>
      <c r="AL28" s="45"/>
      <c r="AM28" s="53">
        <v>132000</v>
      </c>
      <c r="AN28" s="53"/>
      <c r="AO28" s="53">
        <v>0</v>
      </c>
      <c r="AP28" s="53"/>
      <c r="AQ28" s="53">
        <v>204882</v>
      </c>
      <c r="AR28" s="53"/>
      <c r="AS28" s="45">
        <f t="shared" si="12"/>
        <v>169672</v>
      </c>
      <c r="AT28" s="45"/>
      <c r="AU28" s="53">
        <v>0</v>
      </c>
      <c r="AV28" s="53"/>
      <c r="AW28" s="53">
        <v>0</v>
      </c>
      <c r="AX28" s="53"/>
      <c r="AY28" s="53">
        <f>+E28-K28</f>
        <v>241938</v>
      </c>
      <c r="AZ28" s="53"/>
      <c r="BA28" s="35" t="s">
        <v>41</v>
      </c>
      <c r="BB28" s="55"/>
      <c r="BC28" s="35" t="s">
        <v>27</v>
      </c>
      <c r="BD28" s="53"/>
      <c r="BE28" s="53">
        <v>0</v>
      </c>
      <c r="BF28" s="53"/>
      <c r="BG28" s="53">
        <v>0</v>
      </c>
      <c r="BH28" s="53"/>
      <c r="BI28" s="53">
        <v>0</v>
      </c>
      <c r="BJ28" s="53"/>
      <c r="BK28" s="53">
        <v>0</v>
      </c>
      <c r="BL28" s="53"/>
      <c r="BM28" s="53">
        <f t="shared" si="14"/>
        <v>0</v>
      </c>
      <c r="BN28" s="54"/>
      <c r="BR28" s="55"/>
      <c r="BS28" s="55"/>
      <c r="BT28" s="84"/>
      <c r="BU28" s="55"/>
      <c r="BV28" s="55"/>
      <c r="BW28" s="55"/>
      <c r="BX28" s="55"/>
      <c r="BY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</row>
    <row r="29" spans="1:97" s="55" customFormat="1" ht="12.75" customHeight="1">
      <c r="A29" s="35" t="s">
        <v>41</v>
      </c>
      <c r="B29" s="65"/>
      <c r="C29" s="35" t="s">
        <v>27</v>
      </c>
      <c r="D29" s="44"/>
      <c r="E29" s="53">
        <f t="shared" si="8"/>
        <v>1514691</v>
      </c>
      <c r="F29" s="53"/>
      <c r="G29" s="53">
        <v>3119723</v>
      </c>
      <c r="H29" s="53"/>
      <c r="I29" s="53">
        <v>4634414</v>
      </c>
      <c r="J29" s="53"/>
      <c r="K29" s="53">
        <f t="shared" si="9"/>
        <v>453103</v>
      </c>
      <c r="L29" s="53"/>
      <c r="M29" s="53">
        <v>1236251</v>
      </c>
      <c r="N29" s="53"/>
      <c r="O29" s="53">
        <v>1689354</v>
      </c>
      <c r="P29" s="53"/>
      <c r="Q29" s="53">
        <v>1837398</v>
      </c>
      <c r="R29" s="53"/>
      <c r="S29" s="53">
        <v>0</v>
      </c>
      <c r="T29" s="53"/>
      <c r="U29" s="53">
        <v>1107662</v>
      </c>
      <c r="V29" s="53"/>
      <c r="W29" s="53">
        <f t="shared" si="10"/>
        <v>2945060</v>
      </c>
      <c r="X29" s="53"/>
      <c r="Y29" s="35" t="s">
        <v>42</v>
      </c>
      <c r="AA29" s="35" t="s">
        <v>43</v>
      </c>
      <c r="AB29" s="35"/>
      <c r="AC29" s="53">
        <v>2326034</v>
      </c>
      <c r="AD29" s="53"/>
      <c r="AE29" s="53">
        <f>1891424-115780</f>
        <v>1775644</v>
      </c>
      <c r="AF29" s="53"/>
      <c r="AG29" s="53">
        <v>115780</v>
      </c>
      <c r="AH29" s="53"/>
      <c r="AI29" s="45">
        <f t="shared" si="11"/>
        <v>434610</v>
      </c>
      <c r="AJ29" s="45"/>
      <c r="AK29" s="53">
        <v>0</v>
      </c>
      <c r="AL29" s="45"/>
      <c r="AM29" s="53">
        <v>0</v>
      </c>
      <c r="AN29" s="53"/>
      <c r="AO29" s="53">
        <v>0</v>
      </c>
      <c r="AP29" s="53"/>
      <c r="AQ29" s="53">
        <v>0</v>
      </c>
      <c r="AR29" s="53"/>
      <c r="AS29" s="45">
        <f t="shared" si="12"/>
        <v>434610</v>
      </c>
      <c r="AT29" s="45"/>
      <c r="AU29" s="53">
        <v>0</v>
      </c>
      <c r="AV29" s="53"/>
      <c r="AW29" s="53">
        <v>0</v>
      </c>
      <c r="AX29" s="53"/>
      <c r="AY29" s="53">
        <f t="shared" si="13"/>
        <v>1061588</v>
      </c>
      <c r="AZ29" s="53"/>
      <c r="BA29" s="35" t="s">
        <v>42</v>
      </c>
      <c r="BC29" s="35" t="s">
        <v>43</v>
      </c>
      <c r="BD29" s="53"/>
      <c r="BE29" s="53">
        <v>0</v>
      </c>
      <c r="BF29" s="53"/>
      <c r="BG29" s="53">
        <v>0</v>
      </c>
      <c r="BH29" s="53"/>
      <c r="BI29" s="53">
        <v>0</v>
      </c>
      <c r="BJ29" s="53"/>
      <c r="BK29" s="53">
        <v>0</v>
      </c>
      <c r="BL29" s="53"/>
      <c r="BM29" s="53">
        <f t="shared" si="14"/>
        <v>0</v>
      </c>
      <c r="BN29" s="54" t="s">
        <v>347</v>
      </c>
      <c r="BR29" s="65"/>
      <c r="BS29" s="53"/>
      <c r="BT29" s="53"/>
      <c r="BU29" s="53"/>
      <c r="BV29" s="53"/>
      <c r="BW29" s="53"/>
      <c r="BX29" s="45"/>
      <c r="BY29" s="45"/>
      <c r="BZ29" s="53"/>
      <c r="CA29" s="53"/>
      <c r="CB29" s="53"/>
      <c r="CC29" s="53"/>
      <c r="CD29" s="53"/>
      <c r="CE29" s="53"/>
      <c r="CF29" s="35"/>
      <c r="CH29" s="35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4"/>
    </row>
    <row r="30" spans="1:97" s="55" customFormat="1" ht="12.75" hidden="1" customHeight="1">
      <c r="A30" s="35" t="s">
        <v>42</v>
      </c>
      <c r="B30" s="65"/>
      <c r="C30" s="35" t="s">
        <v>43</v>
      </c>
      <c r="D30" s="44"/>
      <c r="E30" s="53">
        <f t="shared" si="8"/>
        <v>0</v>
      </c>
      <c r="F30" s="53"/>
      <c r="G30" s="53"/>
      <c r="H30" s="53"/>
      <c r="I30" s="53"/>
      <c r="J30" s="53"/>
      <c r="K30" s="53">
        <f t="shared" si="9"/>
        <v>0</v>
      </c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>
        <v>0</v>
      </c>
      <c r="X30" s="53"/>
      <c r="Y30" s="35" t="s">
        <v>44</v>
      </c>
      <c r="AA30" s="35" t="s">
        <v>45</v>
      </c>
      <c r="AB30" s="35"/>
      <c r="AC30" s="53"/>
      <c r="AD30" s="53"/>
      <c r="AE30" s="53"/>
      <c r="AF30" s="53"/>
      <c r="AG30" s="53"/>
      <c r="AH30" s="53"/>
      <c r="AI30" s="45">
        <f t="shared" si="11"/>
        <v>0</v>
      </c>
      <c r="AJ30" s="45"/>
      <c r="AK30" s="53"/>
      <c r="AL30" s="45"/>
      <c r="AM30" s="53">
        <v>0</v>
      </c>
      <c r="AN30" s="53"/>
      <c r="AO30" s="53">
        <v>0</v>
      </c>
      <c r="AP30" s="53"/>
      <c r="AQ30" s="53">
        <v>0</v>
      </c>
      <c r="AR30" s="53"/>
      <c r="AS30" s="45">
        <f t="shared" si="12"/>
        <v>0</v>
      </c>
      <c r="AT30" s="45"/>
      <c r="AU30" s="53">
        <v>0</v>
      </c>
      <c r="AV30" s="53"/>
      <c r="AW30" s="53">
        <v>0</v>
      </c>
      <c r="AX30" s="53"/>
      <c r="AY30" s="53">
        <f t="shared" si="13"/>
        <v>0</v>
      </c>
      <c r="AZ30" s="53"/>
      <c r="BA30" s="35" t="s">
        <v>44</v>
      </c>
      <c r="BC30" s="35" t="s">
        <v>45</v>
      </c>
      <c r="BD30" s="53"/>
      <c r="BE30" s="53"/>
      <c r="BF30" s="53"/>
      <c r="BG30" s="53"/>
      <c r="BH30" s="53"/>
      <c r="BI30" s="53"/>
      <c r="BJ30" s="53"/>
      <c r="BK30" s="53"/>
      <c r="BL30" s="53"/>
      <c r="BM30" s="53">
        <f t="shared" si="14"/>
        <v>0</v>
      </c>
      <c r="BN30" s="54" t="s">
        <v>347</v>
      </c>
      <c r="BR30" s="65"/>
      <c r="BS30" s="53"/>
      <c r="BT30" s="53"/>
      <c r="BU30" s="53"/>
      <c r="BV30" s="53"/>
      <c r="BW30" s="53"/>
      <c r="BX30" s="45"/>
      <c r="BY30" s="45"/>
      <c r="BZ30" s="53"/>
      <c r="CA30" s="53"/>
      <c r="CB30" s="53"/>
      <c r="CC30" s="53"/>
      <c r="CD30" s="53"/>
      <c r="CE30" s="53"/>
      <c r="CF30" s="35"/>
      <c r="CH30" s="35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4"/>
    </row>
    <row r="31" spans="1:97" s="55" customFormat="1" ht="12.75" hidden="1" customHeight="1">
      <c r="A31" s="35" t="s">
        <v>44</v>
      </c>
      <c r="B31" s="65"/>
      <c r="C31" s="35" t="s">
        <v>45</v>
      </c>
      <c r="D31" s="44"/>
      <c r="E31" s="53">
        <f t="shared" si="8"/>
        <v>0</v>
      </c>
      <c r="F31" s="53"/>
      <c r="G31" s="53"/>
      <c r="H31" s="53"/>
      <c r="I31" s="53"/>
      <c r="J31" s="53"/>
      <c r="K31" s="53">
        <f t="shared" si="9"/>
        <v>0</v>
      </c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>
        <f>SUM(Q31:U31)</f>
        <v>0</v>
      </c>
      <c r="X31" s="53"/>
      <c r="Y31" s="35" t="s">
        <v>46</v>
      </c>
      <c r="AA31" s="35" t="s">
        <v>47</v>
      </c>
      <c r="AB31" s="35"/>
      <c r="AC31" s="53"/>
      <c r="AD31" s="53"/>
      <c r="AE31" s="53"/>
      <c r="AF31" s="53"/>
      <c r="AG31" s="53"/>
      <c r="AH31" s="53"/>
      <c r="AI31" s="45">
        <f t="shared" si="11"/>
        <v>0</v>
      </c>
      <c r="AJ31" s="45"/>
      <c r="AK31" s="53"/>
      <c r="AL31" s="45"/>
      <c r="AM31" s="53">
        <v>0</v>
      </c>
      <c r="AN31" s="53"/>
      <c r="AO31" s="53">
        <v>0</v>
      </c>
      <c r="AP31" s="53"/>
      <c r="AQ31" s="53">
        <v>0</v>
      </c>
      <c r="AR31" s="53"/>
      <c r="AS31" s="45">
        <f t="shared" si="12"/>
        <v>0</v>
      </c>
      <c r="AT31" s="45"/>
      <c r="AU31" s="53">
        <v>0</v>
      </c>
      <c r="AV31" s="53"/>
      <c r="AW31" s="53">
        <v>0</v>
      </c>
      <c r="AX31" s="53"/>
      <c r="AY31" s="53">
        <f t="shared" si="13"/>
        <v>0</v>
      </c>
      <c r="AZ31" s="53"/>
      <c r="BA31" s="35" t="s">
        <v>46</v>
      </c>
      <c r="BC31" s="35" t="s">
        <v>47</v>
      </c>
      <c r="BD31" s="53"/>
      <c r="BE31" s="53"/>
      <c r="BF31" s="53"/>
      <c r="BG31" s="53"/>
      <c r="BH31" s="53"/>
      <c r="BI31" s="53"/>
      <c r="BJ31" s="53"/>
      <c r="BK31" s="53"/>
      <c r="BL31" s="53"/>
      <c r="BM31" s="53">
        <f t="shared" si="14"/>
        <v>0</v>
      </c>
      <c r="BN31" s="54" t="s">
        <v>347</v>
      </c>
      <c r="BR31" s="65"/>
      <c r="BS31" s="53"/>
      <c r="BT31" s="53"/>
      <c r="BU31" s="53"/>
      <c r="BV31" s="53"/>
      <c r="BW31" s="53"/>
      <c r="BX31" s="45"/>
      <c r="BY31" s="45"/>
      <c r="BZ31" s="53"/>
      <c r="CA31" s="53"/>
      <c r="CB31" s="53"/>
      <c r="CC31" s="53"/>
      <c r="CD31" s="53"/>
      <c r="CE31" s="53"/>
      <c r="CF31" s="35"/>
      <c r="CH31" s="35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4"/>
    </row>
    <row r="32" spans="1:97" s="55" customFormat="1" ht="12.75" hidden="1" customHeight="1">
      <c r="A32" s="35" t="s">
        <v>46</v>
      </c>
      <c r="B32" s="65"/>
      <c r="C32" s="35" t="s">
        <v>47</v>
      </c>
      <c r="D32" s="44"/>
      <c r="E32" s="53">
        <f t="shared" si="8"/>
        <v>0</v>
      </c>
      <c r="F32" s="53"/>
      <c r="G32" s="53"/>
      <c r="H32" s="53"/>
      <c r="I32" s="53"/>
      <c r="J32" s="53"/>
      <c r="K32" s="53">
        <f t="shared" si="9"/>
        <v>0</v>
      </c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>
        <f t="shared" si="10"/>
        <v>0</v>
      </c>
      <c r="X32" s="53"/>
      <c r="Y32" s="35" t="s">
        <v>48</v>
      </c>
      <c r="AA32" s="35" t="s">
        <v>27</v>
      </c>
      <c r="AB32" s="35"/>
      <c r="AC32" s="53"/>
      <c r="AD32" s="53"/>
      <c r="AE32" s="53"/>
      <c r="AF32" s="53"/>
      <c r="AG32" s="53"/>
      <c r="AH32" s="53"/>
      <c r="AI32" s="45">
        <f t="shared" si="11"/>
        <v>0</v>
      </c>
      <c r="AJ32" s="45"/>
      <c r="AK32" s="53"/>
      <c r="AL32" s="45"/>
      <c r="AM32" s="53">
        <v>0</v>
      </c>
      <c r="AN32" s="53"/>
      <c r="AO32" s="53">
        <v>0</v>
      </c>
      <c r="AP32" s="53"/>
      <c r="AQ32" s="53">
        <v>0</v>
      </c>
      <c r="AR32" s="53"/>
      <c r="AS32" s="45">
        <f t="shared" si="12"/>
        <v>0</v>
      </c>
      <c r="AT32" s="45"/>
      <c r="AU32" s="53">
        <v>0</v>
      </c>
      <c r="AV32" s="53"/>
      <c r="AW32" s="53">
        <v>0</v>
      </c>
      <c r="AX32" s="53"/>
      <c r="AY32" s="53">
        <f t="shared" si="13"/>
        <v>0</v>
      </c>
      <c r="AZ32" s="53"/>
      <c r="BA32" s="35" t="s">
        <v>48</v>
      </c>
      <c r="BC32" s="35" t="s">
        <v>27</v>
      </c>
      <c r="BD32" s="53"/>
      <c r="BE32" s="53"/>
      <c r="BF32" s="53"/>
      <c r="BG32" s="53"/>
      <c r="BH32" s="53"/>
      <c r="BI32" s="53"/>
      <c r="BJ32" s="53"/>
      <c r="BK32" s="53"/>
      <c r="BL32" s="53"/>
      <c r="BM32" s="53">
        <f t="shared" si="14"/>
        <v>0</v>
      </c>
      <c r="BN32" s="54" t="s">
        <v>347</v>
      </c>
      <c r="BR32" s="65"/>
      <c r="BS32" s="53"/>
      <c r="BT32" s="53"/>
      <c r="BU32" s="53"/>
      <c r="BV32" s="53"/>
      <c r="BW32" s="53"/>
      <c r="BX32" s="45"/>
      <c r="BY32" s="45"/>
      <c r="BZ32" s="53"/>
      <c r="CA32" s="53"/>
      <c r="CB32" s="53"/>
      <c r="CC32" s="53"/>
      <c r="CD32" s="53"/>
      <c r="CE32" s="53"/>
      <c r="CF32" s="35"/>
      <c r="CH32" s="35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4"/>
    </row>
    <row r="33" spans="1:97" s="55" customFormat="1" ht="12.75" hidden="1" customHeight="1">
      <c r="A33" s="35" t="s">
        <v>48</v>
      </c>
      <c r="B33" s="65"/>
      <c r="C33" s="35" t="s">
        <v>27</v>
      </c>
      <c r="D33" s="44"/>
      <c r="E33" s="53">
        <f t="shared" si="8"/>
        <v>0</v>
      </c>
      <c r="F33" s="53"/>
      <c r="G33" s="53"/>
      <c r="H33" s="53"/>
      <c r="I33" s="53"/>
      <c r="J33" s="53"/>
      <c r="K33" s="53">
        <f t="shared" si="9"/>
        <v>0</v>
      </c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>
        <f t="shared" si="10"/>
        <v>0</v>
      </c>
      <c r="X33" s="53"/>
      <c r="Y33" s="35" t="s">
        <v>49</v>
      </c>
      <c r="AA33" s="35" t="s">
        <v>27</v>
      </c>
      <c r="AB33" s="35"/>
      <c r="AC33" s="53"/>
      <c r="AD33" s="53"/>
      <c r="AE33" s="53"/>
      <c r="AF33" s="53"/>
      <c r="AG33" s="53"/>
      <c r="AH33" s="53"/>
      <c r="AI33" s="45">
        <f t="shared" si="11"/>
        <v>0</v>
      </c>
      <c r="AJ33" s="45"/>
      <c r="AK33" s="53"/>
      <c r="AL33" s="45"/>
      <c r="AM33" s="53">
        <v>0</v>
      </c>
      <c r="AN33" s="53"/>
      <c r="AO33" s="53">
        <v>0</v>
      </c>
      <c r="AP33" s="53"/>
      <c r="AQ33" s="53">
        <v>0</v>
      </c>
      <c r="AR33" s="53"/>
      <c r="AS33" s="45">
        <f t="shared" si="12"/>
        <v>0</v>
      </c>
      <c r="AT33" s="45"/>
      <c r="AU33" s="53">
        <v>0</v>
      </c>
      <c r="AV33" s="53"/>
      <c r="AW33" s="53">
        <v>0</v>
      </c>
      <c r="AX33" s="53"/>
      <c r="AY33" s="53">
        <f t="shared" si="13"/>
        <v>0</v>
      </c>
      <c r="AZ33" s="53"/>
      <c r="BA33" s="35" t="s">
        <v>49</v>
      </c>
      <c r="BC33" s="35" t="s">
        <v>27</v>
      </c>
      <c r="BD33" s="53"/>
      <c r="BE33" s="53"/>
      <c r="BF33" s="53"/>
      <c r="BG33" s="53"/>
      <c r="BH33" s="53"/>
      <c r="BI33" s="53"/>
      <c r="BJ33" s="53"/>
      <c r="BK33" s="53"/>
      <c r="BL33" s="53"/>
      <c r="BM33" s="53">
        <f t="shared" si="14"/>
        <v>0</v>
      </c>
      <c r="BN33" s="54" t="s">
        <v>347</v>
      </c>
      <c r="BR33" s="65"/>
      <c r="BS33" s="53"/>
      <c r="BT33" s="53"/>
      <c r="BU33" s="53"/>
      <c r="BV33" s="53"/>
      <c r="BW33" s="53"/>
      <c r="BX33" s="45"/>
      <c r="BY33" s="45"/>
      <c r="BZ33" s="53"/>
      <c r="CA33" s="53"/>
      <c r="CB33" s="53"/>
      <c r="CC33" s="53"/>
      <c r="CD33" s="53"/>
      <c r="CE33" s="53"/>
      <c r="CF33" s="35"/>
      <c r="CH33" s="35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4"/>
    </row>
    <row r="34" spans="1:97" s="55" customFormat="1" ht="12.75" hidden="1" customHeight="1">
      <c r="A34" s="35" t="s">
        <v>49</v>
      </c>
      <c r="B34" s="65"/>
      <c r="C34" s="35" t="s">
        <v>27</v>
      </c>
      <c r="D34" s="44"/>
      <c r="E34" s="53">
        <f t="shared" si="8"/>
        <v>0</v>
      </c>
      <c r="F34" s="53"/>
      <c r="G34" s="53"/>
      <c r="H34" s="53"/>
      <c r="I34" s="53"/>
      <c r="J34" s="53"/>
      <c r="K34" s="53">
        <f t="shared" si="9"/>
        <v>0</v>
      </c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>
        <f t="shared" si="10"/>
        <v>0</v>
      </c>
      <c r="X34" s="53"/>
      <c r="Y34" s="35" t="s">
        <v>50</v>
      </c>
      <c r="AA34" s="35" t="s">
        <v>27</v>
      </c>
      <c r="AB34" s="35"/>
      <c r="AC34" s="53"/>
      <c r="AD34" s="53"/>
      <c r="AE34" s="53"/>
      <c r="AF34" s="53"/>
      <c r="AG34" s="53"/>
      <c r="AH34" s="53"/>
      <c r="AI34" s="45">
        <f t="shared" si="11"/>
        <v>0</v>
      </c>
      <c r="AJ34" s="45"/>
      <c r="AK34" s="53"/>
      <c r="AL34" s="45"/>
      <c r="AM34" s="53">
        <v>0</v>
      </c>
      <c r="AN34" s="53"/>
      <c r="AO34" s="53">
        <v>0</v>
      </c>
      <c r="AP34" s="53"/>
      <c r="AQ34" s="53">
        <v>0</v>
      </c>
      <c r="AR34" s="53"/>
      <c r="AS34" s="45">
        <f t="shared" si="12"/>
        <v>0</v>
      </c>
      <c r="AT34" s="45"/>
      <c r="AU34" s="53">
        <v>0</v>
      </c>
      <c r="AV34" s="53"/>
      <c r="AW34" s="53">
        <v>0</v>
      </c>
      <c r="AX34" s="53"/>
      <c r="AY34" s="53">
        <f t="shared" si="13"/>
        <v>0</v>
      </c>
      <c r="AZ34" s="53"/>
      <c r="BA34" s="35" t="s">
        <v>50</v>
      </c>
      <c r="BC34" s="35" t="s">
        <v>27</v>
      </c>
      <c r="BD34" s="53"/>
      <c r="BE34" s="53"/>
      <c r="BF34" s="53"/>
      <c r="BG34" s="53"/>
      <c r="BH34" s="53"/>
      <c r="BI34" s="53"/>
      <c r="BJ34" s="53"/>
      <c r="BK34" s="53"/>
      <c r="BL34" s="53"/>
      <c r="BM34" s="53">
        <f t="shared" si="14"/>
        <v>0</v>
      </c>
      <c r="BN34" s="54" t="s">
        <v>347</v>
      </c>
      <c r="BR34" s="65"/>
      <c r="BS34" s="53"/>
      <c r="BT34" s="53"/>
      <c r="BU34" s="53"/>
      <c r="BV34" s="53"/>
      <c r="BW34" s="53"/>
      <c r="BX34" s="45"/>
      <c r="BY34" s="45"/>
      <c r="BZ34" s="53"/>
      <c r="CA34" s="53"/>
      <c r="CB34" s="53"/>
      <c r="CC34" s="53"/>
      <c r="CD34" s="53"/>
      <c r="CE34" s="53"/>
      <c r="CF34" s="35"/>
      <c r="CH34" s="35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4"/>
    </row>
    <row r="35" spans="1:97" s="55" customFormat="1" ht="12.75" hidden="1" customHeight="1">
      <c r="A35" s="35" t="s">
        <v>50</v>
      </c>
      <c r="B35" s="65"/>
      <c r="C35" s="35" t="s">
        <v>27</v>
      </c>
      <c r="D35" s="44"/>
      <c r="E35" s="53">
        <f t="shared" si="8"/>
        <v>0</v>
      </c>
      <c r="F35" s="53"/>
      <c r="G35" s="53"/>
      <c r="H35" s="53"/>
      <c r="I35" s="53"/>
      <c r="J35" s="53"/>
      <c r="K35" s="53">
        <f t="shared" si="9"/>
        <v>0</v>
      </c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>
        <f t="shared" si="10"/>
        <v>0</v>
      </c>
      <c r="X35" s="53"/>
      <c r="Y35" s="35" t="s">
        <v>51</v>
      </c>
      <c r="AA35" s="35" t="s">
        <v>27</v>
      </c>
      <c r="AB35" s="35"/>
      <c r="AC35" s="53"/>
      <c r="AD35" s="53"/>
      <c r="AE35" s="53"/>
      <c r="AF35" s="53"/>
      <c r="AG35" s="53"/>
      <c r="AH35" s="53"/>
      <c r="AI35" s="45">
        <f t="shared" si="11"/>
        <v>0</v>
      </c>
      <c r="AJ35" s="45"/>
      <c r="AK35" s="53"/>
      <c r="AL35" s="45"/>
      <c r="AM35" s="53">
        <v>0</v>
      </c>
      <c r="AN35" s="53"/>
      <c r="AO35" s="53">
        <v>0</v>
      </c>
      <c r="AP35" s="53"/>
      <c r="AQ35" s="53">
        <v>0</v>
      </c>
      <c r="AR35" s="53"/>
      <c r="AS35" s="45">
        <f t="shared" si="12"/>
        <v>0</v>
      </c>
      <c r="AT35" s="45"/>
      <c r="AU35" s="53">
        <v>0</v>
      </c>
      <c r="AV35" s="53"/>
      <c r="AW35" s="53">
        <v>0</v>
      </c>
      <c r="AX35" s="53"/>
      <c r="AY35" s="53">
        <f t="shared" si="13"/>
        <v>0</v>
      </c>
      <c r="AZ35" s="53"/>
      <c r="BA35" s="35" t="s">
        <v>51</v>
      </c>
      <c r="BC35" s="35" t="s">
        <v>27</v>
      </c>
      <c r="BD35" s="53"/>
      <c r="BE35" s="53"/>
      <c r="BF35" s="53"/>
      <c r="BG35" s="53"/>
      <c r="BH35" s="53"/>
      <c r="BI35" s="53"/>
      <c r="BJ35" s="53"/>
      <c r="BK35" s="53"/>
      <c r="BL35" s="53"/>
      <c r="BM35" s="53">
        <f t="shared" si="14"/>
        <v>0</v>
      </c>
      <c r="BN35" s="54" t="s">
        <v>347</v>
      </c>
      <c r="BR35" s="65"/>
      <c r="BS35" s="53"/>
      <c r="BT35" s="53"/>
      <c r="BU35" s="53"/>
      <c r="BV35" s="53"/>
      <c r="BW35" s="53"/>
      <c r="BX35" s="45"/>
      <c r="BY35" s="45"/>
      <c r="BZ35" s="53"/>
      <c r="CA35" s="53"/>
      <c r="CB35" s="53"/>
      <c r="CC35" s="53"/>
      <c r="CD35" s="53"/>
      <c r="CE35" s="53"/>
      <c r="CF35" s="35"/>
      <c r="CH35" s="35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4"/>
    </row>
    <row r="36" spans="1:97" s="55" customFormat="1" ht="12.75" hidden="1" customHeight="1">
      <c r="A36" s="35" t="s">
        <v>51</v>
      </c>
      <c r="B36" s="65"/>
      <c r="C36" s="35" t="s">
        <v>27</v>
      </c>
      <c r="D36" s="44"/>
      <c r="E36" s="53">
        <f t="shared" si="8"/>
        <v>0</v>
      </c>
      <c r="F36" s="53"/>
      <c r="G36" s="53"/>
      <c r="H36" s="53"/>
      <c r="I36" s="53"/>
      <c r="J36" s="53"/>
      <c r="K36" s="53">
        <f t="shared" si="9"/>
        <v>0</v>
      </c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>
        <f t="shared" si="10"/>
        <v>0</v>
      </c>
      <c r="X36" s="53"/>
      <c r="Y36" s="35" t="s">
        <v>462</v>
      </c>
      <c r="AA36" s="35" t="s">
        <v>66</v>
      </c>
      <c r="AB36" s="35"/>
      <c r="AC36" s="53"/>
      <c r="AD36" s="53"/>
      <c r="AE36" s="53"/>
      <c r="AF36" s="53"/>
      <c r="AG36" s="53"/>
      <c r="AH36" s="53"/>
      <c r="AI36" s="45">
        <f t="shared" si="11"/>
        <v>0</v>
      </c>
      <c r="AJ36" s="45"/>
      <c r="AK36" s="53"/>
      <c r="AL36" s="45"/>
      <c r="AM36" s="53">
        <v>0</v>
      </c>
      <c r="AN36" s="53"/>
      <c r="AO36" s="53">
        <v>0</v>
      </c>
      <c r="AP36" s="53"/>
      <c r="AQ36" s="53">
        <v>0</v>
      </c>
      <c r="AR36" s="53"/>
      <c r="AS36" s="45">
        <f t="shared" si="12"/>
        <v>0</v>
      </c>
      <c r="AT36" s="45"/>
      <c r="AU36" s="53">
        <v>0</v>
      </c>
      <c r="AV36" s="53"/>
      <c r="AW36" s="53">
        <v>0</v>
      </c>
      <c r="AX36" s="53"/>
      <c r="AY36" s="53">
        <f t="shared" si="13"/>
        <v>0</v>
      </c>
      <c r="AZ36" s="53"/>
      <c r="BA36" s="35" t="s">
        <v>462</v>
      </c>
      <c r="BC36" s="35" t="s">
        <v>66</v>
      </c>
      <c r="BD36" s="53"/>
      <c r="BE36" s="53"/>
      <c r="BF36" s="53"/>
      <c r="BG36" s="53"/>
      <c r="BH36" s="53"/>
      <c r="BI36" s="53"/>
      <c r="BJ36" s="53"/>
      <c r="BK36" s="53"/>
      <c r="BL36" s="53"/>
      <c r="BM36" s="53">
        <f t="shared" si="14"/>
        <v>0</v>
      </c>
      <c r="BN36" s="54" t="s">
        <v>347</v>
      </c>
      <c r="BO36" s="55" t="s">
        <v>404</v>
      </c>
      <c r="BR36" s="65"/>
      <c r="BS36" s="53"/>
      <c r="BT36" s="53"/>
      <c r="BU36" s="53"/>
      <c r="BV36" s="53"/>
      <c r="BW36" s="53"/>
      <c r="BX36" s="45"/>
      <c r="BY36" s="45"/>
      <c r="BZ36" s="53"/>
      <c r="CA36" s="53"/>
      <c r="CB36" s="53"/>
      <c r="CC36" s="53"/>
      <c r="CD36" s="53"/>
      <c r="CE36" s="53"/>
      <c r="CF36" s="35"/>
      <c r="CH36" s="35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4"/>
    </row>
    <row r="37" spans="1:97" s="55" customFormat="1" ht="12.75" hidden="1" customHeight="1">
      <c r="A37" s="35" t="s">
        <v>462</v>
      </c>
      <c r="B37" s="65"/>
      <c r="C37" s="35" t="s">
        <v>66</v>
      </c>
      <c r="D37" s="44"/>
      <c r="E37" s="53">
        <f t="shared" si="8"/>
        <v>0</v>
      </c>
      <c r="F37" s="53"/>
      <c r="G37" s="53"/>
      <c r="H37" s="53"/>
      <c r="I37" s="53"/>
      <c r="J37" s="53"/>
      <c r="K37" s="53">
        <f t="shared" si="9"/>
        <v>0</v>
      </c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>
        <f t="shared" si="10"/>
        <v>0</v>
      </c>
      <c r="X37" s="53"/>
      <c r="Y37" s="35" t="s">
        <v>52</v>
      </c>
      <c r="AA37" s="35" t="s">
        <v>53</v>
      </c>
      <c r="AB37" s="35"/>
      <c r="AC37" s="53"/>
      <c r="AD37" s="53"/>
      <c r="AE37" s="53"/>
      <c r="AF37" s="53"/>
      <c r="AG37" s="53"/>
      <c r="AH37" s="53"/>
      <c r="AI37" s="45">
        <f t="shared" si="11"/>
        <v>0</v>
      </c>
      <c r="AJ37" s="45"/>
      <c r="AK37" s="53"/>
      <c r="AL37" s="45"/>
      <c r="AM37" s="53">
        <v>0</v>
      </c>
      <c r="AN37" s="53"/>
      <c r="AO37" s="53">
        <v>0</v>
      </c>
      <c r="AP37" s="53"/>
      <c r="AQ37" s="53">
        <v>0</v>
      </c>
      <c r="AR37" s="53"/>
      <c r="AS37" s="45">
        <f t="shared" si="12"/>
        <v>0</v>
      </c>
      <c r="AT37" s="45"/>
      <c r="AU37" s="53">
        <v>0</v>
      </c>
      <c r="AV37" s="53"/>
      <c r="AW37" s="53">
        <v>0</v>
      </c>
      <c r="AX37" s="53"/>
      <c r="AY37" s="53">
        <f t="shared" si="13"/>
        <v>0</v>
      </c>
      <c r="AZ37" s="53"/>
      <c r="BA37" s="35" t="s">
        <v>52</v>
      </c>
      <c r="BC37" s="35" t="s">
        <v>53</v>
      </c>
      <c r="BD37" s="53"/>
      <c r="BE37" s="53"/>
      <c r="BF37" s="53"/>
      <c r="BG37" s="53"/>
      <c r="BH37" s="53"/>
      <c r="BI37" s="53"/>
      <c r="BJ37" s="53"/>
      <c r="BK37" s="53"/>
      <c r="BL37" s="53"/>
      <c r="BM37" s="53">
        <f t="shared" si="14"/>
        <v>0</v>
      </c>
      <c r="BN37" s="53">
        <f>SUM(BF37:BL37)</f>
        <v>0</v>
      </c>
      <c r="BR37" s="65"/>
      <c r="BS37" s="53"/>
      <c r="BT37" s="53"/>
      <c r="BU37" s="53"/>
      <c r="BV37" s="53"/>
      <c r="BW37" s="53"/>
      <c r="BX37" s="45"/>
      <c r="BY37" s="45"/>
      <c r="BZ37" s="53"/>
      <c r="CA37" s="53"/>
      <c r="CB37" s="53"/>
      <c r="CC37" s="53"/>
      <c r="CD37" s="53"/>
      <c r="CE37" s="53"/>
      <c r="CF37" s="35"/>
      <c r="CH37" s="35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4"/>
    </row>
    <row r="38" spans="1:97" s="55" customFormat="1" ht="12.75" customHeight="1">
      <c r="A38" s="35" t="s">
        <v>52</v>
      </c>
      <c r="B38" s="65"/>
      <c r="C38" s="35" t="s">
        <v>53</v>
      </c>
      <c r="D38" s="44"/>
      <c r="E38" s="53">
        <f t="shared" si="8"/>
        <v>1378974</v>
      </c>
      <c r="F38" s="53"/>
      <c r="G38" s="53">
        <v>11612702</v>
      </c>
      <c r="H38" s="53"/>
      <c r="I38" s="53">
        <v>12991676</v>
      </c>
      <c r="J38" s="53"/>
      <c r="K38" s="53">
        <f t="shared" si="9"/>
        <v>169395</v>
      </c>
      <c r="L38" s="53"/>
      <c r="M38" s="53">
        <v>689872</v>
      </c>
      <c r="N38" s="53"/>
      <c r="O38" s="53">
        <v>859267</v>
      </c>
      <c r="P38" s="53"/>
      <c r="Q38" s="53">
        <v>10879411</v>
      </c>
      <c r="R38" s="53"/>
      <c r="S38" s="53">
        <v>0</v>
      </c>
      <c r="T38" s="53"/>
      <c r="U38" s="53">
        <v>1252998</v>
      </c>
      <c r="V38" s="53"/>
      <c r="W38" s="53">
        <f t="shared" si="10"/>
        <v>12132409</v>
      </c>
      <c r="X38" s="53"/>
      <c r="Y38" s="35" t="s">
        <v>54</v>
      </c>
      <c r="AA38" s="35" t="s">
        <v>55</v>
      </c>
      <c r="AB38" s="35"/>
      <c r="AC38" s="53">
        <v>836978</v>
      </c>
      <c r="AD38" s="53"/>
      <c r="AE38" s="53">
        <f>1224660-456592</f>
        <v>768068</v>
      </c>
      <c r="AF38" s="53"/>
      <c r="AG38" s="53">
        <v>456592</v>
      </c>
      <c r="AH38" s="53"/>
      <c r="AI38" s="45">
        <f t="shared" si="11"/>
        <v>-387682</v>
      </c>
      <c r="AJ38" s="45"/>
      <c r="AK38" s="53">
        <v>16021</v>
      </c>
      <c r="AL38" s="45"/>
      <c r="AM38" s="53">
        <v>275117</v>
      </c>
      <c r="AN38" s="53"/>
      <c r="AO38" s="53">
        <v>0</v>
      </c>
      <c r="AP38" s="53"/>
      <c r="AQ38" s="53">
        <v>671325</v>
      </c>
      <c r="AR38" s="53"/>
      <c r="AS38" s="45">
        <f t="shared" si="12"/>
        <v>574781</v>
      </c>
      <c r="AT38" s="45"/>
      <c r="AU38" s="53">
        <v>0</v>
      </c>
      <c r="AV38" s="53"/>
      <c r="AW38" s="53">
        <v>0</v>
      </c>
      <c r="AX38" s="53"/>
      <c r="AY38" s="53">
        <f t="shared" si="13"/>
        <v>1209579</v>
      </c>
      <c r="AZ38" s="53"/>
      <c r="BA38" s="35" t="s">
        <v>54</v>
      </c>
      <c r="BC38" s="35" t="s">
        <v>55</v>
      </c>
      <c r="BD38" s="53"/>
      <c r="BE38" s="53">
        <v>0</v>
      </c>
      <c r="BF38" s="53"/>
      <c r="BG38" s="53">
        <v>0</v>
      </c>
      <c r="BH38" s="53"/>
      <c r="BI38" s="53">
        <v>0</v>
      </c>
      <c r="BJ38" s="53"/>
      <c r="BK38" s="53">
        <v>0</v>
      </c>
      <c r="BL38" s="53"/>
      <c r="BM38" s="53">
        <f t="shared" si="14"/>
        <v>0</v>
      </c>
      <c r="BN38" s="54" t="s">
        <v>347</v>
      </c>
      <c r="BR38" s="65"/>
      <c r="BS38" s="53"/>
      <c r="BT38" s="53"/>
      <c r="BU38" s="53"/>
      <c r="BV38" s="53"/>
      <c r="BW38" s="53"/>
      <c r="BX38" s="45"/>
      <c r="BY38" s="45"/>
      <c r="BZ38" s="53"/>
      <c r="CA38" s="53"/>
      <c r="CB38" s="53"/>
      <c r="CC38" s="53"/>
      <c r="CD38" s="53"/>
      <c r="CE38" s="53"/>
      <c r="CF38" s="35"/>
      <c r="CH38" s="35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4"/>
    </row>
    <row r="39" spans="1:97" s="55" customFormat="1" ht="12.75" customHeight="1">
      <c r="A39" s="35" t="s">
        <v>54</v>
      </c>
      <c r="B39" s="65"/>
      <c r="C39" s="35" t="s">
        <v>55</v>
      </c>
      <c r="D39" s="44"/>
      <c r="E39" s="53">
        <f t="shared" si="8"/>
        <v>399646</v>
      </c>
      <c r="F39" s="53"/>
      <c r="G39" s="53">
        <v>6184840</v>
      </c>
      <c r="H39" s="53"/>
      <c r="I39" s="53">
        <v>6584486</v>
      </c>
      <c r="J39" s="53"/>
      <c r="K39" s="53">
        <f t="shared" si="9"/>
        <v>772562</v>
      </c>
      <c r="L39" s="53"/>
      <c r="M39" s="53">
        <v>4351816</v>
      </c>
      <c r="N39" s="53"/>
      <c r="O39" s="53">
        <v>5124378</v>
      </c>
      <c r="P39" s="53"/>
      <c r="Q39" s="53">
        <v>1243806</v>
      </c>
      <c r="R39" s="53"/>
      <c r="S39" s="53">
        <v>0</v>
      </c>
      <c r="T39" s="53"/>
      <c r="U39" s="53">
        <v>1241814</v>
      </c>
      <c r="V39" s="53"/>
      <c r="W39" s="53">
        <f t="shared" si="10"/>
        <v>2485620</v>
      </c>
      <c r="X39" s="53"/>
      <c r="Y39" s="35" t="s">
        <v>56</v>
      </c>
      <c r="AA39" s="35" t="s">
        <v>57</v>
      </c>
      <c r="AB39" s="35"/>
      <c r="AC39" s="53">
        <v>1701766</v>
      </c>
      <c r="AD39" s="53"/>
      <c r="AE39" s="53">
        <f>1388700-419610</f>
        <v>969090</v>
      </c>
      <c r="AF39" s="53"/>
      <c r="AG39" s="53">
        <v>419610</v>
      </c>
      <c r="AH39" s="53"/>
      <c r="AI39" s="45">
        <f t="shared" si="11"/>
        <v>313066</v>
      </c>
      <c r="AJ39" s="45"/>
      <c r="AK39" s="53">
        <v>-308902</v>
      </c>
      <c r="AL39" s="45"/>
      <c r="AM39" s="53">
        <v>0</v>
      </c>
      <c r="AN39" s="53"/>
      <c r="AO39" s="53">
        <v>2750</v>
      </c>
      <c r="AP39" s="53"/>
      <c r="AQ39" s="53">
        <v>46060</v>
      </c>
      <c r="AR39" s="53"/>
      <c r="AS39" s="45">
        <f t="shared" si="12"/>
        <v>47474</v>
      </c>
      <c r="AT39" s="45"/>
      <c r="AU39" s="53">
        <v>0</v>
      </c>
      <c r="AV39" s="53"/>
      <c r="AW39" s="53">
        <v>0</v>
      </c>
      <c r="AX39" s="53"/>
      <c r="AY39" s="53">
        <f t="shared" si="13"/>
        <v>-372916</v>
      </c>
      <c r="AZ39" s="53"/>
      <c r="BA39" s="35" t="s">
        <v>56</v>
      </c>
      <c r="BC39" s="35" t="s">
        <v>57</v>
      </c>
      <c r="BD39" s="53"/>
      <c r="BE39" s="53">
        <f>3999917+1654626</f>
        <v>5654543</v>
      </c>
      <c r="BF39" s="53"/>
      <c r="BG39" s="53">
        <v>0</v>
      </c>
      <c r="BH39" s="53"/>
      <c r="BI39" s="53">
        <v>6491</v>
      </c>
      <c r="BJ39" s="53"/>
      <c r="BK39" s="53">
        <v>0</v>
      </c>
      <c r="BL39" s="53"/>
      <c r="BM39" s="53">
        <f t="shared" si="14"/>
        <v>5661034</v>
      </c>
      <c r="BN39" s="54" t="s">
        <v>347</v>
      </c>
      <c r="BR39" s="65"/>
      <c r="BS39" s="53"/>
      <c r="BT39" s="53"/>
      <c r="BU39" s="53"/>
      <c r="BV39" s="53"/>
      <c r="BW39" s="53"/>
      <c r="BX39" s="45"/>
      <c r="BY39" s="45"/>
      <c r="BZ39" s="53"/>
      <c r="CA39" s="53"/>
      <c r="CB39" s="53"/>
      <c r="CC39" s="53"/>
      <c r="CD39" s="53"/>
      <c r="CE39" s="53"/>
      <c r="CF39" s="35"/>
      <c r="CH39" s="35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4"/>
    </row>
    <row r="40" spans="1:97" s="55" customFormat="1" ht="12.75" customHeight="1">
      <c r="A40" s="35" t="s">
        <v>56</v>
      </c>
      <c r="B40" s="65"/>
      <c r="C40" s="35" t="s">
        <v>57</v>
      </c>
      <c r="D40" s="44"/>
      <c r="E40" s="53">
        <f t="shared" si="8"/>
        <v>3882621</v>
      </c>
      <c r="F40" s="53"/>
      <c r="G40" s="53">
        <v>9079341</v>
      </c>
      <c r="H40" s="53"/>
      <c r="I40" s="53">
        <v>12961962</v>
      </c>
      <c r="J40" s="53"/>
      <c r="K40" s="53">
        <f t="shared" si="9"/>
        <v>631096</v>
      </c>
      <c r="L40" s="53"/>
      <c r="M40" s="53">
        <v>801305</v>
      </c>
      <c r="N40" s="53"/>
      <c r="O40" s="53">
        <v>1432401</v>
      </c>
      <c r="P40" s="53"/>
      <c r="Q40" s="53">
        <v>7859761</v>
      </c>
      <c r="R40" s="53"/>
      <c r="S40" s="53">
        <v>0</v>
      </c>
      <c r="T40" s="53"/>
      <c r="U40" s="53">
        <v>3669800</v>
      </c>
      <c r="V40" s="53"/>
      <c r="W40" s="53">
        <f t="shared" si="10"/>
        <v>11529561</v>
      </c>
      <c r="X40" s="53"/>
      <c r="Y40" s="35" t="s">
        <v>58</v>
      </c>
      <c r="AA40" s="35" t="s">
        <v>59</v>
      </c>
      <c r="AB40" s="35"/>
      <c r="AC40" s="53">
        <v>2730809</v>
      </c>
      <c r="AD40" s="53"/>
      <c r="AE40" s="53">
        <f>2002875-320015</f>
        <v>1682860</v>
      </c>
      <c r="AF40" s="53"/>
      <c r="AG40" s="53">
        <v>320015</v>
      </c>
      <c r="AH40" s="53"/>
      <c r="AI40" s="45">
        <f t="shared" si="11"/>
        <v>727934</v>
      </c>
      <c r="AJ40" s="45"/>
      <c r="AK40" s="53">
        <v>-52422</v>
      </c>
      <c r="AL40" s="45"/>
      <c r="AM40" s="53">
        <v>0</v>
      </c>
      <c r="AN40" s="53"/>
      <c r="AO40" s="53">
        <v>0</v>
      </c>
      <c r="AP40" s="53"/>
      <c r="AQ40" s="53">
        <v>137400</v>
      </c>
      <c r="AR40" s="53"/>
      <c r="AS40" s="45">
        <f t="shared" si="12"/>
        <v>812912</v>
      </c>
      <c r="AT40" s="45"/>
      <c r="AU40" s="53">
        <v>0</v>
      </c>
      <c r="AV40" s="53"/>
      <c r="AW40" s="53">
        <v>0</v>
      </c>
      <c r="AX40" s="53"/>
      <c r="AY40" s="53">
        <f t="shared" si="13"/>
        <v>3251525</v>
      </c>
      <c r="AZ40" s="53"/>
      <c r="BA40" s="35" t="s">
        <v>58</v>
      </c>
      <c r="BC40" s="35" t="s">
        <v>59</v>
      </c>
      <c r="BD40" s="53"/>
      <c r="BE40" s="53">
        <v>0</v>
      </c>
      <c r="BF40" s="53"/>
      <c r="BG40" s="53">
        <v>0</v>
      </c>
      <c r="BH40" s="53"/>
      <c r="BI40" s="53">
        <v>0</v>
      </c>
      <c r="BJ40" s="53"/>
      <c r="BK40" s="53">
        <v>0</v>
      </c>
      <c r="BL40" s="53"/>
      <c r="BM40" s="53">
        <f t="shared" si="14"/>
        <v>0</v>
      </c>
      <c r="BN40" s="54" t="s">
        <v>347</v>
      </c>
      <c r="BO40" s="55" t="s">
        <v>404</v>
      </c>
      <c r="BR40" s="65"/>
      <c r="BS40" s="53"/>
      <c r="BT40" s="53"/>
      <c r="BU40" s="53"/>
      <c r="BV40" s="53"/>
      <c r="BW40" s="53"/>
      <c r="BX40" s="45"/>
      <c r="BY40" s="45"/>
      <c r="BZ40" s="53"/>
      <c r="CA40" s="53"/>
      <c r="CB40" s="53"/>
      <c r="CC40" s="53"/>
      <c r="CD40" s="53"/>
      <c r="CE40" s="53"/>
      <c r="CF40" s="35"/>
      <c r="CH40" s="35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4"/>
    </row>
    <row r="41" spans="1:97" s="55" customFormat="1" ht="12.75" hidden="1" customHeight="1">
      <c r="A41" s="35" t="s">
        <v>58</v>
      </c>
      <c r="B41" s="65"/>
      <c r="C41" s="35" t="s">
        <v>59</v>
      </c>
      <c r="D41" s="44"/>
      <c r="E41" s="53">
        <f t="shared" si="8"/>
        <v>0</v>
      </c>
      <c r="F41" s="53"/>
      <c r="G41" s="53"/>
      <c r="H41" s="53"/>
      <c r="I41" s="53"/>
      <c r="J41" s="53"/>
      <c r="K41" s="53">
        <f>O41-M41</f>
        <v>0</v>
      </c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>
        <f t="shared" si="10"/>
        <v>0</v>
      </c>
      <c r="X41" s="53"/>
      <c r="Y41" s="44" t="s">
        <v>62</v>
      </c>
      <c r="AA41" s="35" t="s">
        <v>15</v>
      </c>
      <c r="AB41" s="35"/>
      <c r="AC41" s="53"/>
      <c r="AD41" s="53"/>
      <c r="AE41" s="53"/>
      <c r="AF41" s="53"/>
      <c r="AG41" s="53"/>
      <c r="AH41" s="53"/>
      <c r="AI41" s="45">
        <f>+AC41-AE41-AG41</f>
        <v>0</v>
      </c>
      <c r="AJ41" s="45"/>
      <c r="AK41" s="53"/>
      <c r="AL41" s="45"/>
      <c r="AM41" s="53"/>
      <c r="AN41" s="53"/>
      <c r="AO41" s="53"/>
      <c r="AP41" s="53"/>
      <c r="AQ41" s="53"/>
      <c r="AR41" s="53"/>
      <c r="AS41" s="45">
        <f t="shared" si="12"/>
        <v>0</v>
      </c>
      <c r="AT41" s="45"/>
      <c r="AU41" s="53">
        <v>0</v>
      </c>
      <c r="AV41" s="53"/>
      <c r="AW41" s="53">
        <v>0</v>
      </c>
      <c r="AX41" s="53"/>
      <c r="AY41" s="53">
        <f>+E41-K41</f>
        <v>0</v>
      </c>
      <c r="AZ41" s="53"/>
      <c r="BA41" s="44" t="s">
        <v>62</v>
      </c>
      <c r="BC41" s="35" t="s">
        <v>15</v>
      </c>
      <c r="BD41" s="53"/>
      <c r="BE41" s="53"/>
      <c r="BF41" s="53"/>
      <c r="BG41" s="53"/>
      <c r="BH41" s="53"/>
      <c r="BI41" s="53"/>
      <c r="BJ41" s="53"/>
      <c r="BK41" s="53"/>
      <c r="BL41" s="53"/>
      <c r="BM41" s="53">
        <f t="shared" si="14"/>
        <v>0</v>
      </c>
      <c r="BN41" s="54" t="s">
        <v>347</v>
      </c>
      <c r="BR41" s="65"/>
      <c r="BS41" s="53"/>
      <c r="BT41" s="53"/>
      <c r="BU41" s="53"/>
      <c r="BV41" s="53"/>
      <c r="BW41" s="53"/>
      <c r="BX41" s="45"/>
      <c r="BY41" s="45"/>
      <c r="BZ41" s="53"/>
      <c r="CA41" s="53"/>
      <c r="CB41" s="53"/>
      <c r="CC41" s="53"/>
      <c r="CD41" s="53"/>
      <c r="CE41" s="53"/>
      <c r="CF41" s="35"/>
      <c r="CH41" s="35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4"/>
    </row>
    <row r="42" spans="1:97" s="55" customFormat="1" ht="12.75" customHeight="1">
      <c r="A42" s="44" t="s">
        <v>476</v>
      </c>
      <c r="B42" s="65"/>
      <c r="C42" s="35" t="s">
        <v>15</v>
      </c>
      <c r="D42" s="44"/>
      <c r="E42" s="53">
        <f t="shared" si="8"/>
        <v>1431383</v>
      </c>
      <c r="F42" s="53"/>
      <c r="G42" s="53">
        <v>3985711</v>
      </c>
      <c r="H42" s="53"/>
      <c r="I42" s="53">
        <v>5417094</v>
      </c>
      <c r="J42" s="53"/>
      <c r="K42" s="53">
        <f t="shared" si="9"/>
        <v>139698</v>
      </c>
      <c r="L42" s="53"/>
      <c r="M42" s="53">
        <v>738295</v>
      </c>
      <c r="N42" s="53"/>
      <c r="O42" s="53">
        <v>877993</v>
      </c>
      <c r="P42" s="53"/>
      <c r="Q42" s="53">
        <v>3177249</v>
      </c>
      <c r="R42" s="53"/>
      <c r="S42" s="53">
        <v>0</v>
      </c>
      <c r="T42" s="53"/>
      <c r="U42" s="53">
        <v>1361852</v>
      </c>
      <c r="V42" s="53"/>
      <c r="W42" s="53">
        <f t="shared" ref="W42:W50" si="15">SUM(Q42:U42)</f>
        <v>4539101</v>
      </c>
      <c r="X42" s="53"/>
      <c r="Y42" s="35" t="s">
        <v>60</v>
      </c>
      <c r="AA42" s="35" t="s">
        <v>61</v>
      </c>
      <c r="AB42" s="35"/>
      <c r="AC42" s="53">
        <v>1329401</v>
      </c>
      <c r="AD42" s="53"/>
      <c r="AE42" s="53">
        <f>1116467-131646</f>
        <v>984821</v>
      </c>
      <c r="AF42" s="53"/>
      <c r="AG42" s="53">
        <v>131646</v>
      </c>
      <c r="AH42" s="53"/>
      <c r="AI42" s="45">
        <f t="shared" si="11"/>
        <v>212934</v>
      </c>
      <c r="AJ42" s="45"/>
      <c r="AK42" s="53">
        <v>-12431</v>
      </c>
      <c r="AL42" s="45"/>
      <c r="AM42" s="53">
        <v>0</v>
      </c>
      <c r="AN42" s="53"/>
      <c r="AO42" s="53">
        <v>0</v>
      </c>
      <c r="AP42" s="53"/>
      <c r="AQ42" s="53">
        <v>0</v>
      </c>
      <c r="AR42" s="53"/>
      <c r="AS42" s="45">
        <f t="shared" si="12"/>
        <v>200503</v>
      </c>
      <c r="AT42" s="45"/>
      <c r="AU42" s="53">
        <v>0</v>
      </c>
      <c r="AV42" s="53"/>
      <c r="AW42" s="53">
        <v>0</v>
      </c>
      <c r="AX42" s="53"/>
      <c r="AY42" s="53">
        <f t="shared" si="13"/>
        <v>1291685</v>
      </c>
      <c r="AZ42" s="53"/>
      <c r="BA42" s="35" t="s">
        <v>60</v>
      </c>
      <c r="BC42" s="35" t="s">
        <v>61</v>
      </c>
      <c r="BD42" s="53"/>
      <c r="BE42" s="53">
        <v>0</v>
      </c>
      <c r="BF42" s="53"/>
      <c r="BG42" s="53">
        <v>0</v>
      </c>
      <c r="BH42" s="53"/>
      <c r="BI42" s="53">
        <v>0</v>
      </c>
      <c r="BJ42" s="53"/>
      <c r="BK42" s="53">
        <v>0</v>
      </c>
      <c r="BL42" s="53"/>
      <c r="BM42" s="53">
        <f t="shared" si="14"/>
        <v>0</v>
      </c>
      <c r="BN42" s="54" t="s">
        <v>347</v>
      </c>
      <c r="BR42" s="65"/>
      <c r="BS42" s="53"/>
      <c r="BT42" s="53"/>
      <c r="BU42" s="53"/>
      <c r="BV42" s="53"/>
      <c r="BW42" s="45"/>
      <c r="BX42" s="45"/>
      <c r="BY42" s="53"/>
      <c r="BZ42" s="53"/>
      <c r="CA42" s="53"/>
      <c r="CB42" s="53"/>
      <c r="CC42" s="53"/>
      <c r="CD42" s="53"/>
      <c r="CE42" s="53"/>
      <c r="CF42" s="35"/>
      <c r="CH42" s="35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4"/>
    </row>
    <row r="43" spans="1:97" s="55" customFormat="1" ht="12.75" customHeight="1">
      <c r="A43" s="35" t="s">
        <v>60</v>
      </c>
      <c r="C43" s="35" t="s">
        <v>61</v>
      </c>
      <c r="D43" s="44"/>
      <c r="E43" s="53">
        <f t="shared" si="8"/>
        <v>833630</v>
      </c>
      <c r="F43" s="53"/>
      <c r="G43" s="53">
        <v>4198869</v>
      </c>
      <c r="H43" s="53"/>
      <c r="I43" s="53">
        <v>5032499</v>
      </c>
      <c r="J43" s="53"/>
      <c r="K43" s="53">
        <f>O43-M43</f>
        <v>88136</v>
      </c>
      <c r="L43" s="53"/>
      <c r="M43" s="53">
        <v>527324</v>
      </c>
      <c r="N43" s="53"/>
      <c r="O43" s="53">
        <v>615460</v>
      </c>
      <c r="P43" s="53"/>
      <c r="Q43" s="53">
        <v>3653994</v>
      </c>
      <c r="R43" s="53"/>
      <c r="S43" s="53">
        <v>0</v>
      </c>
      <c r="T43" s="53"/>
      <c r="U43" s="53">
        <v>763045</v>
      </c>
      <c r="V43" s="53"/>
      <c r="W43" s="53">
        <f>SUM(Q43:U43)</f>
        <v>4417039</v>
      </c>
      <c r="X43" s="53"/>
      <c r="Y43" s="35" t="s">
        <v>476</v>
      </c>
      <c r="AA43" s="35" t="s">
        <v>15</v>
      </c>
      <c r="AB43" s="35"/>
      <c r="AC43" s="53">
        <v>730620</v>
      </c>
      <c r="AD43" s="53"/>
      <c r="AE43" s="53">
        <f>859123-146213</f>
        <v>712910</v>
      </c>
      <c r="AF43" s="53"/>
      <c r="AG43" s="53">
        <v>146213</v>
      </c>
      <c r="AH43" s="53"/>
      <c r="AI43" s="45">
        <f>+AC43-AE43-AG43</f>
        <v>-128503</v>
      </c>
      <c r="AJ43" s="45"/>
      <c r="AK43" s="53">
        <v>0</v>
      </c>
      <c r="AL43" s="45"/>
      <c r="AM43" s="53">
        <v>0</v>
      </c>
      <c r="AN43" s="53"/>
      <c r="AO43" s="53">
        <v>0</v>
      </c>
      <c r="AP43" s="53"/>
      <c r="AQ43" s="53">
        <v>0</v>
      </c>
      <c r="AR43" s="53"/>
      <c r="AS43" s="45">
        <f t="shared" si="12"/>
        <v>-128503</v>
      </c>
      <c r="AT43" s="45"/>
      <c r="AU43" s="53">
        <v>0</v>
      </c>
      <c r="AV43" s="53"/>
      <c r="AW43" s="53">
        <v>0</v>
      </c>
      <c r="AX43" s="53"/>
      <c r="AY43" s="53">
        <f>+E43-K43</f>
        <v>745494</v>
      </c>
      <c r="AZ43" s="53"/>
      <c r="BA43" s="35" t="s">
        <v>476</v>
      </c>
      <c r="BC43" s="35" t="s">
        <v>15</v>
      </c>
      <c r="BD43" s="53"/>
      <c r="BE43" s="53">
        <v>0</v>
      </c>
      <c r="BF43" s="53"/>
      <c r="BG43" s="53">
        <v>0</v>
      </c>
      <c r="BH43" s="53"/>
      <c r="BI43" s="53">
        <v>0</v>
      </c>
      <c r="BJ43" s="53"/>
      <c r="BK43" s="53">
        <v>0</v>
      </c>
      <c r="BL43" s="53"/>
      <c r="BM43" s="53">
        <f t="shared" ref="BM43" si="16">SUM(BE43:BK43)</f>
        <v>0</v>
      </c>
      <c r="BN43" s="54" t="s">
        <v>347</v>
      </c>
      <c r="BR43" s="65"/>
      <c r="BS43" s="53"/>
      <c r="BT43" s="53"/>
      <c r="BU43" s="53"/>
      <c r="BV43" s="53"/>
      <c r="BW43" s="53"/>
      <c r="BX43" s="45"/>
      <c r="BY43" s="45"/>
      <c r="BZ43" s="53"/>
      <c r="CA43" s="53"/>
      <c r="CB43" s="53"/>
      <c r="CC43" s="53"/>
      <c r="CD43" s="53"/>
      <c r="CE43" s="53"/>
      <c r="CF43" s="35"/>
      <c r="CH43" s="35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4"/>
    </row>
    <row r="44" spans="1:97" s="55" customFormat="1" ht="12.75" customHeight="1">
      <c r="A44" s="44" t="s">
        <v>62</v>
      </c>
      <c r="B44" s="65"/>
      <c r="C44" s="35" t="s">
        <v>15</v>
      </c>
      <c r="D44" s="44"/>
      <c r="E44" s="53">
        <f t="shared" si="8"/>
        <v>9710740</v>
      </c>
      <c r="F44" s="53"/>
      <c r="G44" s="53">
        <v>47017421</v>
      </c>
      <c r="H44" s="53"/>
      <c r="I44" s="53">
        <v>56728161</v>
      </c>
      <c r="J44" s="53"/>
      <c r="K44" s="53">
        <f t="shared" si="9"/>
        <v>1511966</v>
      </c>
      <c r="L44" s="53"/>
      <c r="M44" s="53">
        <v>10236946</v>
      </c>
      <c r="N44" s="53"/>
      <c r="O44" s="53">
        <v>11748912</v>
      </c>
      <c r="P44" s="53"/>
      <c r="Q44" s="53">
        <v>35804475</v>
      </c>
      <c r="R44" s="53"/>
      <c r="S44" s="53">
        <v>0</v>
      </c>
      <c r="T44" s="53"/>
      <c r="U44" s="53">
        <v>9174774</v>
      </c>
      <c r="V44" s="53"/>
      <c r="W44" s="53">
        <f t="shared" si="15"/>
        <v>44979249</v>
      </c>
      <c r="X44" s="53"/>
      <c r="Y44" s="44" t="s">
        <v>62</v>
      </c>
      <c r="AA44" s="35" t="s">
        <v>15</v>
      </c>
      <c r="AB44" s="35"/>
      <c r="AC44" s="53">
        <v>11087091</v>
      </c>
      <c r="AD44" s="53"/>
      <c r="AE44" s="53">
        <f>9962099-2411071</f>
        <v>7551028</v>
      </c>
      <c r="AF44" s="53"/>
      <c r="AG44" s="53">
        <v>2411071</v>
      </c>
      <c r="AH44" s="53"/>
      <c r="AI44" s="45">
        <f t="shared" si="11"/>
        <v>1124992</v>
      </c>
      <c r="AJ44" s="45"/>
      <c r="AK44" s="53">
        <v>-349128</v>
      </c>
      <c r="AL44" s="45"/>
      <c r="AM44" s="53">
        <v>0</v>
      </c>
      <c r="AN44" s="53"/>
      <c r="AO44" s="53">
        <v>0</v>
      </c>
      <c r="AP44" s="53"/>
      <c r="AQ44" s="53">
        <v>566583</v>
      </c>
      <c r="AR44" s="53"/>
      <c r="AS44" s="45">
        <f t="shared" si="12"/>
        <v>1342447</v>
      </c>
      <c r="AT44" s="45"/>
      <c r="AU44" s="53">
        <v>0</v>
      </c>
      <c r="AV44" s="53"/>
      <c r="AW44" s="53">
        <v>0</v>
      </c>
      <c r="AX44" s="53"/>
      <c r="AY44" s="53">
        <f t="shared" si="13"/>
        <v>8198774</v>
      </c>
      <c r="AZ44" s="53"/>
      <c r="BA44" s="44" t="s">
        <v>62</v>
      </c>
      <c r="BC44" s="35" t="s">
        <v>15</v>
      </c>
      <c r="BD44" s="53"/>
      <c r="BE44" s="53">
        <v>1806330</v>
      </c>
      <c r="BF44" s="53"/>
      <c r="BG44" s="53">
        <v>0</v>
      </c>
      <c r="BH44" s="53"/>
      <c r="BI44" s="53">
        <f>98897+8748594+537580</f>
        <v>9385071</v>
      </c>
      <c r="BJ44" s="53"/>
      <c r="BK44" s="53">
        <v>0</v>
      </c>
      <c r="BL44" s="53"/>
      <c r="BM44" s="53">
        <f t="shared" si="14"/>
        <v>11191401</v>
      </c>
      <c r="BN44" s="54" t="s">
        <v>347</v>
      </c>
      <c r="BR44" s="65"/>
      <c r="BS44" s="53"/>
      <c r="BT44" s="53"/>
      <c r="BU44" s="53"/>
      <c r="BV44" s="53"/>
      <c r="BW44" s="45"/>
      <c r="BX44" s="45"/>
      <c r="BY44" s="53"/>
      <c r="BZ44" s="53"/>
      <c r="CA44" s="53"/>
      <c r="CB44" s="53"/>
      <c r="CC44" s="53"/>
      <c r="CD44" s="53"/>
      <c r="CE44" s="53"/>
      <c r="CF44" s="35"/>
      <c r="CH44" s="35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4"/>
    </row>
    <row r="45" spans="1:97" s="55" customFormat="1" ht="12.75" customHeight="1">
      <c r="A45" s="35" t="s">
        <v>485</v>
      </c>
      <c r="B45" s="65"/>
      <c r="C45" s="35" t="s">
        <v>111</v>
      </c>
      <c r="D45" s="44"/>
      <c r="E45" s="53">
        <f t="shared" si="8"/>
        <v>103690</v>
      </c>
      <c r="F45" s="53"/>
      <c r="G45" s="53">
        <v>1138588</v>
      </c>
      <c r="H45" s="53"/>
      <c r="I45" s="53">
        <v>1242278</v>
      </c>
      <c r="J45" s="53"/>
      <c r="K45" s="53">
        <f>O45-M45</f>
        <v>82225</v>
      </c>
      <c r="L45" s="53"/>
      <c r="M45" s="53">
        <v>1858</v>
      </c>
      <c r="N45" s="53"/>
      <c r="O45" s="53">
        <v>84083</v>
      </c>
      <c r="P45" s="53"/>
      <c r="Q45" s="53">
        <v>4336735</v>
      </c>
      <c r="R45" s="53"/>
      <c r="S45" s="53">
        <v>0</v>
      </c>
      <c r="T45" s="53"/>
      <c r="U45" s="53">
        <v>1158196</v>
      </c>
      <c r="V45" s="53"/>
      <c r="W45" s="53">
        <f>SUM(Q45:U45)</f>
        <v>5494931</v>
      </c>
      <c r="X45" s="53"/>
      <c r="Y45" s="35" t="s">
        <v>63</v>
      </c>
      <c r="AA45" s="35" t="s">
        <v>64</v>
      </c>
      <c r="AB45" s="35"/>
      <c r="AC45" s="53">
        <v>1293216</v>
      </c>
      <c r="AD45" s="53"/>
      <c r="AE45" s="53">
        <f>1608509-292641</f>
        <v>1315868</v>
      </c>
      <c r="AF45" s="53"/>
      <c r="AG45" s="53">
        <v>292641</v>
      </c>
      <c r="AH45" s="53"/>
      <c r="AI45" s="45">
        <f>+AC45-AE45-AG45</f>
        <v>-315293</v>
      </c>
      <c r="AJ45" s="45"/>
      <c r="AK45" s="53">
        <v>0</v>
      </c>
      <c r="AL45" s="45"/>
      <c r="AM45" s="53">
        <v>0</v>
      </c>
      <c r="AN45" s="53"/>
      <c r="AO45" s="53">
        <v>0</v>
      </c>
      <c r="AP45" s="53"/>
      <c r="AQ45" s="53">
        <v>0</v>
      </c>
      <c r="AR45" s="53"/>
      <c r="AS45" s="45">
        <f t="shared" si="12"/>
        <v>-315293</v>
      </c>
      <c r="AT45" s="45"/>
      <c r="AU45" s="53">
        <v>0</v>
      </c>
      <c r="AV45" s="53"/>
      <c r="AW45" s="53">
        <v>0</v>
      </c>
      <c r="AX45" s="53"/>
      <c r="AY45" s="53">
        <f>+E45-K45</f>
        <v>21465</v>
      </c>
      <c r="AZ45" s="53"/>
      <c r="BA45" s="35" t="s">
        <v>485</v>
      </c>
      <c r="BB45" s="65"/>
      <c r="BC45" s="35" t="s">
        <v>111</v>
      </c>
      <c r="BD45" s="53"/>
      <c r="BE45" s="53">
        <v>0</v>
      </c>
      <c r="BF45" s="53"/>
      <c r="BG45" s="53">
        <v>0</v>
      </c>
      <c r="BH45" s="53"/>
      <c r="BI45" s="53">
        <v>0</v>
      </c>
      <c r="BJ45" s="53"/>
      <c r="BK45" s="53">
        <v>0</v>
      </c>
      <c r="BL45" s="53"/>
      <c r="BM45" s="53">
        <f t="shared" si="14"/>
        <v>0</v>
      </c>
      <c r="BN45" s="54" t="s">
        <v>347</v>
      </c>
      <c r="BO45" s="55" t="s">
        <v>405</v>
      </c>
      <c r="BR45" s="65"/>
      <c r="BS45" s="53"/>
      <c r="BT45" s="53"/>
      <c r="BU45" s="53"/>
      <c r="BV45" s="53"/>
      <c r="BW45" s="45"/>
      <c r="BX45" s="45"/>
      <c r="BY45" s="53"/>
      <c r="BZ45" s="53"/>
      <c r="CA45" s="53"/>
      <c r="CB45" s="53"/>
      <c r="CC45" s="53"/>
      <c r="CD45" s="53"/>
      <c r="CE45" s="53"/>
      <c r="CF45" s="35"/>
      <c r="CH45" s="35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4"/>
    </row>
    <row r="46" spans="1:97" s="55" customFormat="1" ht="12.75" hidden="1" customHeight="1">
      <c r="A46" s="35" t="s">
        <v>63</v>
      </c>
      <c r="B46" s="65"/>
      <c r="C46" s="35" t="s">
        <v>64</v>
      </c>
      <c r="D46" s="44"/>
      <c r="E46" s="53">
        <f t="shared" si="8"/>
        <v>0</v>
      </c>
      <c r="F46" s="53"/>
      <c r="G46" s="53"/>
      <c r="H46" s="53"/>
      <c r="I46" s="53"/>
      <c r="J46" s="53"/>
      <c r="K46" s="53">
        <f t="shared" si="9"/>
        <v>0</v>
      </c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>
        <f t="shared" si="15"/>
        <v>0</v>
      </c>
      <c r="X46" s="53"/>
      <c r="Y46" s="35" t="s">
        <v>63</v>
      </c>
      <c r="AA46" s="35" t="s">
        <v>64</v>
      </c>
      <c r="AB46" s="35"/>
      <c r="AC46" s="53"/>
      <c r="AD46" s="53"/>
      <c r="AE46" s="53"/>
      <c r="AF46" s="53"/>
      <c r="AG46" s="53"/>
      <c r="AH46" s="53"/>
      <c r="AI46" s="45">
        <f t="shared" si="11"/>
        <v>0</v>
      </c>
      <c r="AJ46" s="45"/>
      <c r="AK46" s="53"/>
      <c r="AL46" s="45"/>
      <c r="AM46" s="53">
        <v>0</v>
      </c>
      <c r="AN46" s="53"/>
      <c r="AO46" s="53">
        <v>0</v>
      </c>
      <c r="AP46" s="53"/>
      <c r="AQ46" s="53">
        <v>0</v>
      </c>
      <c r="AR46" s="53"/>
      <c r="AS46" s="45">
        <f t="shared" si="12"/>
        <v>0</v>
      </c>
      <c r="AT46" s="45"/>
      <c r="AU46" s="53">
        <v>0</v>
      </c>
      <c r="AV46" s="53"/>
      <c r="AW46" s="53">
        <v>0</v>
      </c>
      <c r="AX46" s="53"/>
      <c r="AY46" s="53">
        <f t="shared" si="13"/>
        <v>0</v>
      </c>
      <c r="AZ46" s="53"/>
      <c r="BA46" s="35" t="s">
        <v>63</v>
      </c>
      <c r="BC46" s="35" t="s">
        <v>64</v>
      </c>
      <c r="BD46" s="53"/>
      <c r="BE46" s="53"/>
      <c r="BF46" s="53"/>
      <c r="BG46" s="53"/>
      <c r="BH46" s="53"/>
      <c r="BI46" s="53"/>
      <c r="BJ46" s="53"/>
      <c r="BK46" s="53"/>
      <c r="BL46" s="53"/>
      <c r="BM46" s="53">
        <f t="shared" si="14"/>
        <v>0</v>
      </c>
      <c r="BN46" s="54" t="s">
        <v>347</v>
      </c>
      <c r="BO46" s="55" t="s">
        <v>405</v>
      </c>
      <c r="BR46" s="65"/>
      <c r="BS46" s="53"/>
      <c r="BT46" s="53"/>
      <c r="BU46" s="53"/>
      <c r="BV46" s="53"/>
      <c r="BW46" s="45"/>
      <c r="BX46" s="45"/>
      <c r="BY46" s="53"/>
      <c r="BZ46" s="53"/>
      <c r="CA46" s="53"/>
      <c r="CB46" s="53"/>
      <c r="CC46" s="53"/>
      <c r="CD46" s="53"/>
      <c r="CE46" s="53"/>
      <c r="CF46" s="35"/>
      <c r="CH46" s="35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4"/>
    </row>
    <row r="47" spans="1:97" s="55" customFormat="1" ht="12.75" hidden="1" customHeight="1">
      <c r="A47" s="35" t="s">
        <v>65</v>
      </c>
      <c r="B47" s="65"/>
      <c r="C47" s="35" t="s">
        <v>66</v>
      </c>
      <c r="D47" s="44"/>
      <c r="E47" s="53">
        <f t="shared" si="8"/>
        <v>0</v>
      </c>
      <c r="F47" s="53"/>
      <c r="G47" s="53"/>
      <c r="H47" s="53"/>
      <c r="I47" s="53"/>
      <c r="J47" s="53"/>
      <c r="K47" s="53">
        <f t="shared" si="9"/>
        <v>0</v>
      </c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>
        <f t="shared" si="15"/>
        <v>0</v>
      </c>
      <c r="X47" s="53"/>
      <c r="Y47" s="35" t="s">
        <v>65</v>
      </c>
      <c r="AA47" s="35" t="s">
        <v>66</v>
      </c>
      <c r="AB47" s="35"/>
      <c r="AC47" s="53"/>
      <c r="AD47" s="53"/>
      <c r="AE47" s="53"/>
      <c r="AF47" s="53"/>
      <c r="AG47" s="53"/>
      <c r="AH47" s="53"/>
      <c r="AI47" s="45">
        <f t="shared" si="11"/>
        <v>0</v>
      </c>
      <c r="AJ47" s="45"/>
      <c r="AK47" s="53"/>
      <c r="AL47" s="45"/>
      <c r="AM47" s="53">
        <v>0</v>
      </c>
      <c r="AN47" s="53"/>
      <c r="AO47" s="53">
        <v>0</v>
      </c>
      <c r="AP47" s="53"/>
      <c r="AQ47" s="53">
        <v>0</v>
      </c>
      <c r="AR47" s="53"/>
      <c r="AS47" s="45">
        <f t="shared" si="12"/>
        <v>0</v>
      </c>
      <c r="AT47" s="45"/>
      <c r="AU47" s="53">
        <v>0</v>
      </c>
      <c r="AV47" s="53"/>
      <c r="AW47" s="53">
        <v>0</v>
      </c>
      <c r="AX47" s="53"/>
      <c r="AY47" s="53">
        <f t="shared" si="13"/>
        <v>0</v>
      </c>
      <c r="AZ47" s="53"/>
      <c r="BA47" s="35" t="s">
        <v>65</v>
      </c>
      <c r="BC47" s="35" t="s">
        <v>66</v>
      </c>
      <c r="BD47" s="53"/>
      <c r="BE47" s="53"/>
      <c r="BF47" s="53"/>
      <c r="BG47" s="53"/>
      <c r="BH47" s="53"/>
      <c r="BI47" s="53"/>
      <c r="BJ47" s="53"/>
      <c r="BK47" s="53"/>
      <c r="BL47" s="53"/>
      <c r="BM47" s="53">
        <f>SUM(BE47:BL47)</f>
        <v>0</v>
      </c>
      <c r="BN47" s="54" t="s">
        <v>347</v>
      </c>
      <c r="BR47" s="65"/>
      <c r="BS47" s="53"/>
      <c r="BT47" s="53"/>
      <c r="BU47" s="53"/>
      <c r="BV47" s="53"/>
      <c r="BW47" s="45"/>
      <c r="BX47" s="45"/>
      <c r="BY47" s="53"/>
      <c r="BZ47" s="53"/>
      <c r="CA47" s="53"/>
      <c r="CB47" s="53"/>
      <c r="CC47" s="53"/>
      <c r="CD47" s="53"/>
      <c r="CE47" s="53"/>
      <c r="CF47" s="35"/>
      <c r="CH47" s="35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4"/>
    </row>
    <row r="48" spans="1:97" s="55" customFormat="1" ht="12.75" customHeight="1">
      <c r="A48" s="35" t="s">
        <v>67</v>
      </c>
      <c r="B48" s="65"/>
      <c r="C48" s="35" t="s">
        <v>375</v>
      </c>
      <c r="D48" s="44"/>
      <c r="E48" s="53">
        <f t="shared" si="8"/>
        <v>1136996</v>
      </c>
      <c r="F48" s="53"/>
      <c r="G48" s="53">
        <v>19235814</v>
      </c>
      <c r="H48" s="53"/>
      <c r="I48" s="53">
        <v>20372810</v>
      </c>
      <c r="J48" s="53"/>
      <c r="K48" s="53">
        <f t="shared" si="9"/>
        <v>756600</v>
      </c>
      <c r="L48" s="53"/>
      <c r="M48" s="53">
        <v>11018447</v>
      </c>
      <c r="N48" s="53"/>
      <c r="O48" s="53">
        <v>11775047</v>
      </c>
      <c r="P48" s="53"/>
      <c r="Q48" s="53">
        <v>6854658</v>
      </c>
      <c r="R48" s="53"/>
      <c r="S48" s="53">
        <v>0</v>
      </c>
      <c r="T48" s="53"/>
      <c r="U48" s="53">
        <v>1743105</v>
      </c>
      <c r="V48" s="53"/>
      <c r="W48" s="53">
        <f t="shared" si="15"/>
        <v>8597763</v>
      </c>
      <c r="X48" s="53"/>
      <c r="Y48" s="35" t="s">
        <v>67</v>
      </c>
      <c r="AA48" s="35" t="s">
        <v>375</v>
      </c>
      <c r="AB48" s="35"/>
      <c r="AC48" s="53">
        <v>1398862</v>
      </c>
      <c r="AD48" s="53"/>
      <c r="AE48" s="53">
        <f>1335148-504443</f>
        <v>830705</v>
      </c>
      <c r="AF48" s="53"/>
      <c r="AG48" s="53">
        <v>504443</v>
      </c>
      <c r="AH48" s="53"/>
      <c r="AI48" s="45">
        <f t="shared" si="11"/>
        <v>63714</v>
      </c>
      <c r="AJ48" s="45"/>
      <c r="AK48" s="53">
        <v>-359224</v>
      </c>
      <c r="AL48" s="45"/>
      <c r="AM48" s="53">
        <v>0</v>
      </c>
      <c r="AN48" s="53"/>
      <c r="AO48" s="53">
        <v>0</v>
      </c>
      <c r="AP48" s="53"/>
      <c r="AQ48" s="53">
        <v>0</v>
      </c>
      <c r="AR48" s="53"/>
      <c r="AS48" s="45">
        <f t="shared" si="12"/>
        <v>-295510</v>
      </c>
      <c r="AT48" s="45"/>
      <c r="AU48" s="53">
        <v>0</v>
      </c>
      <c r="AV48" s="53"/>
      <c r="AW48" s="53">
        <v>0</v>
      </c>
      <c r="AX48" s="53"/>
      <c r="AY48" s="53">
        <f t="shared" si="13"/>
        <v>380396</v>
      </c>
      <c r="AZ48" s="53"/>
      <c r="BA48" s="35" t="s">
        <v>67</v>
      </c>
      <c r="BC48" s="35" t="s">
        <v>375</v>
      </c>
      <c r="BD48" s="53"/>
      <c r="BE48" s="53">
        <v>0</v>
      </c>
      <c r="BF48" s="53"/>
      <c r="BG48" s="53">
        <v>0</v>
      </c>
      <c r="BH48" s="53"/>
      <c r="BI48" s="53">
        <v>0</v>
      </c>
      <c r="BJ48" s="53"/>
      <c r="BK48" s="53">
        <v>0</v>
      </c>
      <c r="BL48" s="53"/>
      <c r="BM48" s="53">
        <f t="shared" ref="BM48:BM53" si="17">SUM(BE48:BK48)</f>
        <v>0</v>
      </c>
      <c r="BN48" s="54" t="s">
        <v>347</v>
      </c>
      <c r="BR48" s="65"/>
      <c r="BS48" s="53"/>
      <c r="BT48" s="53"/>
      <c r="BU48" s="53"/>
      <c r="BV48" s="53"/>
      <c r="BW48" s="45"/>
      <c r="BX48" s="45"/>
      <c r="BY48" s="53"/>
      <c r="BZ48" s="53"/>
      <c r="CA48" s="53"/>
      <c r="CB48" s="53"/>
      <c r="CC48" s="53"/>
      <c r="CD48" s="53"/>
      <c r="CE48" s="53"/>
      <c r="CF48" s="35"/>
      <c r="CH48" s="35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4"/>
    </row>
    <row r="49" spans="1:98" s="55" customFormat="1" ht="12.75" hidden="1" customHeight="1">
      <c r="A49" s="35" t="s">
        <v>68</v>
      </c>
      <c r="B49" s="65"/>
      <c r="C49" s="35" t="s">
        <v>45</v>
      </c>
      <c r="D49" s="44"/>
      <c r="E49" s="53">
        <f t="shared" si="8"/>
        <v>0</v>
      </c>
      <c r="F49" s="53"/>
      <c r="G49" s="53"/>
      <c r="H49" s="53"/>
      <c r="I49" s="53"/>
      <c r="J49" s="53"/>
      <c r="K49" s="53">
        <f t="shared" si="9"/>
        <v>0</v>
      </c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>
        <f t="shared" si="15"/>
        <v>0</v>
      </c>
      <c r="X49" s="53"/>
      <c r="Y49" s="35" t="s">
        <v>68</v>
      </c>
      <c r="AA49" s="35" t="s">
        <v>45</v>
      </c>
      <c r="AB49" s="35"/>
      <c r="AC49" s="53"/>
      <c r="AD49" s="53"/>
      <c r="AE49" s="53"/>
      <c r="AF49" s="53"/>
      <c r="AG49" s="53"/>
      <c r="AH49" s="53"/>
      <c r="AI49" s="45">
        <f t="shared" si="11"/>
        <v>0</v>
      </c>
      <c r="AJ49" s="45"/>
      <c r="AK49" s="53"/>
      <c r="AL49" s="45"/>
      <c r="AM49" s="53">
        <v>0</v>
      </c>
      <c r="AN49" s="53"/>
      <c r="AO49" s="53">
        <v>0</v>
      </c>
      <c r="AP49" s="53"/>
      <c r="AQ49" s="53">
        <v>0</v>
      </c>
      <c r="AR49" s="53"/>
      <c r="AS49" s="45">
        <f t="shared" si="12"/>
        <v>0</v>
      </c>
      <c r="AT49" s="45"/>
      <c r="AU49" s="53">
        <v>0</v>
      </c>
      <c r="AV49" s="53"/>
      <c r="AW49" s="53">
        <v>0</v>
      </c>
      <c r="AX49" s="53"/>
      <c r="AY49" s="53">
        <f t="shared" si="13"/>
        <v>0</v>
      </c>
      <c r="AZ49" s="53"/>
      <c r="BA49" s="35" t="s">
        <v>68</v>
      </c>
      <c r="BC49" s="35" t="s">
        <v>45</v>
      </c>
      <c r="BD49" s="53"/>
      <c r="BE49" s="53"/>
      <c r="BF49" s="53"/>
      <c r="BG49" s="53"/>
      <c r="BH49" s="53"/>
      <c r="BI49" s="53"/>
      <c r="BJ49" s="53"/>
      <c r="BK49" s="53"/>
      <c r="BL49" s="53"/>
      <c r="BM49" s="53">
        <f t="shared" si="17"/>
        <v>0</v>
      </c>
      <c r="BN49" s="54" t="s">
        <v>347</v>
      </c>
      <c r="BR49" s="65"/>
      <c r="BS49" s="53"/>
      <c r="BT49" s="53"/>
      <c r="BU49" s="53"/>
      <c r="BV49" s="53"/>
      <c r="BW49" s="53"/>
      <c r="BX49" s="45"/>
      <c r="BY49" s="45"/>
      <c r="BZ49" s="53"/>
      <c r="CA49" s="53"/>
      <c r="CB49" s="53"/>
      <c r="CC49" s="53"/>
      <c r="CD49" s="53"/>
      <c r="CE49" s="53"/>
      <c r="CF49" s="35"/>
      <c r="CH49" s="35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4"/>
    </row>
    <row r="50" spans="1:98" s="55" customFormat="1" ht="12.75" hidden="1" customHeight="1">
      <c r="A50" s="35" t="s">
        <v>69</v>
      </c>
      <c r="B50" s="65"/>
      <c r="C50" s="35" t="s">
        <v>70</v>
      </c>
      <c r="D50" s="44"/>
      <c r="E50" s="53">
        <f t="shared" si="8"/>
        <v>0</v>
      </c>
      <c r="F50" s="53"/>
      <c r="G50" s="53"/>
      <c r="H50" s="53"/>
      <c r="I50" s="53"/>
      <c r="J50" s="53"/>
      <c r="K50" s="53">
        <f t="shared" si="9"/>
        <v>0</v>
      </c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>
        <f t="shared" si="15"/>
        <v>0</v>
      </c>
      <c r="X50" s="53"/>
      <c r="Y50" s="35" t="s">
        <v>69</v>
      </c>
      <c r="AA50" s="35" t="s">
        <v>70</v>
      </c>
      <c r="AB50" s="35"/>
      <c r="AC50" s="53"/>
      <c r="AD50" s="53"/>
      <c r="AE50" s="53"/>
      <c r="AF50" s="53"/>
      <c r="AG50" s="53"/>
      <c r="AH50" s="53"/>
      <c r="AI50" s="45">
        <f t="shared" si="11"/>
        <v>0</v>
      </c>
      <c r="AJ50" s="45"/>
      <c r="AK50" s="53"/>
      <c r="AL50" s="45"/>
      <c r="AM50" s="53">
        <v>0</v>
      </c>
      <c r="AN50" s="53"/>
      <c r="AO50" s="53">
        <v>0</v>
      </c>
      <c r="AP50" s="53"/>
      <c r="AQ50" s="53">
        <v>0</v>
      </c>
      <c r="AR50" s="53"/>
      <c r="AS50" s="45">
        <f t="shared" si="12"/>
        <v>0</v>
      </c>
      <c r="AT50" s="45"/>
      <c r="AU50" s="53">
        <v>0</v>
      </c>
      <c r="AV50" s="53"/>
      <c r="AW50" s="53">
        <v>0</v>
      </c>
      <c r="AX50" s="53"/>
      <c r="AY50" s="53">
        <f t="shared" si="13"/>
        <v>0</v>
      </c>
      <c r="AZ50" s="53"/>
      <c r="BA50" s="35" t="s">
        <v>69</v>
      </c>
      <c r="BC50" s="35" t="s">
        <v>70</v>
      </c>
      <c r="BD50" s="53"/>
      <c r="BE50" s="53">
        <v>1685000</v>
      </c>
      <c r="BF50" s="53"/>
      <c r="BG50" s="53"/>
      <c r="BH50" s="53"/>
      <c r="BI50" s="53"/>
      <c r="BJ50" s="53"/>
      <c r="BK50" s="53"/>
      <c r="BL50" s="53"/>
      <c r="BM50" s="53">
        <f t="shared" si="17"/>
        <v>1685000</v>
      </c>
      <c r="BN50" s="54" t="s">
        <v>347</v>
      </c>
      <c r="BR50" s="65"/>
      <c r="BS50" s="53"/>
      <c r="BT50" s="53"/>
      <c r="BU50" s="53"/>
      <c r="BV50" s="53"/>
      <c r="BW50" s="53"/>
      <c r="BX50" s="45"/>
      <c r="BY50" s="45"/>
      <c r="BZ50" s="53"/>
      <c r="CA50" s="53"/>
      <c r="CB50" s="53"/>
      <c r="CC50" s="53"/>
      <c r="CD50" s="53"/>
      <c r="CE50" s="53"/>
      <c r="CF50" s="35"/>
      <c r="CH50" s="35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4"/>
    </row>
    <row r="51" spans="1:98" s="55" customFormat="1" ht="11.25" hidden="1" customHeight="1">
      <c r="A51" s="35" t="s">
        <v>71</v>
      </c>
      <c r="B51" s="65"/>
      <c r="C51" s="35" t="s">
        <v>45</v>
      </c>
      <c r="D51" s="44"/>
      <c r="E51" s="53">
        <f t="shared" si="8"/>
        <v>0</v>
      </c>
      <c r="F51" s="53"/>
      <c r="G51" s="53"/>
      <c r="H51" s="53"/>
      <c r="I51" s="53"/>
      <c r="J51" s="53"/>
      <c r="K51" s="53">
        <f t="shared" si="9"/>
        <v>0</v>
      </c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>
        <v>0</v>
      </c>
      <c r="X51" s="53"/>
      <c r="Y51" s="35" t="s">
        <v>71</v>
      </c>
      <c r="AA51" s="35" t="s">
        <v>45</v>
      </c>
      <c r="AB51" s="35"/>
      <c r="AC51" s="53"/>
      <c r="AD51" s="53"/>
      <c r="AE51" s="53"/>
      <c r="AF51" s="53"/>
      <c r="AG51" s="53"/>
      <c r="AH51" s="53"/>
      <c r="AI51" s="45">
        <f t="shared" si="11"/>
        <v>0</v>
      </c>
      <c r="AJ51" s="45"/>
      <c r="AK51" s="53"/>
      <c r="AL51" s="45"/>
      <c r="AM51" s="53">
        <v>0</v>
      </c>
      <c r="AN51" s="53"/>
      <c r="AO51" s="53">
        <v>0</v>
      </c>
      <c r="AP51" s="53"/>
      <c r="AQ51" s="53">
        <v>0</v>
      </c>
      <c r="AR51" s="53"/>
      <c r="AS51" s="45">
        <f t="shared" si="12"/>
        <v>0</v>
      </c>
      <c r="AT51" s="45"/>
      <c r="AU51" s="53">
        <v>0</v>
      </c>
      <c r="AV51" s="53"/>
      <c r="AW51" s="53">
        <v>0</v>
      </c>
      <c r="AX51" s="53"/>
      <c r="AY51" s="53">
        <f t="shared" si="13"/>
        <v>0</v>
      </c>
      <c r="AZ51" s="53"/>
      <c r="BA51" s="35" t="s">
        <v>71</v>
      </c>
      <c r="BC51" s="35" t="s">
        <v>45</v>
      </c>
      <c r="BD51" s="53"/>
      <c r="BE51" s="53"/>
      <c r="BF51" s="53"/>
      <c r="BG51" s="53"/>
      <c r="BH51" s="53"/>
      <c r="BI51" s="53"/>
      <c r="BJ51" s="53"/>
      <c r="BK51" s="53"/>
      <c r="BL51" s="53"/>
      <c r="BM51" s="53">
        <f t="shared" si="17"/>
        <v>0</v>
      </c>
      <c r="BN51" s="54" t="s">
        <v>347</v>
      </c>
      <c r="BO51" s="55" t="s">
        <v>403</v>
      </c>
      <c r="BR51" s="65"/>
      <c r="BS51" s="53"/>
      <c r="BT51" s="53"/>
      <c r="BU51" s="53"/>
      <c r="BV51" s="53"/>
      <c r="BW51" s="53"/>
      <c r="BX51" s="45"/>
      <c r="BY51" s="45"/>
      <c r="BZ51" s="53"/>
      <c r="CA51" s="53"/>
      <c r="CB51" s="53"/>
      <c r="CC51" s="53"/>
      <c r="CD51" s="53"/>
      <c r="CE51" s="53"/>
      <c r="CF51" s="35"/>
      <c r="CH51" s="35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4"/>
    </row>
    <row r="52" spans="1:98" s="55" customFormat="1" ht="12.75" customHeight="1">
      <c r="A52" s="44" t="s">
        <v>463</v>
      </c>
      <c r="C52" s="44" t="s">
        <v>464</v>
      </c>
      <c r="D52" s="44"/>
      <c r="E52" s="53">
        <f t="shared" si="8"/>
        <v>2855429</v>
      </c>
      <c r="F52" s="53"/>
      <c r="G52" s="53">
        <v>13012158</v>
      </c>
      <c r="H52" s="53"/>
      <c r="I52" s="53">
        <v>15867587</v>
      </c>
      <c r="J52" s="53"/>
      <c r="K52" s="53">
        <f t="shared" si="9"/>
        <v>214673</v>
      </c>
      <c r="L52" s="53"/>
      <c r="M52" s="53">
        <v>1683031</v>
      </c>
      <c r="N52" s="53"/>
      <c r="O52" s="53">
        <v>1897704</v>
      </c>
      <c r="P52" s="53"/>
      <c r="Q52" s="53">
        <v>11279000</v>
      </c>
      <c r="R52" s="53"/>
      <c r="S52" s="53">
        <v>0</v>
      </c>
      <c r="T52" s="53"/>
      <c r="U52" s="53">
        <v>2690883</v>
      </c>
      <c r="V52" s="53"/>
      <c r="W52" s="53">
        <f>SUM(Q52:U52)</f>
        <v>13969883</v>
      </c>
      <c r="X52" s="53"/>
      <c r="Y52" s="44" t="s">
        <v>463</v>
      </c>
      <c r="AA52" s="44" t="s">
        <v>464</v>
      </c>
      <c r="AB52" s="44"/>
      <c r="AC52" s="53">
        <v>1893908</v>
      </c>
      <c r="AD52" s="53"/>
      <c r="AE52" s="53">
        <f>2092768-407408</f>
        <v>1685360</v>
      </c>
      <c r="AF52" s="53"/>
      <c r="AG52" s="53">
        <v>407408</v>
      </c>
      <c r="AH52" s="53"/>
      <c r="AI52" s="45">
        <f t="shared" si="11"/>
        <v>-198860</v>
      </c>
      <c r="AJ52" s="45"/>
      <c r="AK52" s="53">
        <v>-132400</v>
      </c>
      <c r="AL52" s="45"/>
      <c r="AM52" s="53">
        <v>0</v>
      </c>
      <c r="AN52" s="53"/>
      <c r="AO52" s="53">
        <v>0</v>
      </c>
      <c r="AP52" s="53"/>
      <c r="AQ52" s="53">
        <v>0</v>
      </c>
      <c r="AR52" s="53"/>
      <c r="AS52" s="45">
        <f t="shared" si="12"/>
        <v>-331260</v>
      </c>
      <c r="AT52" s="45"/>
      <c r="AU52" s="53">
        <v>0</v>
      </c>
      <c r="AV52" s="53"/>
      <c r="AW52" s="53">
        <v>0</v>
      </c>
      <c r="AX52" s="53"/>
      <c r="AY52" s="53">
        <f t="shared" si="13"/>
        <v>2640756</v>
      </c>
      <c r="AZ52" s="53"/>
      <c r="BA52" s="44" t="s">
        <v>463</v>
      </c>
      <c r="BC52" s="44" t="s">
        <v>464</v>
      </c>
      <c r="BD52" s="53"/>
      <c r="BE52" s="53">
        <v>0</v>
      </c>
      <c r="BF52" s="53"/>
      <c r="BG52" s="53">
        <v>0</v>
      </c>
      <c r="BH52" s="53"/>
      <c r="BI52" s="53">
        <v>0</v>
      </c>
      <c r="BJ52" s="53"/>
      <c r="BK52" s="53">
        <v>0</v>
      </c>
      <c r="BL52" s="53"/>
      <c r="BM52" s="53">
        <f t="shared" si="17"/>
        <v>0</v>
      </c>
      <c r="BN52" s="54" t="s">
        <v>347</v>
      </c>
      <c r="BR52" s="65"/>
      <c r="BS52" s="53"/>
      <c r="BT52" s="53"/>
      <c r="BU52" s="53"/>
      <c r="BV52" s="53"/>
      <c r="BW52" s="53"/>
      <c r="BX52" s="45"/>
      <c r="BY52" s="45"/>
      <c r="BZ52" s="53"/>
      <c r="CA52" s="53"/>
      <c r="CB52" s="53"/>
      <c r="CC52" s="53"/>
      <c r="CD52" s="53"/>
      <c r="CE52" s="53"/>
      <c r="CF52" s="35"/>
      <c r="CH52" s="35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4"/>
    </row>
    <row r="53" spans="1:98" s="55" customFormat="1" ht="12.75" customHeight="1">
      <c r="A53" s="35" t="s">
        <v>72</v>
      </c>
      <c r="B53" s="65"/>
      <c r="C53" s="35" t="s">
        <v>66</v>
      </c>
      <c r="D53" s="44"/>
      <c r="E53" s="53">
        <f t="shared" si="8"/>
        <v>98039</v>
      </c>
      <c r="F53" s="53"/>
      <c r="G53" s="53">
        <v>3648717</v>
      </c>
      <c r="H53" s="53"/>
      <c r="I53" s="53">
        <v>3746756</v>
      </c>
      <c r="J53" s="53"/>
      <c r="K53" s="53">
        <f t="shared" si="9"/>
        <v>0</v>
      </c>
      <c r="L53" s="53"/>
      <c r="M53" s="53">
        <v>3218056</v>
      </c>
      <c r="N53" s="53"/>
      <c r="O53" s="53">
        <v>3218056</v>
      </c>
      <c r="P53" s="53"/>
      <c r="Q53" s="53">
        <v>361211</v>
      </c>
      <c r="R53" s="53"/>
      <c r="S53" s="53">
        <v>0</v>
      </c>
      <c r="T53" s="53"/>
      <c r="U53" s="53">
        <v>98039</v>
      </c>
      <c r="V53" s="53"/>
      <c r="W53" s="53">
        <f>SUM(Q53:U53)</f>
        <v>459250</v>
      </c>
      <c r="X53" s="53"/>
      <c r="Y53" s="35" t="s">
        <v>72</v>
      </c>
      <c r="AA53" s="35" t="s">
        <v>66</v>
      </c>
      <c r="AB53" s="35"/>
      <c r="AC53" s="53">
        <v>8999</v>
      </c>
      <c r="AD53" s="53"/>
      <c r="AE53" s="53">
        <v>0</v>
      </c>
      <c r="AF53" s="53"/>
      <c r="AG53" s="53">
        <v>4476</v>
      </c>
      <c r="AH53" s="53"/>
      <c r="AI53" s="45">
        <v>0</v>
      </c>
      <c r="AJ53" s="45"/>
      <c r="AK53" s="53">
        <v>-130325</v>
      </c>
      <c r="AL53" s="45"/>
      <c r="AM53" s="53">
        <v>262233</v>
      </c>
      <c r="AN53" s="53"/>
      <c r="AO53" s="53">
        <v>0</v>
      </c>
      <c r="AP53" s="53"/>
      <c r="AQ53" s="53">
        <v>0</v>
      </c>
      <c r="AR53" s="53"/>
      <c r="AS53" s="45">
        <f t="shared" si="12"/>
        <v>131908</v>
      </c>
      <c r="AT53" s="45"/>
      <c r="AU53" s="53">
        <v>0</v>
      </c>
      <c r="AV53" s="53"/>
      <c r="AW53" s="53">
        <v>0</v>
      </c>
      <c r="AX53" s="53"/>
      <c r="AY53" s="53">
        <f t="shared" si="13"/>
        <v>98039</v>
      </c>
      <c r="AZ53" s="53"/>
      <c r="BA53" s="35" t="s">
        <v>72</v>
      </c>
      <c r="BC53" s="35" t="s">
        <v>66</v>
      </c>
      <c r="BD53" s="53"/>
      <c r="BE53" s="53">
        <v>0</v>
      </c>
      <c r="BF53" s="53"/>
      <c r="BG53" s="53">
        <v>0</v>
      </c>
      <c r="BH53" s="53"/>
      <c r="BI53" s="53">
        <v>0</v>
      </c>
      <c r="BJ53" s="53"/>
      <c r="BK53" s="53">
        <v>0</v>
      </c>
      <c r="BL53" s="53"/>
      <c r="BM53" s="53">
        <f t="shared" si="17"/>
        <v>0</v>
      </c>
      <c r="BN53" s="54" t="s">
        <v>347</v>
      </c>
      <c r="BO53" s="35"/>
      <c r="BR53" s="65"/>
      <c r="BS53" s="53"/>
      <c r="BT53" s="53"/>
      <c r="BU53" s="53"/>
      <c r="BV53" s="53"/>
      <c r="BW53" s="45"/>
      <c r="BX53" s="45"/>
      <c r="BY53" s="53"/>
      <c r="BZ53" s="53"/>
      <c r="CA53" s="53"/>
      <c r="CB53" s="53"/>
      <c r="CC53" s="53"/>
      <c r="CD53" s="53"/>
      <c r="CE53" s="53"/>
      <c r="CF53" s="35"/>
      <c r="CH53" s="35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4"/>
      <c r="CT53" s="35"/>
    </row>
    <row r="54" spans="1:98" s="55" customFormat="1" ht="12.75" hidden="1" customHeight="1">
      <c r="A54" s="35" t="s">
        <v>342</v>
      </c>
      <c r="C54" s="35" t="s">
        <v>27</v>
      </c>
      <c r="D54" s="44"/>
      <c r="E54" s="53"/>
      <c r="F54" s="53"/>
      <c r="G54" s="53"/>
      <c r="H54" s="53"/>
      <c r="I54" s="53"/>
      <c r="J54" s="53"/>
      <c r="K54" s="53">
        <f t="shared" si="1"/>
        <v>0</v>
      </c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>
        <f t="shared" ref="W54:W71" si="18">SUM(Q54:U54)</f>
        <v>0</v>
      </c>
      <c r="X54" s="53"/>
      <c r="Y54" s="35" t="s">
        <v>342</v>
      </c>
      <c r="AA54" s="35" t="s">
        <v>27</v>
      </c>
      <c r="AB54" s="35"/>
      <c r="AC54" s="53"/>
      <c r="AD54" s="53"/>
      <c r="AE54" s="53"/>
      <c r="AF54" s="53"/>
      <c r="AG54" s="53"/>
      <c r="AH54" s="53"/>
      <c r="AI54" s="45">
        <f t="shared" si="3"/>
        <v>0</v>
      </c>
      <c r="AJ54" s="45"/>
      <c r="AK54" s="53"/>
      <c r="AL54" s="45"/>
      <c r="AM54" s="53">
        <v>0</v>
      </c>
      <c r="AN54" s="53"/>
      <c r="AO54" s="53">
        <v>0</v>
      </c>
      <c r="AP54" s="53"/>
      <c r="AQ54" s="53">
        <v>0</v>
      </c>
      <c r="AR54" s="53"/>
      <c r="AS54" s="45">
        <f t="shared" si="4"/>
        <v>0</v>
      </c>
      <c r="AT54" s="45"/>
      <c r="AU54" s="53">
        <v>0</v>
      </c>
      <c r="AV54" s="53"/>
      <c r="AW54" s="53">
        <v>0</v>
      </c>
      <c r="AX54" s="53"/>
      <c r="AY54" s="53">
        <f t="shared" si="5"/>
        <v>0</v>
      </c>
      <c r="AZ54" s="53"/>
      <c r="BA54" s="35" t="s">
        <v>342</v>
      </c>
      <c r="BC54" s="35" t="s">
        <v>27</v>
      </c>
      <c r="BD54" s="53"/>
      <c r="BE54" s="53"/>
      <c r="BF54" s="53"/>
      <c r="BG54" s="53"/>
      <c r="BH54" s="53"/>
      <c r="BI54" s="53"/>
      <c r="BJ54" s="53"/>
      <c r="BK54" s="53"/>
      <c r="BL54" s="53"/>
      <c r="BM54" s="53">
        <f t="shared" ref="BM54:BM72" si="19">SUM(BE54:BK54)</f>
        <v>0</v>
      </c>
      <c r="BN54" s="54" t="s">
        <v>347</v>
      </c>
      <c r="BR54" s="65"/>
      <c r="BS54" s="53"/>
      <c r="BT54" s="53"/>
      <c r="BU54" s="53"/>
      <c r="BV54" s="53"/>
      <c r="BW54" s="53"/>
      <c r="BX54" s="45"/>
      <c r="BY54" s="45"/>
      <c r="BZ54" s="53"/>
      <c r="CA54" s="53"/>
      <c r="CB54" s="53"/>
      <c r="CC54" s="53"/>
      <c r="CD54" s="53"/>
      <c r="CE54" s="53"/>
      <c r="CF54" s="35"/>
      <c r="CH54" s="35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4"/>
    </row>
    <row r="55" spans="1:98" s="55" customFormat="1" ht="12.75" hidden="1" customHeight="1">
      <c r="A55" s="35" t="s">
        <v>74</v>
      </c>
      <c r="B55" s="65"/>
      <c r="C55" s="35" t="s">
        <v>27</v>
      </c>
      <c r="D55" s="44"/>
      <c r="E55" s="53"/>
      <c r="F55" s="53"/>
      <c r="G55" s="53"/>
      <c r="H55" s="53"/>
      <c r="I55" s="53"/>
      <c r="J55" s="53"/>
      <c r="K55" s="53">
        <f t="shared" si="1"/>
        <v>0</v>
      </c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>
        <v>0</v>
      </c>
      <c r="X55" s="53"/>
      <c r="Y55" s="35" t="s">
        <v>74</v>
      </c>
      <c r="AA55" s="35" t="s">
        <v>27</v>
      </c>
      <c r="AB55" s="35"/>
      <c r="AC55" s="53"/>
      <c r="AD55" s="53"/>
      <c r="AE55" s="53"/>
      <c r="AF55" s="53"/>
      <c r="AG55" s="53"/>
      <c r="AH55" s="53"/>
      <c r="AI55" s="45">
        <f t="shared" si="3"/>
        <v>0</v>
      </c>
      <c r="AJ55" s="45"/>
      <c r="AK55" s="53"/>
      <c r="AL55" s="45"/>
      <c r="AM55" s="53">
        <v>0</v>
      </c>
      <c r="AN55" s="53"/>
      <c r="AO55" s="53">
        <v>0</v>
      </c>
      <c r="AP55" s="53"/>
      <c r="AQ55" s="53">
        <v>0</v>
      </c>
      <c r="AR55" s="53"/>
      <c r="AS55" s="45">
        <f t="shared" si="4"/>
        <v>0</v>
      </c>
      <c r="AT55" s="45"/>
      <c r="AU55" s="53">
        <v>0</v>
      </c>
      <c r="AV55" s="53"/>
      <c r="AW55" s="53">
        <v>0</v>
      </c>
      <c r="AX55" s="53"/>
      <c r="AY55" s="53">
        <f t="shared" si="5"/>
        <v>0</v>
      </c>
      <c r="AZ55" s="53"/>
      <c r="BA55" s="35" t="s">
        <v>74</v>
      </c>
      <c r="BC55" s="35" t="s">
        <v>27</v>
      </c>
      <c r="BD55" s="53"/>
      <c r="BE55" s="53"/>
      <c r="BF55" s="53"/>
      <c r="BG55" s="53"/>
      <c r="BH55" s="53"/>
      <c r="BI55" s="53"/>
      <c r="BJ55" s="53"/>
      <c r="BK55" s="53"/>
      <c r="BL55" s="53"/>
      <c r="BM55" s="53">
        <f t="shared" si="19"/>
        <v>0</v>
      </c>
      <c r="BN55" s="54" t="s">
        <v>347</v>
      </c>
      <c r="BR55" s="65"/>
      <c r="BS55" s="53"/>
      <c r="BT55" s="53"/>
      <c r="BU55" s="53"/>
      <c r="BV55" s="53"/>
      <c r="BW55" s="53"/>
      <c r="BX55" s="45"/>
      <c r="BY55" s="45"/>
      <c r="BZ55" s="53"/>
      <c r="CA55" s="53"/>
      <c r="CB55" s="53"/>
      <c r="CC55" s="53"/>
      <c r="CD55" s="53"/>
      <c r="CE55" s="53"/>
      <c r="CF55" s="35"/>
      <c r="CH55" s="35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4"/>
    </row>
    <row r="56" spans="1:98" s="55" customFormat="1" ht="12.75" customHeight="1">
      <c r="A56" s="35" t="s">
        <v>75</v>
      </c>
      <c r="B56" s="65"/>
      <c r="C56" s="35" t="s">
        <v>76</v>
      </c>
      <c r="D56" s="44"/>
      <c r="E56" s="53">
        <v>998596</v>
      </c>
      <c r="F56" s="53"/>
      <c r="G56" s="53">
        <v>6906085</v>
      </c>
      <c r="H56" s="53"/>
      <c r="I56" s="53">
        <v>7904681</v>
      </c>
      <c r="J56" s="53"/>
      <c r="K56" s="53">
        <f t="shared" si="1"/>
        <v>903447</v>
      </c>
      <c r="L56" s="53"/>
      <c r="M56" s="53">
        <v>144232</v>
      </c>
      <c r="N56" s="53"/>
      <c r="O56" s="53">
        <v>1047679</v>
      </c>
      <c r="P56" s="53"/>
      <c r="Q56" s="53">
        <v>5995559</v>
      </c>
      <c r="R56" s="53"/>
      <c r="S56" s="53">
        <v>0</v>
      </c>
      <c r="T56" s="53"/>
      <c r="U56" s="53">
        <v>861443</v>
      </c>
      <c r="V56" s="53"/>
      <c r="W56" s="53">
        <f t="shared" ref="W56:W62" si="20">SUM(Q56:U56)</f>
        <v>6857002</v>
      </c>
      <c r="X56" s="53"/>
      <c r="Y56" s="35" t="s">
        <v>75</v>
      </c>
      <c r="AA56" s="35" t="s">
        <v>76</v>
      </c>
      <c r="AB56" s="35"/>
      <c r="AC56" s="53">
        <v>1646160</v>
      </c>
      <c r="AD56" s="53"/>
      <c r="AE56" s="53">
        <f>2022159-265509</f>
        <v>1756650</v>
      </c>
      <c r="AF56" s="53"/>
      <c r="AG56" s="53">
        <v>265509</v>
      </c>
      <c r="AH56" s="53"/>
      <c r="AI56" s="45">
        <f t="shared" si="3"/>
        <v>-375999</v>
      </c>
      <c r="AJ56" s="45"/>
      <c r="AK56" s="53">
        <v>-47332</v>
      </c>
      <c r="AL56" s="45"/>
      <c r="AM56" s="53">
        <v>0</v>
      </c>
      <c r="AN56" s="53"/>
      <c r="AO56" s="53">
        <v>24000</v>
      </c>
      <c r="AP56" s="53"/>
      <c r="AQ56" s="53">
        <v>185245</v>
      </c>
      <c r="AR56" s="53"/>
      <c r="AS56" s="45">
        <f t="shared" si="4"/>
        <v>-262086</v>
      </c>
      <c r="AT56" s="45"/>
      <c r="AU56" s="53">
        <v>0</v>
      </c>
      <c r="AV56" s="53"/>
      <c r="AW56" s="53">
        <v>0</v>
      </c>
      <c r="AX56" s="53"/>
      <c r="AY56" s="53">
        <f t="shared" si="5"/>
        <v>95149</v>
      </c>
      <c r="AZ56" s="53"/>
      <c r="BA56" s="35" t="s">
        <v>75</v>
      </c>
      <c r="BC56" s="35" t="s">
        <v>76</v>
      </c>
      <c r="BD56" s="53"/>
      <c r="BE56" s="53">
        <v>0</v>
      </c>
      <c r="BF56" s="53"/>
      <c r="BG56" s="53">
        <v>0</v>
      </c>
      <c r="BH56" s="53"/>
      <c r="BI56" s="53">
        <f>422166+488360</f>
        <v>910526</v>
      </c>
      <c r="BJ56" s="53"/>
      <c r="BK56" s="53">
        <v>0</v>
      </c>
      <c r="BL56" s="53"/>
      <c r="BM56" s="53">
        <f t="shared" si="19"/>
        <v>910526</v>
      </c>
      <c r="BN56" s="54" t="s">
        <v>347</v>
      </c>
      <c r="BR56" s="65"/>
      <c r="BS56" s="53"/>
      <c r="BT56" s="53"/>
      <c r="BU56" s="53"/>
      <c r="BV56" s="53"/>
      <c r="BW56" s="53"/>
      <c r="BX56" s="45"/>
      <c r="BY56" s="45"/>
      <c r="BZ56" s="53"/>
      <c r="CA56" s="53"/>
      <c r="CB56" s="53"/>
      <c r="CC56" s="53"/>
      <c r="CD56" s="53"/>
      <c r="CE56" s="53"/>
      <c r="CF56" s="35"/>
      <c r="CH56" s="35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4"/>
    </row>
    <row r="57" spans="1:98" s="55" customFormat="1" ht="12.75" customHeight="1">
      <c r="A57" s="35" t="s">
        <v>77</v>
      </c>
      <c r="B57" s="65"/>
      <c r="C57" s="35" t="s">
        <v>43</v>
      </c>
      <c r="D57" s="44"/>
      <c r="E57" s="53">
        <v>512818000</v>
      </c>
      <c r="F57" s="53"/>
      <c r="G57" s="53">
        <v>1638286000</v>
      </c>
      <c r="H57" s="53"/>
      <c r="I57" s="53">
        <v>2151104000</v>
      </c>
      <c r="J57" s="53"/>
      <c r="K57" s="53">
        <f t="shared" si="1"/>
        <v>108633000</v>
      </c>
      <c r="L57" s="53"/>
      <c r="M57" s="53">
        <v>1388287000</v>
      </c>
      <c r="N57" s="53"/>
      <c r="O57" s="53">
        <v>1496920000</v>
      </c>
      <c r="P57" s="53"/>
      <c r="Q57" s="53">
        <v>544192000</v>
      </c>
      <c r="R57" s="53"/>
      <c r="S57" s="53">
        <v>0</v>
      </c>
      <c r="T57" s="53"/>
      <c r="U57" s="53">
        <v>109992000</v>
      </c>
      <c r="V57" s="53"/>
      <c r="W57" s="53">
        <f t="shared" si="20"/>
        <v>654184000</v>
      </c>
      <c r="X57" s="53"/>
      <c r="Y57" s="35" t="s">
        <v>77</v>
      </c>
      <c r="AA57" s="35" t="s">
        <v>43</v>
      </c>
      <c r="AB57" s="35"/>
      <c r="AC57" s="53">
        <v>213196000</v>
      </c>
      <c r="AD57" s="53"/>
      <c r="AE57" s="53">
        <f>125690000-38666000</f>
        <v>87024000</v>
      </c>
      <c r="AF57" s="53"/>
      <c r="AG57" s="53">
        <v>38666000</v>
      </c>
      <c r="AH57" s="53"/>
      <c r="AI57" s="45">
        <f t="shared" si="3"/>
        <v>87506000</v>
      </c>
      <c r="AJ57" s="45"/>
      <c r="AK57" s="53">
        <v>-28314000</v>
      </c>
      <c r="AL57" s="45"/>
      <c r="AM57" s="53">
        <v>364000</v>
      </c>
      <c r="AN57" s="53"/>
      <c r="AO57" s="53">
        <v>380000</v>
      </c>
      <c r="AP57" s="53"/>
      <c r="AQ57" s="53">
        <v>0</v>
      </c>
      <c r="AR57" s="53"/>
      <c r="AS57" s="45">
        <f t="shared" si="4"/>
        <v>59176000</v>
      </c>
      <c r="AT57" s="45"/>
      <c r="AU57" s="53">
        <v>0</v>
      </c>
      <c r="AV57" s="53"/>
      <c r="AW57" s="53">
        <v>0</v>
      </c>
      <c r="AX57" s="53"/>
      <c r="AY57" s="53">
        <f t="shared" si="5"/>
        <v>404185000</v>
      </c>
      <c r="AZ57" s="53"/>
      <c r="BA57" s="35" t="s">
        <v>77</v>
      </c>
      <c r="BC57" s="35" t="s">
        <v>43</v>
      </c>
      <c r="BD57" s="53"/>
      <c r="BE57" s="53">
        <f>193117000+72000000</f>
        <v>265117000</v>
      </c>
      <c r="BF57" s="53"/>
      <c r="BG57" s="53">
        <f>390000000+51855000</f>
        <v>441855000</v>
      </c>
      <c r="BH57" s="53"/>
      <c r="BI57" s="53">
        <v>722166000</v>
      </c>
      <c r="BJ57" s="53"/>
      <c r="BK57" s="53">
        <v>0</v>
      </c>
      <c r="BL57" s="53"/>
      <c r="BM57" s="53">
        <f t="shared" si="19"/>
        <v>1429138000</v>
      </c>
      <c r="BN57" s="54" t="s">
        <v>347</v>
      </c>
      <c r="BR57" s="65"/>
      <c r="BS57" s="53"/>
      <c r="BT57" s="53"/>
      <c r="BU57" s="53"/>
      <c r="BV57" s="53"/>
      <c r="BW57" s="53"/>
      <c r="BX57" s="45"/>
      <c r="BY57" s="45"/>
      <c r="BZ57" s="53"/>
      <c r="CA57" s="53"/>
      <c r="CB57" s="53"/>
      <c r="CC57" s="53"/>
      <c r="CD57" s="53"/>
      <c r="CE57" s="53"/>
      <c r="CF57" s="35"/>
      <c r="CH57" s="35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4"/>
    </row>
    <row r="58" spans="1:98" s="55" customFormat="1" ht="12.75" customHeight="1">
      <c r="A58" s="35" t="s">
        <v>94</v>
      </c>
      <c r="B58" s="51"/>
      <c r="C58" s="35" t="s">
        <v>94</v>
      </c>
      <c r="D58" s="44"/>
      <c r="E58" s="53">
        <v>7228310</v>
      </c>
      <c r="F58" s="53"/>
      <c r="G58" s="53">
        <v>15669691</v>
      </c>
      <c r="H58" s="53"/>
      <c r="I58" s="53">
        <v>22898001</v>
      </c>
      <c r="J58" s="53"/>
      <c r="K58" s="53">
        <f>O58-M58</f>
        <v>470262</v>
      </c>
      <c r="L58" s="53"/>
      <c r="M58" s="53">
        <v>11923600</v>
      </c>
      <c r="N58" s="53"/>
      <c r="O58" s="53">
        <v>12393862</v>
      </c>
      <c r="P58" s="53"/>
      <c r="Q58" s="53">
        <v>3451736</v>
      </c>
      <c r="R58" s="53"/>
      <c r="S58" s="53">
        <v>0</v>
      </c>
      <c r="T58" s="53"/>
      <c r="U58" s="53">
        <v>7052403</v>
      </c>
      <c r="V58" s="53"/>
      <c r="W58" s="53">
        <f>SUM(Q58:U58)</f>
        <v>10504139</v>
      </c>
      <c r="X58" s="53"/>
      <c r="Y58" s="35" t="str">
        <f>+A58</f>
        <v>Columbiana</v>
      </c>
      <c r="AA58" s="35" t="s">
        <v>94</v>
      </c>
      <c r="AB58" s="35"/>
      <c r="AC58" s="53">
        <v>1329231</v>
      </c>
      <c r="AD58" s="53"/>
      <c r="AE58" s="53">
        <f>1123023-512073</f>
        <v>610950</v>
      </c>
      <c r="AF58" s="53"/>
      <c r="AG58" s="53">
        <v>512073</v>
      </c>
      <c r="AH58" s="53"/>
      <c r="AI58" s="45">
        <f>+AC58-AE58-AG58</f>
        <v>206208</v>
      </c>
      <c r="AJ58" s="45"/>
      <c r="AK58" s="53">
        <v>-285394</v>
      </c>
      <c r="AL58" s="45"/>
      <c r="AM58" s="53">
        <v>7460</v>
      </c>
      <c r="AN58" s="53"/>
      <c r="AO58" s="53">
        <v>0</v>
      </c>
      <c r="AP58" s="53"/>
      <c r="AQ58" s="53">
        <v>0</v>
      </c>
      <c r="AR58" s="53"/>
      <c r="AS58" s="45">
        <f t="shared" si="4"/>
        <v>-71726</v>
      </c>
      <c r="AT58" s="45"/>
      <c r="AU58" s="53">
        <v>0</v>
      </c>
      <c r="AV58" s="53"/>
      <c r="AW58" s="53">
        <v>0</v>
      </c>
      <c r="AX58" s="53"/>
      <c r="AY58" s="53">
        <f>+E58-K58</f>
        <v>6758048</v>
      </c>
      <c r="AZ58" s="53"/>
      <c r="BA58" s="35" t="str">
        <f>+Y58</f>
        <v>Columbiana</v>
      </c>
      <c r="BC58" s="35" t="s">
        <v>94</v>
      </c>
      <c r="BD58" s="53"/>
      <c r="BE58" s="53">
        <f>195000+4695000</f>
        <v>4890000</v>
      </c>
      <c r="BF58" s="53"/>
      <c r="BG58" s="53">
        <v>0</v>
      </c>
      <c r="BH58" s="53"/>
      <c r="BI58" s="53">
        <v>325755</v>
      </c>
      <c r="BJ58" s="53"/>
      <c r="BK58" s="53">
        <v>0</v>
      </c>
      <c r="BL58" s="53"/>
      <c r="BM58" s="53">
        <f t="shared" si="19"/>
        <v>5215755</v>
      </c>
      <c r="BN58" s="54" t="s">
        <v>347</v>
      </c>
      <c r="BO58" s="35"/>
      <c r="BR58" s="51"/>
      <c r="BS58" s="53"/>
      <c r="BT58" s="53"/>
      <c r="BU58" s="53"/>
      <c r="BV58" s="53"/>
      <c r="BW58" s="45"/>
      <c r="BX58" s="45"/>
      <c r="BY58" s="53"/>
      <c r="BZ58" s="53"/>
      <c r="CA58" s="53"/>
      <c r="CB58" s="53"/>
      <c r="CC58" s="53"/>
      <c r="CD58" s="53"/>
      <c r="CE58" s="53"/>
      <c r="CF58" s="35"/>
      <c r="CH58" s="35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4"/>
      <c r="CT58" s="35"/>
    </row>
    <row r="59" spans="1:98" s="55" customFormat="1" ht="12.75" customHeight="1">
      <c r="A59" s="35" t="s">
        <v>78</v>
      </c>
      <c r="B59" s="51"/>
      <c r="C59" s="35" t="s">
        <v>19</v>
      </c>
      <c r="D59" s="44"/>
      <c r="E59" s="53">
        <v>472304</v>
      </c>
      <c r="F59" s="53"/>
      <c r="G59" s="53">
        <v>10095046</v>
      </c>
      <c r="H59" s="53"/>
      <c r="I59" s="53">
        <v>10567350</v>
      </c>
      <c r="J59" s="53"/>
      <c r="K59" s="53">
        <f t="shared" si="1"/>
        <v>836616</v>
      </c>
      <c r="L59" s="53"/>
      <c r="M59" s="53">
        <v>4176645</v>
      </c>
      <c r="N59" s="53"/>
      <c r="O59" s="53">
        <v>5013261</v>
      </c>
      <c r="P59" s="53"/>
      <c r="Q59" s="53">
        <v>5469498</v>
      </c>
      <c r="R59" s="53"/>
      <c r="S59" s="53">
        <v>0</v>
      </c>
      <c r="T59" s="53"/>
      <c r="U59" s="53">
        <v>84591</v>
      </c>
      <c r="V59" s="53"/>
      <c r="W59" s="53">
        <f t="shared" si="20"/>
        <v>5554089</v>
      </c>
      <c r="X59" s="53"/>
      <c r="Y59" s="35" t="s">
        <v>78</v>
      </c>
      <c r="AA59" s="35" t="s">
        <v>19</v>
      </c>
      <c r="AB59" s="35"/>
      <c r="AC59" s="53">
        <v>2005083</v>
      </c>
      <c r="AD59" s="53"/>
      <c r="AE59" s="53">
        <f>1685190-308253</f>
        <v>1376937</v>
      </c>
      <c r="AF59" s="53"/>
      <c r="AG59" s="53">
        <v>308253</v>
      </c>
      <c r="AH59" s="53"/>
      <c r="AI59" s="45">
        <f t="shared" si="3"/>
        <v>319893</v>
      </c>
      <c r="AJ59" s="45"/>
      <c r="AK59" s="53">
        <v>319893</v>
      </c>
      <c r="AL59" s="45"/>
      <c r="AM59" s="53">
        <v>0</v>
      </c>
      <c r="AN59" s="53"/>
      <c r="AO59" s="53">
        <v>0</v>
      </c>
      <c r="AP59" s="53"/>
      <c r="AQ59" s="53">
        <v>16478</v>
      </c>
      <c r="AR59" s="53"/>
      <c r="AS59" s="45">
        <f t="shared" si="4"/>
        <v>656264</v>
      </c>
      <c r="AT59" s="45"/>
      <c r="AU59" s="53">
        <v>0</v>
      </c>
      <c r="AV59" s="53"/>
      <c r="AW59" s="53">
        <v>0</v>
      </c>
      <c r="AX59" s="53"/>
      <c r="AY59" s="53">
        <f t="shared" si="5"/>
        <v>-364312</v>
      </c>
      <c r="AZ59" s="53"/>
      <c r="BA59" s="35" t="s">
        <v>78</v>
      </c>
      <c r="BC59" s="35" t="s">
        <v>19</v>
      </c>
      <c r="BD59" s="53"/>
      <c r="BE59" s="53">
        <v>268376</v>
      </c>
      <c r="BF59" s="53"/>
      <c r="BG59" s="53">
        <v>0</v>
      </c>
      <c r="BH59" s="53"/>
      <c r="BI59" s="53">
        <v>0</v>
      </c>
      <c r="BJ59" s="53"/>
      <c r="BK59" s="53">
        <v>0</v>
      </c>
      <c r="BL59" s="53"/>
      <c r="BM59" s="53">
        <f t="shared" si="19"/>
        <v>268376</v>
      </c>
      <c r="BN59" s="54" t="s">
        <v>347</v>
      </c>
      <c r="BR59" s="51"/>
      <c r="BS59" s="53"/>
      <c r="BT59" s="53"/>
      <c r="BU59" s="53"/>
      <c r="BV59" s="53"/>
      <c r="BW59" s="53"/>
      <c r="BX59" s="45"/>
      <c r="BY59" s="45"/>
      <c r="BZ59" s="53"/>
      <c r="CA59" s="53"/>
      <c r="CB59" s="53"/>
      <c r="CC59" s="53"/>
      <c r="CD59" s="53"/>
      <c r="CE59" s="53"/>
      <c r="CF59" s="35"/>
      <c r="CH59" s="35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4"/>
    </row>
    <row r="60" spans="1:98" s="55" customFormat="1" ht="12.75" customHeight="1">
      <c r="A60" s="35" t="s">
        <v>79</v>
      </c>
      <c r="C60" s="35" t="s">
        <v>80</v>
      </c>
      <c r="D60" s="44"/>
      <c r="E60" s="53">
        <v>988598</v>
      </c>
      <c r="F60" s="53"/>
      <c r="G60" s="53">
        <v>5465556</v>
      </c>
      <c r="H60" s="53"/>
      <c r="I60" s="53">
        <v>6454154</v>
      </c>
      <c r="J60" s="53"/>
      <c r="K60" s="53">
        <f t="shared" si="1"/>
        <v>90490</v>
      </c>
      <c r="L60" s="53"/>
      <c r="M60" s="53">
        <v>194313</v>
      </c>
      <c r="N60" s="53"/>
      <c r="O60" s="53">
        <v>284803</v>
      </c>
      <c r="P60" s="53"/>
      <c r="Q60" s="53">
        <v>5258212</v>
      </c>
      <c r="R60" s="53"/>
      <c r="S60" s="53">
        <v>0</v>
      </c>
      <c r="T60" s="53"/>
      <c r="U60" s="53">
        <v>911139</v>
      </c>
      <c r="V60" s="53"/>
      <c r="W60" s="53">
        <f t="shared" si="20"/>
        <v>6169351</v>
      </c>
      <c r="X60" s="53"/>
      <c r="Y60" s="35" t="s">
        <v>79</v>
      </c>
      <c r="AA60" s="35" t="s">
        <v>80</v>
      </c>
      <c r="AB60" s="35"/>
      <c r="AC60" s="53">
        <v>884156</v>
      </c>
      <c r="AD60" s="53"/>
      <c r="AE60" s="53">
        <f>1153186-184007</f>
        <v>969179</v>
      </c>
      <c r="AF60" s="53"/>
      <c r="AG60" s="53">
        <v>184007</v>
      </c>
      <c r="AH60" s="53"/>
      <c r="AI60" s="45">
        <f t="shared" si="3"/>
        <v>-269030</v>
      </c>
      <c r="AJ60" s="45"/>
      <c r="AK60" s="53">
        <v>3695</v>
      </c>
      <c r="AL60" s="45"/>
      <c r="AM60" s="53">
        <v>0</v>
      </c>
      <c r="AN60" s="53"/>
      <c r="AO60" s="53">
        <v>0</v>
      </c>
      <c r="AP60" s="53"/>
      <c r="AQ60" s="53">
        <v>0</v>
      </c>
      <c r="AR60" s="53"/>
      <c r="AS60" s="45">
        <f t="shared" si="4"/>
        <v>-265335</v>
      </c>
      <c r="AT60" s="45"/>
      <c r="AU60" s="53">
        <v>0</v>
      </c>
      <c r="AV60" s="53"/>
      <c r="AW60" s="53">
        <v>0</v>
      </c>
      <c r="AX60" s="53"/>
      <c r="AY60" s="53">
        <f t="shared" si="5"/>
        <v>898108</v>
      </c>
      <c r="AZ60" s="53"/>
      <c r="BA60" s="35" t="s">
        <v>79</v>
      </c>
      <c r="BC60" s="35" t="s">
        <v>80</v>
      </c>
      <c r="BD60" s="53"/>
      <c r="BE60" s="53">
        <v>0</v>
      </c>
      <c r="BF60" s="53"/>
      <c r="BG60" s="53">
        <v>0</v>
      </c>
      <c r="BH60" s="53"/>
      <c r="BI60" s="53">
        <v>0</v>
      </c>
      <c r="BJ60" s="53"/>
      <c r="BK60" s="53">
        <v>0</v>
      </c>
      <c r="BL60" s="53"/>
      <c r="BM60" s="53">
        <f t="shared" si="19"/>
        <v>0</v>
      </c>
      <c r="BN60" s="54" t="s">
        <v>347</v>
      </c>
      <c r="BR60" s="51"/>
      <c r="BS60" s="53"/>
      <c r="BT60" s="53"/>
      <c r="BU60" s="53"/>
      <c r="BV60" s="53"/>
      <c r="BW60" s="53"/>
      <c r="BX60" s="45"/>
      <c r="BY60" s="45"/>
      <c r="BZ60" s="53"/>
      <c r="CA60" s="53"/>
      <c r="CB60" s="53"/>
      <c r="CC60" s="53"/>
      <c r="CD60" s="53"/>
      <c r="CE60" s="53"/>
      <c r="CF60" s="35"/>
      <c r="CH60" s="35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4"/>
    </row>
    <row r="61" spans="1:98" s="55" customFormat="1" ht="12.75" customHeight="1">
      <c r="A61" s="35" t="s">
        <v>81</v>
      </c>
      <c r="B61" s="51"/>
      <c r="C61" s="35" t="s">
        <v>81</v>
      </c>
      <c r="D61" s="44"/>
      <c r="E61" s="53">
        <v>986433</v>
      </c>
      <c r="F61" s="53"/>
      <c r="G61" s="53">
        <v>9154743</v>
      </c>
      <c r="H61" s="53"/>
      <c r="I61" s="53">
        <v>10141176</v>
      </c>
      <c r="J61" s="53"/>
      <c r="K61" s="53">
        <f t="shared" si="1"/>
        <v>527078</v>
      </c>
      <c r="L61" s="53"/>
      <c r="M61" s="53">
        <v>7815322</v>
      </c>
      <c r="N61" s="53"/>
      <c r="O61" s="53">
        <v>8342400</v>
      </c>
      <c r="P61" s="53"/>
      <c r="Q61" s="53">
        <v>1116824</v>
      </c>
      <c r="R61" s="53"/>
      <c r="S61" s="53">
        <v>0</v>
      </c>
      <c r="T61" s="53"/>
      <c r="U61" s="53">
        <v>681952</v>
      </c>
      <c r="V61" s="53"/>
      <c r="W61" s="53">
        <f t="shared" si="20"/>
        <v>1798776</v>
      </c>
      <c r="X61" s="53"/>
      <c r="Y61" s="35" t="s">
        <v>81</v>
      </c>
      <c r="AA61" s="35" t="s">
        <v>81</v>
      </c>
      <c r="AB61" s="35"/>
      <c r="AC61" s="53">
        <v>1676113</v>
      </c>
      <c r="AD61" s="53"/>
      <c r="AE61" s="53">
        <f>1609298-197654</f>
        <v>1411644</v>
      </c>
      <c r="AF61" s="53"/>
      <c r="AG61" s="53">
        <v>197654</v>
      </c>
      <c r="AH61" s="53"/>
      <c r="AI61" s="45">
        <f t="shared" si="3"/>
        <v>66815</v>
      </c>
      <c r="AJ61" s="45"/>
      <c r="AK61" s="53">
        <v>-9155</v>
      </c>
      <c r="AL61" s="45"/>
      <c r="AM61" s="53">
        <v>0</v>
      </c>
      <c r="AN61" s="53"/>
      <c r="AO61" s="53">
        <v>0</v>
      </c>
      <c r="AP61" s="53"/>
      <c r="AQ61" s="53">
        <v>0</v>
      </c>
      <c r="AR61" s="53"/>
      <c r="AS61" s="45">
        <f t="shared" si="4"/>
        <v>57660</v>
      </c>
      <c r="AT61" s="45"/>
      <c r="AU61" s="53">
        <v>0</v>
      </c>
      <c r="AV61" s="53"/>
      <c r="AW61" s="53">
        <v>0</v>
      </c>
      <c r="AX61" s="53"/>
      <c r="AY61" s="53">
        <f t="shared" si="5"/>
        <v>459355</v>
      </c>
      <c r="AZ61" s="53"/>
      <c r="BA61" s="35" t="s">
        <v>81</v>
      </c>
      <c r="BC61" s="35" t="s">
        <v>81</v>
      </c>
      <c r="BD61" s="53"/>
      <c r="BE61" s="53">
        <v>0</v>
      </c>
      <c r="BF61" s="53"/>
      <c r="BG61" s="53">
        <v>975000</v>
      </c>
      <c r="BH61" s="53"/>
      <c r="BI61" s="53">
        <v>0</v>
      </c>
      <c r="BJ61" s="53"/>
      <c r="BK61" s="53">
        <v>0</v>
      </c>
      <c r="BL61" s="53"/>
      <c r="BM61" s="53">
        <f t="shared" si="19"/>
        <v>975000</v>
      </c>
      <c r="BN61" s="54" t="s">
        <v>347</v>
      </c>
      <c r="BR61" s="51"/>
      <c r="BS61" s="53"/>
      <c r="BT61" s="53"/>
      <c r="BU61" s="53"/>
      <c r="BV61" s="53"/>
      <c r="BW61" s="53"/>
      <c r="BX61" s="45"/>
      <c r="BY61" s="45"/>
      <c r="BZ61" s="53"/>
      <c r="CA61" s="53"/>
      <c r="CB61" s="53"/>
      <c r="CC61" s="53"/>
      <c r="CD61" s="53"/>
      <c r="CE61" s="53"/>
      <c r="CF61" s="44"/>
      <c r="CH61" s="44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4"/>
    </row>
    <row r="62" spans="1:98" s="55" customFormat="1" ht="12.75" customHeight="1">
      <c r="A62" s="47" t="s">
        <v>465</v>
      </c>
      <c r="B62" s="47"/>
      <c r="C62" s="47" t="s">
        <v>57</v>
      </c>
      <c r="D62" s="44"/>
      <c r="E62" s="53">
        <v>235611</v>
      </c>
      <c r="F62" s="53"/>
      <c r="G62" s="53">
        <v>3349091</v>
      </c>
      <c r="H62" s="53"/>
      <c r="I62" s="53">
        <v>3584702</v>
      </c>
      <c r="J62" s="53"/>
      <c r="K62" s="53">
        <f t="shared" si="1"/>
        <v>287095</v>
      </c>
      <c r="L62" s="53"/>
      <c r="M62" s="53">
        <v>1410082</v>
      </c>
      <c r="N62" s="53"/>
      <c r="O62" s="53">
        <v>1697177</v>
      </c>
      <c r="P62" s="53"/>
      <c r="Q62" s="53">
        <v>1862639</v>
      </c>
      <c r="R62" s="53"/>
      <c r="S62" s="53">
        <v>0</v>
      </c>
      <c r="T62" s="53"/>
      <c r="U62" s="53">
        <v>24886</v>
      </c>
      <c r="V62" s="53"/>
      <c r="W62" s="53">
        <f t="shared" si="20"/>
        <v>1887525</v>
      </c>
      <c r="X62" s="53"/>
      <c r="Y62" s="47" t="s">
        <v>465</v>
      </c>
      <c r="Z62" s="47"/>
      <c r="AA62" s="47" t="s">
        <v>57</v>
      </c>
      <c r="AB62" s="35"/>
      <c r="AC62" s="53">
        <v>712328</v>
      </c>
      <c r="AD62" s="53"/>
      <c r="AE62" s="53">
        <f>657282-117410</f>
        <v>539872</v>
      </c>
      <c r="AF62" s="53"/>
      <c r="AG62" s="53">
        <v>117410</v>
      </c>
      <c r="AH62" s="53"/>
      <c r="AI62" s="45">
        <f t="shared" si="3"/>
        <v>55046</v>
      </c>
      <c r="AJ62" s="45"/>
      <c r="AK62" s="53">
        <v>-37539</v>
      </c>
      <c r="AL62" s="45"/>
      <c r="AM62" s="53">
        <v>0</v>
      </c>
      <c r="AN62" s="53"/>
      <c r="AO62" s="53">
        <v>0</v>
      </c>
      <c r="AP62" s="53"/>
      <c r="AQ62" s="53">
        <v>0</v>
      </c>
      <c r="AR62" s="53"/>
      <c r="AS62" s="45">
        <f t="shared" si="4"/>
        <v>17507</v>
      </c>
      <c r="AT62" s="45"/>
      <c r="AU62" s="53">
        <v>0</v>
      </c>
      <c r="AV62" s="53"/>
      <c r="AW62" s="53">
        <v>0</v>
      </c>
      <c r="AX62" s="53"/>
      <c r="AY62" s="53">
        <f t="shared" si="5"/>
        <v>-51484</v>
      </c>
      <c r="AZ62" s="53"/>
      <c r="BA62" s="47" t="s">
        <v>465</v>
      </c>
      <c r="BB62" s="47"/>
      <c r="BC62" s="47" t="s">
        <v>57</v>
      </c>
      <c r="BD62" s="53"/>
      <c r="BE62" s="53">
        <v>0</v>
      </c>
      <c r="BF62" s="53"/>
      <c r="BG62" s="53">
        <v>420000</v>
      </c>
      <c r="BH62" s="53"/>
      <c r="BI62" s="53">
        <f>410123+51497</f>
        <v>461620</v>
      </c>
      <c r="BJ62" s="53"/>
      <c r="BK62" s="53">
        <v>0</v>
      </c>
      <c r="BL62" s="53"/>
      <c r="BM62" s="53">
        <f t="shared" si="19"/>
        <v>881620</v>
      </c>
      <c r="BN62" s="54" t="s">
        <v>347</v>
      </c>
      <c r="BR62" s="51"/>
      <c r="BS62" s="53"/>
      <c r="BT62" s="53"/>
      <c r="BU62" s="53"/>
      <c r="BV62" s="53"/>
      <c r="BW62" s="53"/>
      <c r="BX62" s="45"/>
      <c r="BY62" s="45"/>
      <c r="BZ62" s="53"/>
      <c r="CA62" s="53"/>
      <c r="CB62" s="53"/>
      <c r="CC62" s="53"/>
      <c r="CD62" s="53"/>
      <c r="CE62" s="53"/>
      <c r="CF62" s="35"/>
      <c r="CH62" s="35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4"/>
    </row>
    <row r="63" spans="1:98" s="55" customFormat="1" ht="12.75" customHeight="1">
      <c r="A63" s="35" t="s">
        <v>82</v>
      </c>
      <c r="B63" s="51"/>
      <c r="C63" s="35" t="s">
        <v>13</v>
      </c>
      <c r="D63" s="44"/>
      <c r="E63" s="53">
        <v>7836133</v>
      </c>
      <c r="F63" s="53"/>
      <c r="G63" s="53">
        <v>18495362</v>
      </c>
      <c r="H63" s="53"/>
      <c r="I63" s="53">
        <v>26331495</v>
      </c>
      <c r="J63" s="53"/>
      <c r="K63" s="53">
        <f t="shared" si="1"/>
        <v>1647062</v>
      </c>
      <c r="L63" s="53"/>
      <c r="M63" s="53">
        <v>8277379</v>
      </c>
      <c r="N63" s="53"/>
      <c r="O63" s="53">
        <v>9924441</v>
      </c>
      <c r="P63" s="53"/>
      <c r="Q63" s="53">
        <v>13630433</v>
      </c>
      <c r="R63" s="53"/>
      <c r="S63" s="53">
        <v>0</v>
      </c>
      <c r="T63" s="53"/>
      <c r="U63" s="53">
        <v>2776621</v>
      </c>
      <c r="V63" s="53"/>
      <c r="W63" s="53">
        <f t="shared" ref="W63:W64" si="21">SUM(Q63:U63)</f>
        <v>16407054</v>
      </c>
      <c r="X63" s="53"/>
      <c r="Y63" s="35" t="s">
        <v>82</v>
      </c>
      <c r="AA63" s="35" t="s">
        <v>13</v>
      </c>
      <c r="AB63" s="35"/>
      <c r="AC63" s="53">
        <v>6343298</v>
      </c>
      <c r="AD63" s="53"/>
      <c r="AE63" s="53">
        <f>5289153-606581</f>
        <v>4682572</v>
      </c>
      <c r="AF63" s="53"/>
      <c r="AG63" s="53">
        <v>606581</v>
      </c>
      <c r="AH63" s="53"/>
      <c r="AI63" s="45">
        <f t="shared" si="3"/>
        <v>1054145</v>
      </c>
      <c r="AJ63" s="45"/>
      <c r="AK63" s="53">
        <v>-157738</v>
      </c>
      <c r="AL63" s="45"/>
      <c r="AM63" s="53">
        <v>0</v>
      </c>
      <c r="AN63" s="53"/>
      <c r="AO63" s="53">
        <v>0</v>
      </c>
      <c r="AP63" s="53"/>
      <c r="AQ63" s="53">
        <v>0</v>
      </c>
      <c r="AR63" s="53"/>
      <c r="AS63" s="45">
        <f t="shared" si="4"/>
        <v>896407</v>
      </c>
      <c r="AT63" s="45"/>
      <c r="AU63" s="53">
        <v>0</v>
      </c>
      <c r="AV63" s="53"/>
      <c r="AW63" s="53">
        <v>0</v>
      </c>
      <c r="AX63" s="53"/>
      <c r="AY63" s="53">
        <f t="shared" si="5"/>
        <v>6189071</v>
      </c>
      <c r="AZ63" s="53"/>
      <c r="BA63" s="35" t="s">
        <v>82</v>
      </c>
      <c r="BC63" s="35" t="s">
        <v>13</v>
      </c>
      <c r="BD63" s="53"/>
      <c r="BE63" s="53">
        <f>1446403+1318373</f>
        <v>2764776</v>
      </c>
      <c r="BF63" s="53"/>
      <c r="BG63" s="53">
        <v>0</v>
      </c>
      <c r="BH63" s="53"/>
      <c r="BI63" s="53">
        <v>0</v>
      </c>
      <c r="BJ63" s="53"/>
      <c r="BK63" s="53">
        <v>0</v>
      </c>
      <c r="BL63" s="53"/>
      <c r="BM63" s="53">
        <f t="shared" si="19"/>
        <v>2764776</v>
      </c>
      <c r="BN63" s="54" t="s">
        <v>347</v>
      </c>
      <c r="BR63" s="51"/>
      <c r="BS63" s="53"/>
      <c r="BT63" s="53"/>
      <c r="BU63" s="53"/>
      <c r="BV63" s="53"/>
      <c r="BW63" s="53"/>
      <c r="BX63" s="45"/>
      <c r="BY63" s="45"/>
      <c r="BZ63" s="53"/>
      <c r="CA63" s="53"/>
      <c r="CB63" s="53"/>
      <c r="CC63" s="53"/>
      <c r="CD63" s="53"/>
      <c r="CE63" s="53"/>
      <c r="CF63" s="35"/>
      <c r="CH63" s="35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4"/>
    </row>
    <row r="64" spans="1:98" s="55" customFormat="1" ht="12.75" customHeight="1">
      <c r="A64" s="35" t="s">
        <v>83</v>
      </c>
      <c r="B64" s="51"/>
      <c r="C64" s="35" t="s">
        <v>66</v>
      </c>
      <c r="D64" s="44"/>
      <c r="E64" s="53">
        <v>28205518</v>
      </c>
      <c r="F64" s="53"/>
      <c r="G64" s="53">
        <v>96063768</v>
      </c>
      <c r="H64" s="53"/>
      <c r="I64" s="53">
        <v>124269286</v>
      </c>
      <c r="J64" s="53"/>
      <c r="K64" s="53">
        <f t="shared" si="1"/>
        <v>5489995</v>
      </c>
      <c r="L64" s="53"/>
      <c r="M64" s="53">
        <v>12087118</v>
      </c>
      <c r="N64" s="53"/>
      <c r="O64" s="53">
        <v>17577113</v>
      </c>
      <c r="P64" s="53"/>
      <c r="Q64" s="53">
        <v>83689404</v>
      </c>
      <c r="R64" s="53"/>
      <c r="S64" s="53">
        <v>0</v>
      </c>
      <c r="T64" s="53"/>
      <c r="U64" s="53">
        <v>23002769</v>
      </c>
      <c r="V64" s="53"/>
      <c r="W64" s="53">
        <f t="shared" si="21"/>
        <v>106692173</v>
      </c>
      <c r="X64" s="53"/>
      <c r="Y64" s="35" t="s">
        <v>83</v>
      </c>
      <c r="AA64" s="35" t="s">
        <v>66</v>
      </c>
      <c r="AB64" s="35"/>
      <c r="AC64" s="53">
        <v>30398157</v>
      </c>
      <c r="AD64" s="53"/>
      <c r="AE64" s="53">
        <f>30455256-7463018</f>
        <v>22992238</v>
      </c>
      <c r="AF64" s="53"/>
      <c r="AG64" s="53">
        <v>7463018</v>
      </c>
      <c r="AH64" s="53"/>
      <c r="AI64" s="45">
        <f t="shared" si="3"/>
        <v>-57099</v>
      </c>
      <c r="AJ64" s="45"/>
      <c r="AK64" s="53">
        <v>-739801</v>
      </c>
      <c r="AL64" s="45"/>
      <c r="AM64" s="53">
        <v>0</v>
      </c>
      <c r="AN64" s="53"/>
      <c r="AO64" s="53">
        <v>0</v>
      </c>
      <c r="AP64" s="53"/>
      <c r="AQ64" s="53">
        <v>0</v>
      </c>
      <c r="AR64" s="53"/>
      <c r="AS64" s="45">
        <f t="shared" si="4"/>
        <v>-796900</v>
      </c>
      <c r="AT64" s="45"/>
      <c r="AU64" s="53">
        <v>0</v>
      </c>
      <c r="AV64" s="53"/>
      <c r="AW64" s="53">
        <v>0</v>
      </c>
      <c r="AX64" s="53"/>
      <c r="AY64" s="53">
        <f t="shared" si="5"/>
        <v>22715523</v>
      </c>
      <c r="AZ64" s="53"/>
      <c r="BA64" s="35" t="s">
        <v>83</v>
      </c>
      <c r="BC64" s="35" t="s">
        <v>66</v>
      </c>
      <c r="BD64" s="53"/>
      <c r="BE64" s="53">
        <v>0</v>
      </c>
      <c r="BF64" s="53"/>
      <c r="BG64" s="53">
        <v>0</v>
      </c>
      <c r="BH64" s="53"/>
      <c r="BI64" s="53">
        <v>0</v>
      </c>
      <c r="BJ64" s="53"/>
      <c r="BK64" s="53">
        <v>0</v>
      </c>
      <c r="BL64" s="53"/>
      <c r="BM64" s="53">
        <f t="shared" si="19"/>
        <v>0</v>
      </c>
      <c r="BN64" s="54" t="s">
        <v>347</v>
      </c>
      <c r="BR64" s="51"/>
      <c r="BS64" s="53"/>
      <c r="BT64" s="53"/>
      <c r="BU64" s="53"/>
      <c r="BV64" s="53"/>
      <c r="BW64" s="45"/>
      <c r="BX64" s="45"/>
      <c r="BY64" s="53"/>
      <c r="BZ64" s="53"/>
      <c r="CA64" s="53"/>
      <c r="CB64" s="53"/>
      <c r="CC64" s="53"/>
      <c r="CD64" s="53"/>
      <c r="CE64" s="53"/>
      <c r="CF64" s="35"/>
      <c r="CH64" s="35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4"/>
    </row>
    <row r="65" spans="1:105" s="143" customFormat="1" ht="12.75" hidden="1" customHeight="1">
      <c r="A65" s="126" t="s">
        <v>84</v>
      </c>
      <c r="B65" s="124"/>
      <c r="C65" s="126" t="s">
        <v>45</v>
      </c>
      <c r="D65" s="121"/>
      <c r="E65" s="140"/>
      <c r="F65" s="140"/>
      <c r="G65" s="140"/>
      <c r="H65" s="140"/>
      <c r="I65" s="140"/>
      <c r="J65" s="140"/>
      <c r="K65" s="140">
        <f t="shared" si="1"/>
        <v>0</v>
      </c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>
        <f t="shared" si="18"/>
        <v>0</v>
      </c>
      <c r="X65" s="140"/>
      <c r="Y65" s="126" t="s">
        <v>84</v>
      </c>
      <c r="AA65" s="126" t="s">
        <v>45</v>
      </c>
      <c r="AB65" s="126"/>
      <c r="AC65" s="140"/>
      <c r="AD65" s="140"/>
      <c r="AE65" s="140"/>
      <c r="AF65" s="140"/>
      <c r="AG65" s="140"/>
      <c r="AH65" s="140"/>
      <c r="AI65" s="127">
        <f t="shared" si="3"/>
        <v>0</v>
      </c>
      <c r="AJ65" s="127"/>
      <c r="AK65" s="140"/>
      <c r="AL65" s="127"/>
      <c r="AM65" s="140"/>
      <c r="AN65" s="140"/>
      <c r="AO65" s="140"/>
      <c r="AP65" s="140"/>
      <c r="AQ65" s="140"/>
      <c r="AR65" s="140"/>
      <c r="AS65" s="45">
        <f t="shared" si="4"/>
        <v>0</v>
      </c>
      <c r="AT65" s="127"/>
      <c r="AU65" s="140">
        <v>0</v>
      </c>
      <c r="AV65" s="140"/>
      <c r="AW65" s="140">
        <v>0</v>
      </c>
      <c r="AX65" s="140"/>
      <c r="AY65" s="140">
        <f t="shared" si="5"/>
        <v>0</v>
      </c>
      <c r="AZ65" s="140"/>
      <c r="BA65" s="126" t="s">
        <v>84</v>
      </c>
      <c r="BC65" s="126" t="s">
        <v>45</v>
      </c>
      <c r="BD65" s="140"/>
      <c r="BE65" s="140"/>
      <c r="BF65" s="140"/>
      <c r="BG65" s="140"/>
      <c r="BH65" s="140"/>
      <c r="BI65" s="140"/>
      <c r="BJ65" s="140"/>
      <c r="BK65" s="140"/>
      <c r="BL65" s="140"/>
      <c r="BM65" s="140">
        <f t="shared" si="19"/>
        <v>0</v>
      </c>
      <c r="BN65" s="142" t="s">
        <v>347</v>
      </c>
      <c r="BR65" s="124"/>
      <c r="BS65" s="140"/>
      <c r="BT65" s="140"/>
      <c r="BU65" s="140"/>
      <c r="BV65" s="140"/>
      <c r="BW65" s="127"/>
      <c r="BX65" s="127"/>
      <c r="BY65" s="140"/>
      <c r="BZ65" s="140"/>
      <c r="CA65" s="140"/>
      <c r="CB65" s="140"/>
      <c r="CC65" s="140"/>
      <c r="CD65" s="140"/>
      <c r="CE65" s="140"/>
      <c r="CF65" s="126"/>
      <c r="CH65" s="126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2"/>
    </row>
    <row r="66" spans="1:105" s="55" customFormat="1" ht="12.75" hidden="1" customHeight="1">
      <c r="A66" s="35" t="s">
        <v>461</v>
      </c>
      <c r="B66" s="51"/>
      <c r="C66" s="35" t="s">
        <v>85</v>
      </c>
      <c r="D66" s="44"/>
      <c r="E66" s="53"/>
      <c r="F66" s="53"/>
      <c r="G66" s="53"/>
      <c r="H66" s="53"/>
      <c r="I66" s="53"/>
      <c r="J66" s="53"/>
      <c r="K66" s="53">
        <f t="shared" si="1"/>
        <v>0</v>
      </c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>
        <f t="shared" si="18"/>
        <v>0</v>
      </c>
      <c r="X66" s="53"/>
      <c r="Y66" s="35" t="s">
        <v>85</v>
      </c>
      <c r="AA66" s="35" t="s">
        <v>85</v>
      </c>
      <c r="AB66" s="35"/>
      <c r="AC66" s="53"/>
      <c r="AD66" s="53"/>
      <c r="AE66" s="53"/>
      <c r="AF66" s="53"/>
      <c r="AG66" s="53"/>
      <c r="AH66" s="53"/>
      <c r="AI66" s="45">
        <f t="shared" si="3"/>
        <v>0</v>
      </c>
      <c r="AJ66" s="45"/>
      <c r="AK66" s="53"/>
      <c r="AL66" s="45"/>
      <c r="AM66" s="53">
        <v>0</v>
      </c>
      <c r="AN66" s="53"/>
      <c r="AO66" s="53">
        <v>0</v>
      </c>
      <c r="AP66" s="53"/>
      <c r="AQ66" s="53">
        <v>0</v>
      </c>
      <c r="AR66" s="53"/>
      <c r="AS66" s="45">
        <f t="shared" si="4"/>
        <v>0</v>
      </c>
      <c r="AT66" s="45"/>
      <c r="AU66" s="53">
        <v>0</v>
      </c>
      <c r="AV66" s="53"/>
      <c r="AW66" s="53">
        <v>0</v>
      </c>
      <c r="AX66" s="53"/>
      <c r="AY66" s="53">
        <f t="shared" si="5"/>
        <v>0</v>
      </c>
      <c r="AZ66" s="53"/>
      <c r="BA66" s="35" t="s">
        <v>85</v>
      </c>
      <c r="BC66" s="35" t="s">
        <v>85</v>
      </c>
      <c r="BD66" s="53"/>
      <c r="BE66" s="53"/>
      <c r="BF66" s="53"/>
      <c r="BG66" s="53"/>
      <c r="BH66" s="53"/>
      <c r="BI66" s="53"/>
      <c r="BJ66" s="53"/>
      <c r="BK66" s="53"/>
      <c r="BL66" s="53"/>
      <c r="BM66" s="53">
        <f t="shared" si="19"/>
        <v>0</v>
      </c>
      <c r="BN66" s="54" t="s">
        <v>347</v>
      </c>
      <c r="BR66" s="51"/>
      <c r="BS66" s="53"/>
      <c r="BT66" s="53"/>
      <c r="BU66" s="53"/>
      <c r="BV66" s="53"/>
      <c r="BW66" s="45"/>
      <c r="BX66" s="45"/>
      <c r="BY66" s="53"/>
      <c r="BZ66" s="53"/>
      <c r="CA66" s="53"/>
      <c r="CB66" s="53"/>
      <c r="CC66" s="53"/>
      <c r="CD66" s="53"/>
      <c r="CE66" s="53"/>
      <c r="CF66" s="35"/>
      <c r="CH66" s="35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4"/>
    </row>
    <row r="67" spans="1:105" s="55" customFormat="1" ht="12.75" customHeight="1">
      <c r="A67" s="35" t="s">
        <v>86</v>
      </c>
      <c r="B67" s="51"/>
      <c r="C67" s="35" t="s">
        <v>86</v>
      </c>
      <c r="D67" s="44"/>
      <c r="E67" s="53">
        <v>6197483</v>
      </c>
      <c r="F67" s="53"/>
      <c r="G67" s="53">
        <v>71364085</v>
      </c>
      <c r="H67" s="53"/>
      <c r="I67" s="53">
        <v>77561568</v>
      </c>
      <c r="J67" s="53"/>
      <c r="K67" s="53">
        <f t="shared" si="1"/>
        <v>2148811</v>
      </c>
      <c r="L67" s="53"/>
      <c r="M67" s="53">
        <v>43805937</v>
      </c>
      <c r="N67" s="53"/>
      <c r="O67" s="53">
        <v>45954748</v>
      </c>
      <c r="P67" s="53"/>
      <c r="Q67" s="53">
        <v>26222018</v>
      </c>
      <c r="R67" s="53"/>
      <c r="S67" s="53">
        <v>0</v>
      </c>
      <c r="T67" s="53"/>
      <c r="U67" s="53">
        <v>5384802</v>
      </c>
      <c r="V67" s="53"/>
      <c r="W67" s="53">
        <f t="shared" si="18"/>
        <v>31606820</v>
      </c>
      <c r="X67" s="53"/>
      <c r="Y67" s="35" t="s">
        <v>86</v>
      </c>
      <c r="AA67" s="35" t="s">
        <v>86</v>
      </c>
      <c r="AB67" s="35"/>
      <c r="AC67" s="53">
        <v>6754971</v>
      </c>
      <c r="AD67" s="53"/>
      <c r="AE67" s="53">
        <f>5287803-1976289</f>
        <v>3311514</v>
      </c>
      <c r="AF67" s="53"/>
      <c r="AG67" s="53">
        <v>1976289</v>
      </c>
      <c r="AH67" s="53"/>
      <c r="AI67" s="45">
        <f t="shared" si="3"/>
        <v>1467168</v>
      </c>
      <c r="AJ67" s="45"/>
      <c r="AK67" s="53">
        <v>-1309092</v>
      </c>
      <c r="AL67" s="45"/>
      <c r="AM67" s="53">
        <v>0</v>
      </c>
      <c r="AN67" s="53"/>
      <c r="AO67" s="53">
        <v>0</v>
      </c>
      <c r="AP67" s="53"/>
      <c r="AQ67" s="53">
        <v>854886</v>
      </c>
      <c r="AR67" s="53"/>
      <c r="AS67" s="45">
        <f t="shared" si="4"/>
        <v>1012962</v>
      </c>
      <c r="AT67" s="45"/>
      <c r="AU67" s="53">
        <v>0</v>
      </c>
      <c r="AV67" s="53"/>
      <c r="AW67" s="53">
        <v>0</v>
      </c>
      <c r="AX67" s="53"/>
      <c r="AY67" s="53">
        <f t="shared" si="5"/>
        <v>4048672</v>
      </c>
      <c r="AZ67" s="53"/>
      <c r="BA67" s="35" t="s">
        <v>86</v>
      </c>
      <c r="BC67" s="35" t="s">
        <v>86</v>
      </c>
      <c r="BD67" s="53"/>
      <c r="BE67" s="53">
        <f>4930000+951274</f>
        <v>5881274</v>
      </c>
      <c r="BF67" s="53"/>
      <c r="BG67" s="53">
        <v>0</v>
      </c>
      <c r="BH67" s="53"/>
      <c r="BI67" s="53">
        <v>24250954</v>
      </c>
      <c r="BJ67" s="53"/>
      <c r="BK67" s="53">
        <v>0</v>
      </c>
      <c r="BL67" s="53"/>
      <c r="BM67" s="53">
        <f t="shared" si="19"/>
        <v>30132228</v>
      </c>
      <c r="BN67" s="54" t="s">
        <v>347</v>
      </c>
      <c r="BR67" s="51"/>
      <c r="BS67" s="53"/>
      <c r="BT67" s="53"/>
      <c r="BU67" s="53"/>
      <c r="BV67" s="53"/>
      <c r="BW67" s="45"/>
      <c r="BX67" s="45"/>
      <c r="BY67" s="53"/>
      <c r="BZ67" s="53"/>
      <c r="CA67" s="53"/>
      <c r="CB67" s="53"/>
      <c r="CC67" s="53"/>
      <c r="CD67" s="53"/>
      <c r="CE67" s="53"/>
      <c r="CF67" s="35"/>
      <c r="CH67" s="35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4"/>
    </row>
    <row r="68" spans="1:105" s="55" customFormat="1" ht="12.75" customHeight="1">
      <c r="A68" s="64" t="s">
        <v>87</v>
      </c>
      <c r="B68" s="90"/>
      <c r="C68" s="64" t="s">
        <v>88</v>
      </c>
      <c r="D68" s="46"/>
      <c r="E68" s="53">
        <v>2523485</v>
      </c>
      <c r="F68" s="53"/>
      <c r="G68" s="53">
        <v>33292459</v>
      </c>
      <c r="H68" s="53"/>
      <c r="I68" s="53">
        <v>35815944</v>
      </c>
      <c r="J68" s="53"/>
      <c r="K68" s="53">
        <f t="shared" si="1"/>
        <v>2113956</v>
      </c>
      <c r="L68" s="53"/>
      <c r="M68" s="53">
        <v>30986077</v>
      </c>
      <c r="N68" s="53"/>
      <c r="O68" s="53">
        <v>33100033</v>
      </c>
      <c r="P68" s="53"/>
      <c r="Q68" s="53">
        <v>383411</v>
      </c>
      <c r="R68" s="53"/>
      <c r="S68" s="53">
        <v>0</v>
      </c>
      <c r="T68" s="53"/>
      <c r="U68" s="53">
        <v>2332500</v>
      </c>
      <c r="V68" s="53"/>
      <c r="W68" s="53">
        <f t="shared" si="18"/>
        <v>2715911</v>
      </c>
      <c r="X68" s="79"/>
      <c r="Y68" s="64" t="s">
        <v>87</v>
      </c>
      <c r="Z68" s="90"/>
      <c r="AA68" s="64" t="s">
        <v>88</v>
      </c>
      <c r="AB68" s="64"/>
      <c r="AC68" s="53">
        <v>2849673</v>
      </c>
      <c r="AD68" s="53"/>
      <c r="AE68" s="53">
        <f>4354595-2626386</f>
        <v>1728209</v>
      </c>
      <c r="AF68" s="53"/>
      <c r="AG68" s="53">
        <v>2626386</v>
      </c>
      <c r="AH68" s="53"/>
      <c r="AI68" s="45">
        <f t="shared" si="3"/>
        <v>-1504922</v>
      </c>
      <c r="AJ68" s="45"/>
      <c r="AK68" s="53">
        <v>-446857</v>
      </c>
      <c r="AL68" s="45"/>
      <c r="AM68" s="53">
        <v>421974</v>
      </c>
      <c r="AN68" s="53"/>
      <c r="AO68" s="53">
        <v>124999</v>
      </c>
      <c r="AP68" s="53"/>
      <c r="AQ68" s="53">
        <v>267735</v>
      </c>
      <c r="AR68" s="53"/>
      <c r="AS68" s="45">
        <f t="shared" si="4"/>
        <v>-1387069</v>
      </c>
      <c r="AT68" s="45"/>
      <c r="AU68" s="53">
        <v>0</v>
      </c>
      <c r="AV68" s="53"/>
      <c r="AW68" s="53">
        <v>0</v>
      </c>
      <c r="AX68" s="53"/>
      <c r="AY68" s="53">
        <f t="shared" si="5"/>
        <v>409529</v>
      </c>
      <c r="AZ68" s="79"/>
      <c r="BA68" s="64" t="s">
        <v>87</v>
      </c>
      <c r="BB68" s="90"/>
      <c r="BC68" s="64" t="s">
        <v>88</v>
      </c>
      <c r="BD68" s="79"/>
      <c r="BE68" s="53">
        <v>0</v>
      </c>
      <c r="BF68" s="53"/>
      <c r="BG68" s="53">
        <v>0</v>
      </c>
      <c r="BH68" s="53"/>
      <c r="BI68" s="53">
        <v>0</v>
      </c>
      <c r="BJ68" s="53"/>
      <c r="BK68" s="53">
        <v>0</v>
      </c>
      <c r="BL68" s="53"/>
      <c r="BM68" s="53">
        <f t="shared" si="19"/>
        <v>0</v>
      </c>
      <c r="BN68" s="54" t="s">
        <v>347</v>
      </c>
      <c r="BO68" s="35"/>
      <c r="BP68" s="35"/>
      <c r="BR68" s="51"/>
      <c r="BS68" s="53"/>
      <c r="BT68" s="53"/>
      <c r="BU68" s="53"/>
      <c r="BV68" s="53"/>
      <c r="BW68" s="45"/>
      <c r="BX68" s="45"/>
      <c r="BY68" s="53"/>
      <c r="BZ68" s="53"/>
      <c r="CA68" s="53"/>
      <c r="CB68" s="53"/>
      <c r="CC68" s="53"/>
      <c r="CD68" s="53"/>
      <c r="CE68" s="53"/>
      <c r="CF68" s="35"/>
      <c r="CH68" s="35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4"/>
      <c r="CT68" s="35"/>
      <c r="CU68" s="35"/>
    </row>
    <row r="69" spans="1:105" s="55" customFormat="1" ht="12.75" customHeight="1">
      <c r="A69" s="35" t="s">
        <v>394</v>
      </c>
      <c r="B69" s="51"/>
      <c r="C69" s="35" t="s">
        <v>89</v>
      </c>
      <c r="D69" s="44"/>
      <c r="E69" s="53">
        <v>3836744</v>
      </c>
      <c r="F69" s="53"/>
      <c r="G69" s="53">
        <v>23275597</v>
      </c>
      <c r="H69" s="53"/>
      <c r="I69" s="53">
        <v>27112341</v>
      </c>
      <c r="J69" s="53"/>
      <c r="K69" s="53">
        <f t="shared" si="1"/>
        <v>277748</v>
      </c>
      <c r="L69" s="53"/>
      <c r="M69" s="53">
        <v>12788810</v>
      </c>
      <c r="N69" s="53"/>
      <c r="O69" s="53">
        <v>13066558</v>
      </c>
      <c r="P69" s="53"/>
      <c r="Q69" s="53">
        <v>10763909</v>
      </c>
      <c r="R69" s="53"/>
      <c r="S69" s="53">
        <v>0</v>
      </c>
      <c r="T69" s="53"/>
      <c r="U69" s="53">
        <v>3281874</v>
      </c>
      <c r="V69" s="53"/>
      <c r="W69" s="53">
        <f t="shared" si="18"/>
        <v>14045783</v>
      </c>
      <c r="X69" s="53"/>
      <c r="Y69" s="35" t="s">
        <v>394</v>
      </c>
      <c r="AA69" s="35" t="s">
        <v>89</v>
      </c>
      <c r="AB69" s="35"/>
      <c r="AC69" s="53">
        <v>3248905</v>
      </c>
      <c r="AD69" s="53"/>
      <c r="AE69" s="53">
        <f>2406028-422337</f>
        <v>1983691</v>
      </c>
      <c r="AF69" s="53"/>
      <c r="AG69" s="53">
        <v>422337</v>
      </c>
      <c r="AH69" s="53"/>
      <c r="AI69" s="45">
        <f t="shared" si="3"/>
        <v>842877</v>
      </c>
      <c r="AJ69" s="45"/>
      <c r="AK69" s="53">
        <v>-16819</v>
      </c>
      <c r="AL69" s="45"/>
      <c r="AM69" s="53">
        <v>0</v>
      </c>
      <c r="AN69" s="53"/>
      <c r="AO69" s="53">
        <v>0</v>
      </c>
      <c r="AP69" s="53"/>
      <c r="AQ69" s="53">
        <v>0</v>
      </c>
      <c r="AR69" s="53"/>
      <c r="AS69" s="45">
        <f t="shared" si="4"/>
        <v>826058</v>
      </c>
      <c r="AT69" s="45"/>
      <c r="AU69" s="53">
        <v>0</v>
      </c>
      <c r="AV69" s="53"/>
      <c r="AW69" s="53">
        <v>0</v>
      </c>
      <c r="AX69" s="53"/>
      <c r="AY69" s="53">
        <f t="shared" si="5"/>
        <v>3558996</v>
      </c>
      <c r="AZ69" s="53"/>
      <c r="BA69" s="35" t="s">
        <v>395</v>
      </c>
      <c r="BC69" s="35" t="s">
        <v>89</v>
      </c>
      <c r="BD69" s="53"/>
      <c r="BE69" s="53">
        <v>0</v>
      </c>
      <c r="BF69" s="53"/>
      <c r="BG69" s="53">
        <v>0</v>
      </c>
      <c r="BH69" s="53"/>
      <c r="BI69" s="53">
        <v>12511688</v>
      </c>
      <c r="BJ69" s="53"/>
      <c r="BK69" s="53">
        <v>0</v>
      </c>
      <c r="BL69" s="53"/>
      <c r="BM69" s="53">
        <v>0</v>
      </c>
      <c r="BN69" s="54" t="s">
        <v>347</v>
      </c>
      <c r="BR69" s="51"/>
      <c r="BS69" s="53"/>
      <c r="BT69" s="53"/>
      <c r="BU69" s="53"/>
      <c r="BV69" s="53"/>
      <c r="BW69" s="53"/>
      <c r="BX69" s="45"/>
      <c r="BY69" s="45"/>
      <c r="BZ69" s="53"/>
      <c r="CA69" s="53"/>
      <c r="CB69" s="53"/>
      <c r="CC69" s="53"/>
      <c r="CD69" s="53"/>
      <c r="CE69" s="53"/>
      <c r="CF69" s="35"/>
      <c r="CH69" s="35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4"/>
    </row>
    <row r="70" spans="1:105" s="55" customFormat="1" ht="12.75" customHeight="1">
      <c r="A70" s="35" t="s">
        <v>90</v>
      </c>
      <c r="B70" s="96"/>
      <c r="C70" s="35" t="s">
        <v>43</v>
      </c>
      <c r="D70" s="44"/>
      <c r="E70" s="53">
        <v>11056120</v>
      </c>
      <c r="F70" s="53"/>
      <c r="G70" s="53">
        <v>43906887</v>
      </c>
      <c r="H70" s="53"/>
      <c r="I70" s="53">
        <v>54963007</v>
      </c>
      <c r="J70" s="53"/>
      <c r="K70" s="53">
        <f t="shared" si="1"/>
        <v>1313824</v>
      </c>
      <c r="L70" s="53"/>
      <c r="M70" s="53">
        <v>10040209</v>
      </c>
      <c r="N70" s="53"/>
      <c r="O70" s="53">
        <v>11354033</v>
      </c>
      <c r="P70" s="53"/>
      <c r="Q70" s="53">
        <v>33020477</v>
      </c>
      <c r="R70" s="53"/>
      <c r="S70" s="53">
        <v>0</v>
      </c>
      <c r="T70" s="53"/>
      <c r="U70" s="53">
        <v>10588497</v>
      </c>
      <c r="V70" s="53"/>
      <c r="W70" s="53">
        <f t="shared" si="18"/>
        <v>43608974</v>
      </c>
      <c r="X70" s="53"/>
      <c r="Y70" s="35" t="s">
        <v>90</v>
      </c>
      <c r="AA70" s="35" t="s">
        <v>43</v>
      </c>
      <c r="AB70" s="35"/>
      <c r="AC70" s="53">
        <v>1997476</v>
      </c>
      <c r="AD70" s="53"/>
      <c r="AE70" s="53">
        <f>2790754-1197447</f>
        <v>1593307</v>
      </c>
      <c r="AF70" s="53"/>
      <c r="AG70" s="53">
        <v>1197447</v>
      </c>
      <c r="AH70" s="53"/>
      <c r="AI70" s="45">
        <f t="shared" si="3"/>
        <v>-793278</v>
      </c>
      <c r="AJ70" s="45"/>
      <c r="AK70" s="53">
        <v>-1417</v>
      </c>
      <c r="AL70" s="45"/>
      <c r="AM70" s="53">
        <v>0</v>
      </c>
      <c r="AN70" s="53"/>
      <c r="AO70" s="53">
        <v>0</v>
      </c>
      <c r="AP70" s="53"/>
      <c r="AQ70" s="53">
        <v>37249</v>
      </c>
      <c r="AR70" s="53"/>
      <c r="AS70" s="45">
        <f t="shared" si="4"/>
        <v>-757446</v>
      </c>
      <c r="AT70" s="45"/>
      <c r="AU70" s="53">
        <v>0</v>
      </c>
      <c r="AV70" s="53"/>
      <c r="AW70" s="53">
        <v>0</v>
      </c>
      <c r="AX70" s="53"/>
      <c r="AY70" s="53">
        <f t="shared" si="5"/>
        <v>9742296</v>
      </c>
      <c r="AZ70" s="53"/>
      <c r="BA70" s="35" t="s">
        <v>90</v>
      </c>
      <c r="BC70" s="35" t="s">
        <v>43</v>
      </c>
      <c r="BD70" s="53"/>
      <c r="BE70" s="53">
        <v>0</v>
      </c>
      <c r="BF70" s="53"/>
      <c r="BG70" s="53">
        <v>0</v>
      </c>
      <c r="BH70" s="53"/>
      <c r="BI70" s="53">
        <v>10886410</v>
      </c>
      <c r="BJ70" s="53"/>
      <c r="BK70" s="53">
        <v>77579</v>
      </c>
      <c r="BL70" s="53"/>
      <c r="BM70" s="53">
        <f t="shared" si="19"/>
        <v>10963989</v>
      </c>
      <c r="BN70" s="54" t="s">
        <v>347</v>
      </c>
      <c r="BR70" s="96"/>
      <c r="BS70" s="53"/>
      <c r="BT70" s="53"/>
      <c r="BU70" s="53"/>
      <c r="BV70" s="53"/>
      <c r="BW70" s="53"/>
      <c r="BX70" s="45"/>
      <c r="BY70" s="45"/>
      <c r="BZ70" s="53"/>
      <c r="CA70" s="53"/>
      <c r="CB70" s="53"/>
      <c r="CC70" s="53"/>
      <c r="CD70" s="53"/>
      <c r="CE70" s="53"/>
      <c r="CF70" s="35"/>
      <c r="CH70" s="35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4"/>
    </row>
    <row r="71" spans="1:105" s="55" customFormat="1" ht="12.75" customHeight="1">
      <c r="A71" s="35" t="s">
        <v>93</v>
      </c>
      <c r="B71" s="51"/>
      <c r="C71" s="35" t="s">
        <v>94</v>
      </c>
      <c r="D71" s="44"/>
      <c r="E71" s="53">
        <v>1140887</v>
      </c>
      <c r="F71" s="53"/>
      <c r="G71" s="53">
        <v>587058</v>
      </c>
      <c r="H71" s="53"/>
      <c r="I71" s="53">
        <v>587058</v>
      </c>
      <c r="J71" s="53"/>
      <c r="K71" s="53">
        <f t="shared" si="1"/>
        <v>180251</v>
      </c>
      <c r="L71" s="53"/>
      <c r="M71" s="53">
        <v>523539</v>
      </c>
      <c r="N71" s="53"/>
      <c r="O71" s="53">
        <v>703790</v>
      </c>
      <c r="P71" s="53"/>
      <c r="Q71" s="53">
        <v>7065</v>
      </c>
      <c r="R71" s="53"/>
      <c r="S71" s="53">
        <v>0</v>
      </c>
      <c r="T71" s="53"/>
      <c r="U71" s="53">
        <v>1017090</v>
      </c>
      <c r="V71" s="53"/>
      <c r="W71" s="53">
        <f t="shared" si="18"/>
        <v>1024155</v>
      </c>
      <c r="X71" s="53"/>
      <c r="Y71" s="35" t="s">
        <v>93</v>
      </c>
      <c r="AA71" s="35" t="s">
        <v>94</v>
      </c>
      <c r="AB71" s="35"/>
      <c r="AC71" s="53">
        <v>1150344</v>
      </c>
      <c r="AD71" s="53"/>
      <c r="AE71" s="53">
        <f>1034954-156347</f>
        <v>878607</v>
      </c>
      <c r="AF71" s="53"/>
      <c r="AG71" s="53">
        <v>156347</v>
      </c>
      <c r="AH71" s="53"/>
      <c r="AI71" s="45">
        <f t="shared" si="3"/>
        <v>115390</v>
      </c>
      <c r="AJ71" s="45"/>
      <c r="AK71" s="53">
        <v>-11450</v>
      </c>
      <c r="AL71" s="45"/>
      <c r="AM71" s="53">
        <v>0</v>
      </c>
      <c r="AN71" s="53"/>
      <c r="AO71" s="53">
        <v>171617</v>
      </c>
      <c r="AP71" s="53"/>
      <c r="AQ71" s="53">
        <v>0</v>
      </c>
      <c r="AR71" s="53"/>
      <c r="AS71" s="45">
        <f t="shared" si="4"/>
        <v>-67677</v>
      </c>
      <c r="AT71" s="45"/>
      <c r="AU71" s="53">
        <v>0</v>
      </c>
      <c r="AV71" s="53"/>
      <c r="AW71" s="53">
        <v>0</v>
      </c>
      <c r="AX71" s="53"/>
      <c r="AY71" s="53">
        <f t="shared" si="5"/>
        <v>960636</v>
      </c>
      <c r="AZ71" s="53"/>
      <c r="BA71" s="35" t="s">
        <v>93</v>
      </c>
      <c r="BC71" s="35" t="s">
        <v>94</v>
      </c>
      <c r="BD71" s="53"/>
      <c r="BE71" s="53">
        <v>61661</v>
      </c>
      <c r="BF71" s="53"/>
      <c r="BG71" s="53">
        <v>0</v>
      </c>
      <c r="BH71" s="53"/>
      <c r="BI71" s="53">
        <v>0</v>
      </c>
      <c r="BJ71" s="53"/>
      <c r="BK71" s="53">
        <v>439391</v>
      </c>
      <c r="BL71" s="53"/>
      <c r="BM71" s="53">
        <f t="shared" si="19"/>
        <v>501052</v>
      </c>
      <c r="BN71" s="54" t="s">
        <v>347</v>
      </c>
      <c r="BO71" s="35"/>
      <c r="BR71" s="51"/>
      <c r="BS71" s="53"/>
      <c r="BT71" s="53"/>
      <c r="BU71" s="53"/>
      <c r="BV71" s="53"/>
      <c r="BW71" s="45"/>
      <c r="BX71" s="45"/>
      <c r="BY71" s="53"/>
      <c r="BZ71" s="53"/>
      <c r="CA71" s="53"/>
      <c r="CB71" s="53"/>
      <c r="CC71" s="53"/>
      <c r="CD71" s="53"/>
      <c r="CE71" s="53"/>
      <c r="CF71" s="35"/>
      <c r="CH71" s="35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4"/>
      <c r="CT71" s="35"/>
    </row>
    <row r="72" spans="1:105" s="55" customFormat="1" ht="12.75" customHeight="1">
      <c r="A72" s="35" t="s">
        <v>488</v>
      </c>
      <c r="B72" s="51"/>
      <c r="C72" s="35" t="s">
        <v>27</v>
      </c>
      <c r="D72" s="44"/>
      <c r="E72" s="53">
        <v>396697</v>
      </c>
      <c r="F72" s="53"/>
      <c r="G72" s="53">
        <v>153345</v>
      </c>
      <c r="H72" s="53"/>
      <c r="I72" s="53">
        <v>550042</v>
      </c>
      <c r="J72" s="53"/>
      <c r="K72" s="53">
        <v>410850</v>
      </c>
      <c r="L72" s="53"/>
      <c r="M72" s="53">
        <v>3226</v>
      </c>
      <c r="N72" s="53"/>
      <c r="O72" s="53">
        <v>414076</v>
      </c>
      <c r="P72" s="53"/>
      <c r="Q72" s="53">
        <v>153345</v>
      </c>
      <c r="R72" s="53"/>
      <c r="S72" s="53">
        <v>0</v>
      </c>
      <c r="T72" s="53"/>
      <c r="U72" s="53">
        <v>-17379</v>
      </c>
      <c r="V72" s="53"/>
      <c r="W72" s="53">
        <f>SUM(Q72:U72)</f>
        <v>135966</v>
      </c>
      <c r="X72" s="53"/>
      <c r="Y72" s="35" t="s">
        <v>488</v>
      </c>
      <c r="AA72" s="35" t="s">
        <v>27</v>
      </c>
      <c r="AB72" s="35"/>
      <c r="AC72" s="53">
        <v>718099</v>
      </c>
      <c r="AD72" s="53"/>
      <c r="AE72" s="53">
        <f>1235754-6000</f>
        <v>1229754</v>
      </c>
      <c r="AF72" s="53"/>
      <c r="AG72" s="53">
        <v>6000</v>
      </c>
      <c r="AH72" s="53"/>
      <c r="AI72" s="45">
        <f>+AC72-AE72-AG72</f>
        <v>-517655</v>
      </c>
      <c r="AJ72" s="45"/>
      <c r="AK72" s="53">
        <v>4712</v>
      </c>
      <c r="AL72" s="45"/>
      <c r="AM72" s="53">
        <v>1100000</v>
      </c>
      <c r="AN72" s="53"/>
      <c r="AO72" s="53">
        <v>0</v>
      </c>
      <c r="AP72" s="53"/>
      <c r="AQ72" s="53">
        <v>0</v>
      </c>
      <c r="AR72" s="53"/>
      <c r="AS72" s="45">
        <f t="shared" si="4"/>
        <v>587057</v>
      </c>
      <c r="AT72" s="45"/>
      <c r="AU72" s="53">
        <v>0</v>
      </c>
      <c r="AV72" s="53"/>
      <c r="AW72" s="53">
        <v>0</v>
      </c>
      <c r="AX72" s="53"/>
      <c r="AY72" s="53">
        <f>+E72-K72</f>
        <v>-14153</v>
      </c>
      <c r="AZ72" s="53"/>
      <c r="BA72" s="35" t="s">
        <v>488</v>
      </c>
      <c r="BC72" s="35" t="s">
        <v>27</v>
      </c>
      <c r="BD72" s="53"/>
      <c r="BE72" s="53">
        <v>0</v>
      </c>
      <c r="BF72" s="53"/>
      <c r="BG72" s="53">
        <v>0</v>
      </c>
      <c r="BH72" s="53"/>
      <c r="BI72" s="53">
        <v>0</v>
      </c>
      <c r="BJ72" s="53"/>
      <c r="BK72" s="53">
        <v>0</v>
      </c>
      <c r="BL72" s="53"/>
      <c r="BM72" s="53">
        <f t="shared" si="19"/>
        <v>0</v>
      </c>
      <c r="BN72" s="54" t="s">
        <v>347</v>
      </c>
      <c r="BO72" s="35"/>
      <c r="BP72" s="35"/>
      <c r="BR72" s="51"/>
      <c r="BS72" s="53"/>
      <c r="BT72" s="53"/>
      <c r="BU72" s="53"/>
      <c r="BV72" s="53"/>
      <c r="BW72" s="45"/>
      <c r="BX72" s="45"/>
      <c r="BY72" s="53"/>
      <c r="BZ72" s="53"/>
      <c r="CA72" s="53"/>
      <c r="CB72" s="53"/>
      <c r="CC72" s="53"/>
      <c r="CD72" s="53"/>
      <c r="CE72" s="53"/>
      <c r="CF72" s="35"/>
      <c r="CH72" s="35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4"/>
      <c r="CT72" s="35"/>
      <c r="CU72" s="35"/>
    </row>
    <row r="73" spans="1:105" s="55" customFormat="1" ht="12.75" customHeight="1">
      <c r="A73" s="35" t="s">
        <v>95</v>
      </c>
      <c r="B73" s="51"/>
      <c r="C73" s="35" t="s">
        <v>94</v>
      </c>
      <c r="D73" s="44"/>
      <c r="E73" s="53">
        <v>190841</v>
      </c>
      <c r="F73" s="53"/>
      <c r="G73" s="53">
        <v>7853846</v>
      </c>
      <c r="H73" s="53"/>
      <c r="I73" s="53">
        <v>8044687</v>
      </c>
      <c r="J73" s="53"/>
      <c r="K73" s="53">
        <f t="shared" ref="K73:K79" si="22">O73-M73</f>
        <v>448804</v>
      </c>
      <c r="L73" s="53"/>
      <c r="M73" s="53">
        <v>6501956</v>
      </c>
      <c r="N73" s="53"/>
      <c r="O73" s="53">
        <v>6950760</v>
      </c>
      <c r="P73" s="53"/>
      <c r="Q73" s="53">
        <v>1088528</v>
      </c>
      <c r="R73" s="53"/>
      <c r="S73" s="53">
        <v>0</v>
      </c>
      <c r="T73" s="53"/>
      <c r="U73" s="53">
        <v>5399</v>
      </c>
      <c r="V73" s="53"/>
      <c r="W73" s="53">
        <f t="shared" ref="W73:W79" si="23">SUM(Q73:U73)</f>
        <v>1093927</v>
      </c>
      <c r="X73" s="53"/>
      <c r="Y73" s="35" t="s">
        <v>95</v>
      </c>
      <c r="AA73" s="35" t="s">
        <v>94</v>
      </c>
      <c r="AB73" s="35"/>
      <c r="AC73" s="53">
        <v>1073313</v>
      </c>
      <c r="AD73" s="53"/>
      <c r="AE73" s="53">
        <f>815697-300662</f>
        <v>515035</v>
      </c>
      <c r="AF73" s="53"/>
      <c r="AG73" s="53">
        <v>300662</v>
      </c>
      <c r="AH73" s="53"/>
      <c r="AI73" s="45">
        <f t="shared" ref="AI73:AI79" si="24">+AC73-AE73-AG73</f>
        <v>257616</v>
      </c>
      <c r="AJ73" s="45"/>
      <c r="AK73" s="53">
        <v>-240581</v>
      </c>
      <c r="AL73" s="45"/>
      <c r="AM73" s="53">
        <v>16364</v>
      </c>
      <c r="AN73" s="53"/>
      <c r="AO73" s="53">
        <v>63000</v>
      </c>
      <c r="AP73" s="53"/>
      <c r="AQ73" s="53">
        <v>0</v>
      </c>
      <c r="AR73" s="53"/>
      <c r="AS73" s="45">
        <f t="shared" si="4"/>
        <v>-29601</v>
      </c>
      <c r="AT73" s="45"/>
      <c r="AU73" s="53">
        <v>0</v>
      </c>
      <c r="AV73" s="53"/>
      <c r="AW73" s="53">
        <v>0</v>
      </c>
      <c r="AX73" s="53"/>
      <c r="AY73" s="53">
        <f t="shared" ref="AY73:AY79" si="25">+E73-K73</f>
        <v>-257963</v>
      </c>
      <c r="AZ73" s="53"/>
      <c r="BA73" s="35" t="s">
        <v>95</v>
      </c>
      <c r="BC73" s="35" t="s">
        <v>94</v>
      </c>
      <c r="BD73" s="53"/>
      <c r="BE73" s="53">
        <v>1960000</v>
      </c>
      <c r="BF73" s="53"/>
      <c r="BG73" s="53">
        <v>0</v>
      </c>
      <c r="BH73" s="53"/>
      <c r="BI73" s="53">
        <f>444675+776607+2045646+59327</f>
        <v>3326255</v>
      </c>
      <c r="BJ73" s="53"/>
      <c r="BK73" s="53">
        <v>0</v>
      </c>
      <c r="BL73" s="53"/>
      <c r="BM73" s="53">
        <f t="shared" ref="BM73:BM79" si="26">SUM(BE73:BK73)</f>
        <v>5286255</v>
      </c>
      <c r="BN73" s="54" t="s">
        <v>347</v>
      </c>
      <c r="BO73" s="35"/>
      <c r="BP73" s="35"/>
      <c r="BR73" s="51"/>
      <c r="BS73" s="53"/>
      <c r="BT73" s="53"/>
      <c r="BU73" s="53"/>
      <c r="BV73" s="53"/>
      <c r="BW73" s="45"/>
      <c r="BX73" s="45"/>
      <c r="BY73" s="53"/>
      <c r="BZ73" s="53"/>
      <c r="CA73" s="53"/>
      <c r="CB73" s="53"/>
      <c r="CC73" s="53"/>
      <c r="CD73" s="53"/>
      <c r="CE73" s="53"/>
      <c r="CF73" s="35"/>
      <c r="CH73" s="35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4"/>
      <c r="CT73" s="35"/>
      <c r="CU73" s="35"/>
    </row>
    <row r="74" spans="1:105" s="55" customFormat="1" ht="12.75" customHeight="1">
      <c r="A74" s="35" t="s">
        <v>91</v>
      </c>
      <c r="B74" s="51"/>
      <c r="C74" s="35" t="s">
        <v>92</v>
      </c>
      <c r="D74" s="44"/>
      <c r="E74" s="53">
        <v>1078203</v>
      </c>
      <c r="F74" s="53"/>
      <c r="G74" s="53">
        <v>2584224</v>
      </c>
      <c r="H74" s="53"/>
      <c r="I74" s="53">
        <v>3662427</v>
      </c>
      <c r="J74" s="53"/>
      <c r="K74" s="53">
        <f t="shared" si="22"/>
        <v>34852</v>
      </c>
      <c r="L74" s="53"/>
      <c r="M74" s="53">
        <v>49144</v>
      </c>
      <c r="N74" s="53"/>
      <c r="O74" s="53">
        <v>83996</v>
      </c>
      <c r="P74" s="53"/>
      <c r="Q74" s="53">
        <v>2289681</v>
      </c>
      <c r="R74" s="53"/>
      <c r="S74" s="53">
        <v>0</v>
      </c>
      <c r="T74" s="53"/>
      <c r="U74" s="53">
        <v>1288750</v>
      </c>
      <c r="V74" s="53"/>
      <c r="W74" s="53">
        <f t="shared" si="23"/>
        <v>3578431</v>
      </c>
      <c r="X74" s="53"/>
      <c r="Y74" s="35" t="s">
        <v>91</v>
      </c>
      <c r="AA74" s="35" t="s">
        <v>92</v>
      </c>
      <c r="AB74" s="35"/>
      <c r="AC74" s="53">
        <v>1933451</v>
      </c>
      <c r="AD74" s="53"/>
      <c r="AE74" s="53">
        <f>1670669-49916</f>
        <v>1620753</v>
      </c>
      <c r="AF74" s="53"/>
      <c r="AG74" s="53">
        <v>49916</v>
      </c>
      <c r="AH74" s="53"/>
      <c r="AI74" s="45">
        <f t="shared" si="24"/>
        <v>262782</v>
      </c>
      <c r="AJ74" s="45"/>
      <c r="AK74" s="53">
        <v>2746</v>
      </c>
      <c r="AL74" s="45"/>
      <c r="AM74" s="53">
        <v>0</v>
      </c>
      <c r="AN74" s="53"/>
      <c r="AO74" s="53">
        <v>0</v>
      </c>
      <c r="AP74" s="53"/>
      <c r="AQ74" s="53">
        <v>101619</v>
      </c>
      <c r="AR74" s="53"/>
      <c r="AS74" s="45">
        <f t="shared" ref="AS74:AS136" si="27">+AI74+AK74+AM74-AO74+AQ74</f>
        <v>367147</v>
      </c>
      <c r="AT74" s="45"/>
      <c r="AU74" s="53">
        <v>0</v>
      </c>
      <c r="AV74" s="53"/>
      <c r="AW74" s="53">
        <v>0</v>
      </c>
      <c r="AX74" s="53"/>
      <c r="AY74" s="53">
        <f t="shared" si="25"/>
        <v>1043351</v>
      </c>
      <c r="AZ74" s="53"/>
      <c r="BA74" s="35" t="s">
        <v>91</v>
      </c>
      <c r="BC74" s="35" t="s">
        <v>92</v>
      </c>
      <c r="BD74" s="53"/>
      <c r="BE74" s="53">
        <v>0</v>
      </c>
      <c r="BF74" s="53"/>
      <c r="BG74" s="53">
        <v>0</v>
      </c>
      <c r="BH74" s="53"/>
      <c r="BI74" s="53">
        <v>0</v>
      </c>
      <c r="BJ74" s="53"/>
      <c r="BK74" s="53">
        <v>68250</v>
      </c>
      <c r="BL74" s="53"/>
      <c r="BM74" s="53">
        <f t="shared" si="26"/>
        <v>68250</v>
      </c>
      <c r="BN74" s="54" t="s">
        <v>347</v>
      </c>
      <c r="BO74" s="35"/>
      <c r="BP74" s="35"/>
      <c r="BQ74" s="35"/>
      <c r="BR74" s="51"/>
      <c r="BS74" s="53"/>
      <c r="BT74" s="53"/>
      <c r="BU74" s="53"/>
      <c r="BV74" s="53"/>
      <c r="BW74" s="45"/>
      <c r="BX74" s="45"/>
      <c r="BY74" s="53"/>
      <c r="BZ74" s="53"/>
      <c r="CA74" s="53"/>
      <c r="CB74" s="53"/>
      <c r="CC74" s="53"/>
      <c r="CD74" s="53"/>
      <c r="CE74" s="53"/>
      <c r="CF74" s="35"/>
      <c r="CH74" s="35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4"/>
      <c r="CT74" s="35"/>
      <c r="CU74" s="35"/>
      <c r="CV74" s="35"/>
      <c r="CW74" s="35"/>
      <c r="CX74" s="35"/>
      <c r="CY74" s="35"/>
      <c r="CZ74" s="35"/>
      <c r="DA74" s="35"/>
    </row>
    <row r="75" spans="1:105" s="55" customFormat="1" ht="12.75" customHeight="1">
      <c r="A75" s="35" t="s">
        <v>96</v>
      </c>
      <c r="B75" s="51"/>
      <c r="C75" s="35" t="s">
        <v>97</v>
      </c>
      <c r="D75" s="44"/>
      <c r="E75" s="53">
        <v>1512412</v>
      </c>
      <c r="F75" s="53"/>
      <c r="G75" s="53">
        <v>3336179</v>
      </c>
      <c r="H75" s="53"/>
      <c r="I75" s="53">
        <v>4848591</v>
      </c>
      <c r="J75" s="53"/>
      <c r="K75" s="53">
        <f t="shared" si="22"/>
        <v>23302</v>
      </c>
      <c r="L75" s="53"/>
      <c r="M75" s="53">
        <v>59318</v>
      </c>
      <c r="N75" s="53"/>
      <c r="O75" s="53">
        <v>82620</v>
      </c>
      <c r="P75" s="53"/>
      <c r="Q75" s="53">
        <v>3336179</v>
      </c>
      <c r="R75" s="53"/>
      <c r="S75" s="53">
        <v>0</v>
      </c>
      <c r="T75" s="53"/>
      <c r="U75" s="53">
        <v>1429792</v>
      </c>
      <c r="V75" s="53"/>
      <c r="W75" s="53">
        <f t="shared" si="23"/>
        <v>4765971</v>
      </c>
      <c r="X75" s="53"/>
      <c r="Y75" s="35" t="s">
        <v>96</v>
      </c>
      <c r="AA75" s="35" t="s">
        <v>97</v>
      </c>
      <c r="AB75" s="35"/>
      <c r="AC75" s="53">
        <v>1132523</v>
      </c>
      <c r="AD75" s="53"/>
      <c r="AE75" s="53">
        <f>1095245-288638</f>
        <v>806607</v>
      </c>
      <c r="AF75" s="53"/>
      <c r="AG75" s="53">
        <v>288638</v>
      </c>
      <c r="AH75" s="53"/>
      <c r="AI75" s="45">
        <f t="shared" si="24"/>
        <v>37278</v>
      </c>
      <c r="AJ75" s="45"/>
      <c r="AK75" s="53">
        <v>73562</v>
      </c>
      <c r="AL75" s="45"/>
      <c r="AM75" s="53">
        <v>0</v>
      </c>
      <c r="AN75" s="53"/>
      <c r="AO75" s="53">
        <v>0</v>
      </c>
      <c r="AP75" s="53"/>
      <c r="AQ75" s="53">
        <v>0</v>
      </c>
      <c r="AR75" s="53"/>
      <c r="AS75" s="45">
        <f t="shared" si="27"/>
        <v>110840</v>
      </c>
      <c r="AT75" s="45"/>
      <c r="AU75" s="53">
        <v>0</v>
      </c>
      <c r="AV75" s="53"/>
      <c r="AW75" s="53">
        <v>0</v>
      </c>
      <c r="AX75" s="53"/>
      <c r="AY75" s="53">
        <f t="shared" si="25"/>
        <v>1489110</v>
      </c>
      <c r="AZ75" s="53"/>
      <c r="BA75" s="35" t="s">
        <v>96</v>
      </c>
      <c r="BC75" s="35" t="s">
        <v>97</v>
      </c>
      <c r="BD75" s="53"/>
      <c r="BE75" s="53">
        <v>0</v>
      </c>
      <c r="BF75" s="53"/>
      <c r="BG75" s="53">
        <v>0</v>
      </c>
      <c r="BH75" s="53"/>
      <c r="BI75" s="53">
        <v>0</v>
      </c>
      <c r="BJ75" s="53"/>
      <c r="BK75" s="53">
        <v>0</v>
      </c>
      <c r="BL75" s="53"/>
      <c r="BM75" s="53">
        <f t="shared" si="26"/>
        <v>0</v>
      </c>
      <c r="BN75" s="54" t="s">
        <v>347</v>
      </c>
      <c r="BR75" s="51"/>
      <c r="BS75" s="53"/>
      <c r="BT75" s="53"/>
      <c r="BU75" s="53"/>
      <c r="BV75" s="53"/>
      <c r="BW75" s="53"/>
      <c r="BX75" s="45"/>
      <c r="BY75" s="45"/>
      <c r="BZ75" s="53"/>
      <c r="CA75" s="53"/>
      <c r="CB75" s="53"/>
      <c r="CC75" s="53"/>
      <c r="CD75" s="53"/>
      <c r="CE75" s="53"/>
      <c r="CF75" s="35"/>
      <c r="CH75" s="35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4"/>
    </row>
    <row r="76" spans="1:105" s="55" customFormat="1" ht="12.75" customHeight="1">
      <c r="A76" s="35" t="s">
        <v>98</v>
      </c>
      <c r="B76" s="51"/>
      <c r="C76" s="35" t="s">
        <v>17</v>
      </c>
      <c r="D76" s="44"/>
      <c r="E76" s="53">
        <v>5563458</v>
      </c>
      <c r="F76" s="53"/>
      <c r="G76" s="53">
        <v>36376640</v>
      </c>
      <c r="H76" s="53"/>
      <c r="I76" s="53">
        <v>41940098</v>
      </c>
      <c r="J76" s="53"/>
      <c r="K76" s="53">
        <f t="shared" si="22"/>
        <v>5855361</v>
      </c>
      <c r="L76" s="53"/>
      <c r="M76" s="53">
        <v>10056894</v>
      </c>
      <c r="N76" s="53"/>
      <c r="O76" s="53">
        <v>15912255</v>
      </c>
      <c r="P76" s="53"/>
      <c r="Q76" s="53">
        <v>24120292</v>
      </c>
      <c r="R76" s="53"/>
      <c r="S76" s="53">
        <v>0</v>
      </c>
      <c r="T76" s="53"/>
      <c r="U76" s="53">
        <v>2914741</v>
      </c>
      <c r="V76" s="53"/>
      <c r="W76" s="53">
        <f t="shared" si="23"/>
        <v>27035033</v>
      </c>
      <c r="X76" s="53"/>
      <c r="Y76" s="35" t="s">
        <v>98</v>
      </c>
      <c r="AA76" s="35" t="s">
        <v>17</v>
      </c>
      <c r="AB76" s="35"/>
      <c r="AC76" s="53">
        <v>9862062</v>
      </c>
      <c r="AD76" s="53"/>
      <c r="AE76" s="53">
        <f>10300341-2163028</f>
        <v>8137313</v>
      </c>
      <c r="AF76" s="53"/>
      <c r="AG76" s="53">
        <v>2163028</v>
      </c>
      <c r="AH76" s="53"/>
      <c r="AI76" s="45">
        <f t="shared" si="24"/>
        <v>-438279</v>
      </c>
      <c r="AJ76" s="45"/>
      <c r="AK76" s="53">
        <v>-680392</v>
      </c>
      <c r="AL76" s="45"/>
      <c r="AM76" s="53">
        <v>0</v>
      </c>
      <c r="AN76" s="53"/>
      <c r="AO76" s="53">
        <v>0</v>
      </c>
      <c r="AP76" s="53"/>
      <c r="AQ76" s="53">
        <v>0</v>
      </c>
      <c r="AR76" s="53"/>
      <c r="AS76" s="45">
        <f t="shared" si="27"/>
        <v>-1118671</v>
      </c>
      <c r="AT76" s="45"/>
      <c r="AU76" s="53">
        <v>0</v>
      </c>
      <c r="AV76" s="53"/>
      <c r="AW76" s="53">
        <v>0</v>
      </c>
      <c r="AX76" s="53"/>
      <c r="AY76" s="53">
        <f t="shared" si="25"/>
        <v>-291903</v>
      </c>
      <c r="AZ76" s="53"/>
      <c r="BA76" s="35" t="s">
        <v>98</v>
      </c>
      <c r="BC76" s="35" t="s">
        <v>17</v>
      </c>
      <c r="BD76" s="53"/>
      <c r="BE76" s="53">
        <v>7619249</v>
      </c>
      <c r="BF76" s="53"/>
      <c r="BG76" s="53">
        <v>0</v>
      </c>
      <c r="BH76" s="53"/>
      <c r="BI76" s="53">
        <v>0</v>
      </c>
      <c r="BJ76" s="53"/>
      <c r="BK76" s="53">
        <v>212760</v>
      </c>
      <c r="BL76" s="53"/>
      <c r="BM76" s="53">
        <f t="shared" si="26"/>
        <v>7832009</v>
      </c>
      <c r="BN76" s="54" t="s">
        <v>347</v>
      </c>
      <c r="BR76" s="51"/>
      <c r="BS76" s="53"/>
      <c r="BT76" s="53"/>
      <c r="BU76" s="53"/>
      <c r="BV76" s="53"/>
      <c r="BW76" s="53"/>
      <c r="BX76" s="45"/>
      <c r="BY76" s="45"/>
      <c r="BZ76" s="53"/>
      <c r="CA76" s="53"/>
      <c r="CB76" s="53"/>
      <c r="CC76" s="53"/>
      <c r="CD76" s="53"/>
      <c r="CE76" s="53"/>
      <c r="CF76" s="35"/>
      <c r="CH76" s="35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4"/>
    </row>
    <row r="77" spans="1:105" s="55" customFormat="1" ht="12.75" customHeight="1">
      <c r="A77" s="35" t="s">
        <v>99</v>
      </c>
      <c r="B77" s="51"/>
      <c r="C77" s="35" t="s">
        <v>66</v>
      </c>
      <c r="D77" s="44"/>
      <c r="E77" s="53">
        <v>1927004</v>
      </c>
      <c r="F77" s="53"/>
      <c r="G77" s="53">
        <v>9355302</v>
      </c>
      <c r="H77" s="53"/>
      <c r="I77" s="53">
        <v>11282306</v>
      </c>
      <c r="J77" s="53"/>
      <c r="K77" s="53">
        <f t="shared" si="22"/>
        <v>160524</v>
      </c>
      <c r="L77" s="53"/>
      <c r="M77" s="53">
        <v>140564</v>
      </c>
      <c r="N77" s="53"/>
      <c r="O77" s="53">
        <v>301088</v>
      </c>
      <c r="P77" s="53"/>
      <c r="Q77" s="53">
        <v>9156802</v>
      </c>
      <c r="R77" s="53"/>
      <c r="S77" s="53">
        <v>0</v>
      </c>
      <c r="T77" s="53"/>
      <c r="U77" s="53">
        <v>1824416</v>
      </c>
      <c r="V77" s="53"/>
      <c r="W77" s="53">
        <f t="shared" si="23"/>
        <v>10981218</v>
      </c>
      <c r="X77" s="53"/>
      <c r="Y77" s="35" t="s">
        <v>99</v>
      </c>
      <c r="AA77" s="35" t="s">
        <v>66</v>
      </c>
      <c r="AB77" s="35"/>
      <c r="AC77" s="53">
        <v>1272125</v>
      </c>
      <c r="AD77" s="53"/>
      <c r="AE77" s="53">
        <f>1340154-393390</f>
        <v>946764</v>
      </c>
      <c r="AF77" s="53"/>
      <c r="AG77" s="53">
        <v>393390</v>
      </c>
      <c r="AH77" s="53"/>
      <c r="AI77" s="45">
        <f t="shared" si="24"/>
        <v>-68029</v>
      </c>
      <c r="AJ77" s="45"/>
      <c r="AK77" s="53">
        <v>187908</v>
      </c>
      <c r="AL77" s="45"/>
      <c r="AM77" s="53">
        <v>0</v>
      </c>
      <c r="AN77" s="53"/>
      <c r="AO77" s="53">
        <v>0</v>
      </c>
      <c r="AP77" s="53"/>
      <c r="AQ77" s="53">
        <v>52584</v>
      </c>
      <c r="AR77" s="53"/>
      <c r="AS77" s="45">
        <f t="shared" si="27"/>
        <v>172463</v>
      </c>
      <c r="AT77" s="45"/>
      <c r="AU77" s="53">
        <v>0</v>
      </c>
      <c r="AV77" s="53"/>
      <c r="AW77" s="53">
        <v>0</v>
      </c>
      <c r="AX77" s="53"/>
      <c r="AY77" s="53">
        <f t="shared" si="25"/>
        <v>1766480</v>
      </c>
      <c r="AZ77" s="53"/>
      <c r="BA77" s="35" t="s">
        <v>99</v>
      </c>
      <c r="BC77" s="35" t="s">
        <v>66</v>
      </c>
      <c r="BD77" s="53"/>
      <c r="BE77" s="53">
        <v>198500</v>
      </c>
      <c r="BF77" s="53"/>
      <c r="BG77" s="53">
        <v>0</v>
      </c>
      <c r="BH77" s="53"/>
      <c r="BI77" s="53">
        <v>0</v>
      </c>
      <c r="BJ77" s="53"/>
      <c r="BK77" s="53">
        <v>0</v>
      </c>
      <c r="BL77" s="53"/>
      <c r="BM77" s="53">
        <f t="shared" si="26"/>
        <v>198500</v>
      </c>
      <c r="BN77" s="54" t="s">
        <v>347</v>
      </c>
      <c r="BR77" s="51"/>
      <c r="BS77" s="53"/>
      <c r="BT77" s="53"/>
      <c r="BU77" s="53"/>
      <c r="BV77" s="53"/>
      <c r="BW77" s="45"/>
      <c r="BX77" s="45"/>
      <c r="BY77" s="53"/>
      <c r="BZ77" s="53"/>
      <c r="CA77" s="53"/>
      <c r="CB77" s="53"/>
      <c r="CC77" s="53"/>
      <c r="CD77" s="53"/>
      <c r="CE77" s="53"/>
      <c r="CF77" s="35"/>
      <c r="CH77" s="44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4"/>
    </row>
    <row r="78" spans="1:105" s="55" customFormat="1" ht="12.75" customHeight="1">
      <c r="A78" s="35" t="s">
        <v>100</v>
      </c>
      <c r="C78" s="35" t="s">
        <v>27</v>
      </c>
      <c r="D78" s="44"/>
      <c r="E78" s="53">
        <v>10198560</v>
      </c>
      <c r="F78" s="53"/>
      <c r="G78" s="53">
        <v>28424574</v>
      </c>
      <c r="H78" s="53"/>
      <c r="I78" s="53">
        <v>38623134</v>
      </c>
      <c r="J78" s="53"/>
      <c r="K78" s="53">
        <f t="shared" si="22"/>
        <v>4461465</v>
      </c>
      <c r="L78" s="53"/>
      <c r="M78" s="53">
        <v>14177121</v>
      </c>
      <c r="N78" s="53"/>
      <c r="O78" s="53">
        <v>18638586</v>
      </c>
      <c r="P78" s="53"/>
      <c r="Q78" s="53">
        <v>12309602</v>
      </c>
      <c r="R78" s="53"/>
      <c r="S78" s="53">
        <v>0</v>
      </c>
      <c r="T78" s="53"/>
      <c r="U78" s="53">
        <v>7674946</v>
      </c>
      <c r="V78" s="53"/>
      <c r="W78" s="53">
        <f t="shared" si="23"/>
        <v>19984548</v>
      </c>
      <c r="X78" s="53"/>
      <c r="Y78" s="35" t="s">
        <v>100</v>
      </c>
      <c r="AA78" s="35" t="s">
        <v>27</v>
      </c>
      <c r="AB78" s="35"/>
      <c r="AC78" s="53">
        <v>10909852</v>
      </c>
      <c r="AD78" s="53"/>
      <c r="AE78" s="53">
        <f>10450064-940697</f>
        <v>9509367</v>
      </c>
      <c r="AF78" s="53"/>
      <c r="AG78" s="53">
        <v>940697</v>
      </c>
      <c r="AH78" s="53"/>
      <c r="AI78" s="45">
        <f t="shared" si="24"/>
        <v>459788</v>
      </c>
      <c r="AJ78" s="45"/>
      <c r="AK78" s="53">
        <v>400627</v>
      </c>
      <c r="AL78" s="45"/>
      <c r="AM78" s="53">
        <v>0</v>
      </c>
      <c r="AN78" s="53"/>
      <c r="AO78" s="53">
        <v>0</v>
      </c>
      <c r="AP78" s="53"/>
      <c r="AQ78" s="53">
        <v>0</v>
      </c>
      <c r="AR78" s="53"/>
      <c r="AS78" s="45">
        <f t="shared" si="27"/>
        <v>860415</v>
      </c>
      <c r="AT78" s="45"/>
      <c r="AU78" s="53">
        <v>0</v>
      </c>
      <c r="AV78" s="53"/>
      <c r="AW78" s="53">
        <v>0</v>
      </c>
      <c r="AX78" s="53"/>
      <c r="AY78" s="53">
        <f t="shared" si="25"/>
        <v>5737095</v>
      </c>
      <c r="AZ78" s="53"/>
      <c r="BA78" s="35" t="s">
        <v>100</v>
      </c>
      <c r="BC78" s="35" t="s">
        <v>27</v>
      </c>
      <c r="BD78" s="53"/>
      <c r="BE78" s="53">
        <f>1325000+42015+1240000+10267</f>
        <v>2617282</v>
      </c>
      <c r="BF78" s="53"/>
      <c r="BG78" s="53">
        <v>0</v>
      </c>
      <c r="BH78" s="53"/>
      <c r="BI78" s="53">
        <f>8620444+4252039</f>
        <v>12872483</v>
      </c>
      <c r="BJ78" s="53"/>
      <c r="BK78" s="53">
        <v>0</v>
      </c>
      <c r="BL78" s="53"/>
      <c r="BM78" s="53">
        <f t="shared" si="26"/>
        <v>15489765</v>
      </c>
      <c r="BN78" s="54" t="s">
        <v>347</v>
      </c>
      <c r="BO78" s="55" t="s">
        <v>405</v>
      </c>
      <c r="BR78" s="51"/>
      <c r="BS78" s="53"/>
      <c r="BT78" s="53"/>
      <c r="BU78" s="53"/>
      <c r="BV78" s="53"/>
      <c r="BW78" s="53"/>
      <c r="BX78" s="45"/>
      <c r="BY78" s="45"/>
      <c r="BZ78" s="53"/>
      <c r="CA78" s="53"/>
      <c r="CB78" s="53"/>
      <c r="CC78" s="53"/>
      <c r="CD78" s="53"/>
      <c r="CE78" s="53"/>
      <c r="CF78" s="35"/>
      <c r="CH78" s="35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4"/>
    </row>
    <row r="79" spans="1:105" s="55" customFormat="1" ht="12.75" customHeight="1">
      <c r="A79" s="35" t="s">
        <v>101</v>
      </c>
      <c r="B79" s="51"/>
      <c r="C79" s="35" t="s">
        <v>30</v>
      </c>
      <c r="D79" s="44"/>
      <c r="E79" s="53">
        <v>7412701</v>
      </c>
      <c r="F79" s="53"/>
      <c r="G79" s="53">
        <v>17019295</v>
      </c>
      <c r="H79" s="53"/>
      <c r="I79" s="53">
        <v>24431996</v>
      </c>
      <c r="J79" s="53"/>
      <c r="K79" s="53">
        <f t="shared" si="22"/>
        <v>1687041</v>
      </c>
      <c r="L79" s="53"/>
      <c r="M79" s="53">
        <v>10962187</v>
      </c>
      <c r="N79" s="53"/>
      <c r="O79" s="53">
        <v>12649228</v>
      </c>
      <c r="P79" s="53"/>
      <c r="Q79" s="53">
        <v>8455988</v>
      </c>
      <c r="R79" s="53"/>
      <c r="S79" s="53">
        <v>0</v>
      </c>
      <c r="T79" s="53"/>
      <c r="U79" s="53">
        <v>3326780</v>
      </c>
      <c r="V79" s="53"/>
      <c r="W79" s="53">
        <f t="shared" si="23"/>
        <v>11782768</v>
      </c>
      <c r="X79" s="53"/>
      <c r="Y79" s="35" t="s">
        <v>101</v>
      </c>
      <c r="AA79" s="35" t="s">
        <v>30</v>
      </c>
      <c r="AB79" s="35"/>
      <c r="AC79" s="53">
        <v>5480155</v>
      </c>
      <c r="AD79" s="53"/>
      <c r="AE79" s="53">
        <f>4289444-857242</f>
        <v>3432202</v>
      </c>
      <c r="AF79" s="53"/>
      <c r="AG79" s="53">
        <v>857242</v>
      </c>
      <c r="AH79" s="53"/>
      <c r="AI79" s="45">
        <f t="shared" si="24"/>
        <v>1190711</v>
      </c>
      <c r="AJ79" s="45"/>
      <c r="AK79" s="53">
        <v>-366440</v>
      </c>
      <c r="AL79" s="45"/>
      <c r="AM79" s="53">
        <v>0</v>
      </c>
      <c r="AN79" s="53"/>
      <c r="AO79" s="53">
        <v>0</v>
      </c>
      <c r="AP79" s="53"/>
      <c r="AQ79" s="53">
        <v>0</v>
      </c>
      <c r="AR79" s="53"/>
      <c r="AS79" s="45">
        <f t="shared" si="27"/>
        <v>824271</v>
      </c>
      <c r="AT79" s="45"/>
      <c r="AU79" s="53">
        <v>0</v>
      </c>
      <c r="AV79" s="53"/>
      <c r="AW79" s="53">
        <v>0</v>
      </c>
      <c r="AX79" s="53"/>
      <c r="AY79" s="53">
        <f t="shared" si="25"/>
        <v>5725660</v>
      </c>
      <c r="AZ79" s="53"/>
      <c r="BA79" s="35" t="s">
        <v>101</v>
      </c>
      <c r="BC79" s="35" t="s">
        <v>30</v>
      </c>
      <c r="BD79" s="53"/>
      <c r="BE79" s="53">
        <f>617500-7038+317500+320000+1622600</f>
        <v>2870562</v>
      </c>
      <c r="BF79" s="53"/>
      <c r="BG79" s="53">
        <f>140000+10635000</f>
        <v>10775000</v>
      </c>
      <c r="BH79" s="53"/>
      <c r="BI79" s="53">
        <f>203435+728743+53900+668166</f>
        <v>1654244</v>
      </c>
      <c r="BJ79" s="53"/>
      <c r="BK79" s="53">
        <v>0</v>
      </c>
      <c r="BL79" s="53"/>
      <c r="BM79" s="53">
        <f t="shared" si="26"/>
        <v>15299806</v>
      </c>
      <c r="BN79" s="54" t="s">
        <v>347</v>
      </c>
      <c r="BO79" s="35" t="s">
        <v>405</v>
      </c>
      <c r="BR79" s="51"/>
      <c r="BS79" s="53"/>
      <c r="BT79" s="53"/>
      <c r="BU79" s="53"/>
      <c r="BV79" s="53"/>
      <c r="BW79" s="45"/>
      <c r="BX79" s="45"/>
      <c r="BY79" s="53"/>
      <c r="BZ79" s="53"/>
      <c r="CA79" s="53"/>
      <c r="CB79" s="53"/>
      <c r="CC79" s="53"/>
      <c r="CD79" s="53"/>
      <c r="CE79" s="53"/>
      <c r="CF79" s="35"/>
      <c r="CH79" s="35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4"/>
      <c r="CT79" s="35"/>
    </row>
    <row r="80" spans="1:105" s="55" customFormat="1" ht="12.75" customHeight="1">
      <c r="A80" s="35" t="s">
        <v>102</v>
      </c>
      <c r="B80" s="51"/>
      <c r="C80" s="35" t="s">
        <v>103</v>
      </c>
      <c r="D80" s="44"/>
      <c r="E80" s="53">
        <v>3702280</v>
      </c>
      <c r="F80" s="53"/>
      <c r="G80" s="53">
        <v>28537681</v>
      </c>
      <c r="H80" s="53"/>
      <c r="I80" s="53">
        <v>32239961</v>
      </c>
      <c r="J80" s="53"/>
      <c r="K80" s="53">
        <f t="shared" ref="K80:K142" si="28">O80-M80</f>
        <v>3002158</v>
      </c>
      <c r="L80" s="53"/>
      <c r="M80" s="53">
        <v>6888099</v>
      </c>
      <c r="N80" s="53"/>
      <c r="O80" s="53">
        <v>9890257</v>
      </c>
      <c r="P80" s="53"/>
      <c r="Q80" s="53">
        <v>19175028</v>
      </c>
      <c r="R80" s="53"/>
      <c r="S80" s="53">
        <v>0</v>
      </c>
      <c r="T80" s="53"/>
      <c r="U80" s="53">
        <v>3174676</v>
      </c>
      <c r="V80" s="53"/>
      <c r="W80" s="53">
        <f t="shared" ref="W80:W110" si="29">SUM(Q80:U80)</f>
        <v>22349704</v>
      </c>
      <c r="X80" s="53"/>
      <c r="Y80" s="35" t="s">
        <v>102</v>
      </c>
      <c r="AA80" s="35" t="s">
        <v>103</v>
      </c>
      <c r="AB80" s="35"/>
      <c r="AC80" s="53">
        <v>4621637</v>
      </c>
      <c r="AD80" s="53"/>
      <c r="AE80" s="53">
        <f>4568231-1166103</f>
        <v>3402128</v>
      </c>
      <c r="AF80" s="53"/>
      <c r="AG80" s="53">
        <v>1166103</v>
      </c>
      <c r="AH80" s="53"/>
      <c r="AI80" s="45">
        <f t="shared" ref="AI80:AI142" si="30">+AC80-AE80-AG80</f>
        <v>53406</v>
      </c>
      <c r="AJ80" s="45"/>
      <c r="AK80" s="53">
        <v>-345655</v>
      </c>
      <c r="AL80" s="45"/>
      <c r="AM80" s="53">
        <v>300000</v>
      </c>
      <c r="AN80" s="53"/>
      <c r="AO80" s="53">
        <v>0</v>
      </c>
      <c r="AP80" s="53"/>
      <c r="AQ80" s="53">
        <v>0</v>
      </c>
      <c r="AR80" s="53"/>
      <c r="AS80" s="45">
        <f t="shared" si="27"/>
        <v>7751</v>
      </c>
      <c r="AT80" s="45"/>
      <c r="AU80" s="53">
        <v>0</v>
      </c>
      <c r="AV80" s="53"/>
      <c r="AW80" s="53">
        <v>0</v>
      </c>
      <c r="AX80" s="53"/>
      <c r="AY80" s="53">
        <f t="shared" ref="AY80:AY142" si="31">+E80-K80</f>
        <v>700122</v>
      </c>
      <c r="AZ80" s="53"/>
      <c r="BA80" s="35" t="s">
        <v>102</v>
      </c>
      <c r="BC80" s="35" t="s">
        <v>103</v>
      </c>
      <c r="BD80" s="53"/>
      <c r="BE80" s="53">
        <v>7362653</v>
      </c>
      <c r="BF80" s="53"/>
      <c r="BG80" s="53">
        <v>0</v>
      </c>
      <c r="BH80" s="53"/>
      <c r="BI80" s="53">
        <v>0</v>
      </c>
      <c r="BJ80" s="53"/>
      <c r="BK80" s="53">
        <v>0</v>
      </c>
      <c r="BL80" s="53"/>
      <c r="BM80" s="53">
        <f t="shared" ref="BM80:BM142" si="32">SUM(BE80:BK80)</f>
        <v>7362653</v>
      </c>
      <c r="BN80" s="54" t="s">
        <v>347</v>
      </c>
      <c r="BR80" s="51"/>
      <c r="BS80" s="53"/>
      <c r="BT80" s="53"/>
      <c r="BU80" s="53"/>
      <c r="BV80" s="53"/>
      <c r="BW80" s="53"/>
      <c r="BX80" s="45"/>
      <c r="BY80" s="45"/>
      <c r="BZ80" s="53"/>
      <c r="CA80" s="53"/>
      <c r="CB80" s="53"/>
      <c r="CC80" s="53"/>
      <c r="CD80" s="53"/>
      <c r="CE80" s="53"/>
      <c r="CF80" s="35"/>
      <c r="CH80" s="35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4"/>
    </row>
    <row r="81" spans="1:98" s="143" customFormat="1" ht="12.75" hidden="1" customHeight="1">
      <c r="A81" s="126" t="s">
        <v>104</v>
      </c>
      <c r="B81" s="124"/>
      <c r="C81" s="126" t="s">
        <v>13</v>
      </c>
      <c r="D81" s="121"/>
      <c r="E81" s="140"/>
      <c r="F81" s="140"/>
      <c r="G81" s="140"/>
      <c r="H81" s="140"/>
      <c r="I81" s="140"/>
      <c r="J81" s="140"/>
      <c r="K81" s="140">
        <f t="shared" si="28"/>
        <v>0</v>
      </c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>
        <f t="shared" si="29"/>
        <v>0</v>
      </c>
      <c r="X81" s="140"/>
      <c r="Y81" s="126" t="s">
        <v>104</v>
      </c>
      <c r="AA81" s="126" t="s">
        <v>13</v>
      </c>
      <c r="AB81" s="126"/>
      <c r="AC81" s="140"/>
      <c r="AD81" s="140"/>
      <c r="AE81" s="140"/>
      <c r="AF81" s="140"/>
      <c r="AG81" s="140"/>
      <c r="AH81" s="140"/>
      <c r="AI81" s="127">
        <f t="shared" si="30"/>
        <v>0</v>
      </c>
      <c r="AJ81" s="127"/>
      <c r="AK81" s="140"/>
      <c r="AL81" s="127"/>
      <c r="AM81" s="140">
        <v>0</v>
      </c>
      <c r="AN81" s="140"/>
      <c r="AO81" s="140">
        <v>0</v>
      </c>
      <c r="AP81" s="140"/>
      <c r="AQ81" s="140">
        <v>0</v>
      </c>
      <c r="AR81" s="140"/>
      <c r="AS81" s="45">
        <f t="shared" si="27"/>
        <v>0</v>
      </c>
      <c r="AT81" s="127"/>
      <c r="AU81" s="140">
        <v>0</v>
      </c>
      <c r="AV81" s="140"/>
      <c r="AW81" s="140">
        <v>0</v>
      </c>
      <c r="AX81" s="140"/>
      <c r="AY81" s="140">
        <f t="shared" si="31"/>
        <v>0</v>
      </c>
      <c r="AZ81" s="140"/>
      <c r="BA81" s="126" t="s">
        <v>104</v>
      </c>
      <c r="BC81" s="126" t="s">
        <v>13</v>
      </c>
      <c r="BD81" s="140"/>
      <c r="BE81" s="140"/>
      <c r="BF81" s="140"/>
      <c r="BG81" s="140"/>
      <c r="BH81" s="140"/>
      <c r="BI81" s="140"/>
      <c r="BJ81" s="140"/>
      <c r="BK81" s="140"/>
      <c r="BL81" s="140"/>
      <c r="BM81" s="140">
        <f t="shared" si="32"/>
        <v>0</v>
      </c>
      <c r="BN81" s="142" t="s">
        <v>347</v>
      </c>
      <c r="BR81" s="124"/>
      <c r="BS81" s="140"/>
      <c r="BT81" s="140"/>
      <c r="BU81" s="140"/>
      <c r="BV81" s="140"/>
      <c r="BW81" s="140"/>
      <c r="BX81" s="127"/>
      <c r="BY81" s="127"/>
      <c r="BZ81" s="140"/>
      <c r="CA81" s="140"/>
      <c r="CB81" s="140"/>
      <c r="CC81" s="140"/>
      <c r="CD81" s="140"/>
      <c r="CE81" s="140"/>
      <c r="CF81" s="126"/>
      <c r="CH81" s="126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2"/>
    </row>
    <row r="82" spans="1:98" s="55" customFormat="1" ht="12.75" customHeight="1">
      <c r="A82" s="35" t="s">
        <v>105</v>
      </c>
      <c r="B82" s="51"/>
      <c r="C82" s="35" t="s">
        <v>27</v>
      </c>
      <c r="D82" s="44"/>
      <c r="E82" s="53">
        <v>231125</v>
      </c>
      <c r="F82" s="53"/>
      <c r="G82" s="53">
        <v>16470901</v>
      </c>
      <c r="H82" s="53"/>
      <c r="I82" s="53">
        <v>16702026</v>
      </c>
      <c r="J82" s="53"/>
      <c r="K82" s="53">
        <f t="shared" si="28"/>
        <v>166341</v>
      </c>
      <c r="L82" s="53"/>
      <c r="M82" s="53">
        <v>433029</v>
      </c>
      <c r="N82" s="53"/>
      <c r="O82" s="53">
        <v>599370</v>
      </c>
      <c r="P82" s="53"/>
      <c r="Q82" s="53">
        <v>12207079</v>
      </c>
      <c r="R82" s="53"/>
      <c r="S82" s="53">
        <v>205149</v>
      </c>
      <c r="T82" s="53"/>
      <c r="U82" s="53">
        <v>3690428</v>
      </c>
      <c r="V82" s="53"/>
      <c r="W82" s="53">
        <f t="shared" si="29"/>
        <v>16102656</v>
      </c>
      <c r="X82" s="53"/>
      <c r="Y82" s="35" t="s">
        <v>105</v>
      </c>
      <c r="AA82" s="35" t="s">
        <v>27</v>
      </c>
      <c r="AB82" s="35"/>
      <c r="AC82" s="53">
        <v>1751164</v>
      </c>
      <c r="AD82" s="53"/>
      <c r="AE82" s="53">
        <v>1791517</v>
      </c>
      <c r="AF82" s="53"/>
      <c r="AG82" s="53">
        <v>0</v>
      </c>
      <c r="AH82" s="53"/>
      <c r="AI82" s="45">
        <f t="shared" si="30"/>
        <v>-40353</v>
      </c>
      <c r="AJ82" s="45"/>
      <c r="AK82" s="53">
        <v>-114107</v>
      </c>
      <c r="AL82" s="45"/>
      <c r="AM82" s="53">
        <v>0</v>
      </c>
      <c r="AN82" s="53"/>
      <c r="AO82" s="53">
        <v>75735</v>
      </c>
      <c r="AP82" s="53"/>
      <c r="AQ82" s="53">
        <v>0</v>
      </c>
      <c r="AR82" s="53"/>
      <c r="AS82" s="45">
        <f t="shared" si="27"/>
        <v>-230195</v>
      </c>
      <c r="AT82" s="45"/>
      <c r="AU82" s="53">
        <v>0</v>
      </c>
      <c r="AV82" s="53"/>
      <c r="AW82" s="53">
        <v>0</v>
      </c>
      <c r="AX82" s="53"/>
      <c r="AY82" s="53">
        <f t="shared" si="31"/>
        <v>64784</v>
      </c>
      <c r="AZ82" s="53"/>
      <c r="BA82" s="35" t="s">
        <v>105</v>
      </c>
      <c r="BC82" s="35" t="s">
        <v>27</v>
      </c>
      <c r="BD82" s="53"/>
      <c r="BE82" s="53">
        <v>0</v>
      </c>
      <c r="BF82" s="53"/>
      <c r="BG82" s="53">
        <v>0</v>
      </c>
      <c r="BH82" s="53"/>
      <c r="BI82" s="53">
        <v>226262</v>
      </c>
      <c r="BJ82" s="53"/>
      <c r="BK82" s="53">
        <f>49763+205149</f>
        <v>254912</v>
      </c>
      <c r="BL82" s="53"/>
      <c r="BM82" s="53">
        <f t="shared" si="32"/>
        <v>481174</v>
      </c>
      <c r="BN82" s="54" t="s">
        <v>347</v>
      </c>
      <c r="BR82" s="51"/>
      <c r="BS82" s="53"/>
      <c r="BT82" s="53"/>
      <c r="BU82" s="53"/>
      <c r="BV82" s="53"/>
      <c r="BW82" s="45"/>
      <c r="BX82" s="45"/>
      <c r="BY82" s="53"/>
      <c r="BZ82" s="53"/>
      <c r="CA82" s="53"/>
      <c r="CB82" s="53"/>
      <c r="CC82" s="53"/>
      <c r="CD82" s="53"/>
      <c r="CE82" s="53"/>
      <c r="CF82" s="44"/>
      <c r="CH82" s="44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4"/>
    </row>
    <row r="83" spans="1:98" s="143" customFormat="1" ht="12.75" hidden="1" customHeight="1">
      <c r="A83" s="126" t="s">
        <v>106</v>
      </c>
      <c r="B83" s="124"/>
      <c r="C83" s="126" t="s">
        <v>107</v>
      </c>
      <c r="D83" s="121"/>
      <c r="E83" s="140"/>
      <c r="F83" s="140"/>
      <c r="G83" s="140"/>
      <c r="H83" s="140"/>
      <c r="I83" s="140"/>
      <c r="J83" s="140"/>
      <c r="K83" s="140">
        <f t="shared" si="28"/>
        <v>0</v>
      </c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>
        <f t="shared" si="29"/>
        <v>0</v>
      </c>
      <c r="X83" s="140"/>
      <c r="Y83" s="126" t="s">
        <v>106</v>
      </c>
      <c r="AA83" s="126" t="s">
        <v>107</v>
      </c>
      <c r="AB83" s="126"/>
      <c r="AC83" s="140"/>
      <c r="AD83" s="140"/>
      <c r="AE83" s="140"/>
      <c r="AF83" s="140"/>
      <c r="AG83" s="140"/>
      <c r="AH83" s="140"/>
      <c r="AI83" s="127">
        <f t="shared" si="30"/>
        <v>0</v>
      </c>
      <c r="AJ83" s="127"/>
      <c r="AK83" s="140"/>
      <c r="AL83" s="127"/>
      <c r="AM83" s="140">
        <v>0</v>
      </c>
      <c r="AN83" s="140"/>
      <c r="AO83" s="140">
        <v>0</v>
      </c>
      <c r="AP83" s="140"/>
      <c r="AQ83" s="140">
        <v>0</v>
      </c>
      <c r="AR83" s="140"/>
      <c r="AS83" s="45">
        <f t="shared" si="27"/>
        <v>0</v>
      </c>
      <c r="AT83" s="127"/>
      <c r="AU83" s="140">
        <v>0</v>
      </c>
      <c r="AV83" s="140"/>
      <c r="AW83" s="140">
        <v>0</v>
      </c>
      <c r="AX83" s="140"/>
      <c r="AY83" s="140">
        <f t="shared" si="31"/>
        <v>0</v>
      </c>
      <c r="AZ83" s="140"/>
      <c r="BA83" s="126" t="s">
        <v>106</v>
      </c>
      <c r="BC83" s="126" t="s">
        <v>107</v>
      </c>
      <c r="BD83" s="140"/>
      <c r="BE83" s="140"/>
      <c r="BF83" s="140"/>
      <c r="BG83" s="140"/>
      <c r="BH83" s="140"/>
      <c r="BI83" s="140"/>
      <c r="BJ83" s="140"/>
      <c r="BK83" s="140"/>
      <c r="BL83" s="140"/>
      <c r="BM83" s="140">
        <f t="shared" si="32"/>
        <v>0</v>
      </c>
      <c r="BN83" s="142" t="s">
        <v>347</v>
      </c>
      <c r="BR83" s="124"/>
      <c r="BS83" s="140"/>
      <c r="BT83" s="140"/>
      <c r="BU83" s="140"/>
      <c r="BV83" s="140"/>
      <c r="BW83" s="140"/>
      <c r="BX83" s="127"/>
      <c r="BY83" s="127"/>
      <c r="BZ83" s="140"/>
      <c r="CA83" s="140"/>
      <c r="CB83" s="140"/>
      <c r="CC83" s="140"/>
      <c r="CD83" s="140"/>
      <c r="CE83" s="140"/>
      <c r="CF83" s="126"/>
      <c r="CH83" s="126"/>
      <c r="CI83" s="140"/>
      <c r="CJ83" s="140"/>
      <c r="CK83" s="140"/>
      <c r="CL83" s="140"/>
      <c r="CM83" s="140"/>
      <c r="CN83" s="140"/>
      <c r="CO83" s="140"/>
      <c r="CP83" s="140"/>
      <c r="CQ83" s="140"/>
      <c r="CR83" s="140"/>
      <c r="CS83" s="142"/>
    </row>
    <row r="84" spans="1:98" s="143" customFormat="1" ht="12.75" hidden="1" customHeight="1">
      <c r="A84" s="126" t="s">
        <v>108</v>
      </c>
      <c r="B84" s="124"/>
      <c r="C84" s="126" t="s">
        <v>45</v>
      </c>
      <c r="D84" s="121"/>
      <c r="E84" s="140"/>
      <c r="F84" s="140"/>
      <c r="G84" s="140"/>
      <c r="H84" s="140"/>
      <c r="I84" s="140"/>
      <c r="J84" s="140"/>
      <c r="K84" s="140">
        <f t="shared" si="28"/>
        <v>0</v>
      </c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>
        <f t="shared" si="29"/>
        <v>0</v>
      </c>
      <c r="X84" s="140"/>
      <c r="Y84" s="126" t="s">
        <v>108</v>
      </c>
      <c r="AA84" s="126" t="s">
        <v>45</v>
      </c>
      <c r="AB84" s="126"/>
      <c r="AC84" s="140"/>
      <c r="AD84" s="140"/>
      <c r="AE84" s="140"/>
      <c r="AF84" s="140"/>
      <c r="AG84" s="140"/>
      <c r="AH84" s="140"/>
      <c r="AI84" s="127">
        <f t="shared" si="30"/>
        <v>0</v>
      </c>
      <c r="AJ84" s="127"/>
      <c r="AK84" s="140"/>
      <c r="AL84" s="127"/>
      <c r="AM84" s="140"/>
      <c r="AN84" s="140"/>
      <c r="AO84" s="140"/>
      <c r="AP84" s="140"/>
      <c r="AQ84" s="140"/>
      <c r="AR84" s="140"/>
      <c r="AS84" s="45">
        <f t="shared" si="27"/>
        <v>0</v>
      </c>
      <c r="AT84" s="127"/>
      <c r="AU84" s="140">
        <v>0</v>
      </c>
      <c r="AV84" s="140"/>
      <c r="AW84" s="140">
        <v>0</v>
      </c>
      <c r="AX84" s="140"/>
      <c r="AY84" s="140">
        <f t="shared" si="31"/>
        <v>0</v>
      </c>
      <c r="AZ84" s="140"/>
      <c r="BA84" s="126" t="s">
        <v>108</v>
      </c>
      <c r="BC84" s="126" t="s">
        <v>45</v>
      </c>
      <c r="BD84" s="140"/>
      <c r="BE84" s="140"/>
      <c r="BF84" s="140"/>
      <c r="BG84" s="140"/>
      <c r="BH84" s="140"/>
      <c r="BI84" s="140"/>
      <c r="BJ84" s="140"/>
      <c r="BK84" s="140"/>
      <c r="BL84" s="140"/>
      <c r="BM84" s="140">
        <f t="shared" si="32"/>
        <v>0</v>
      </c>
      <c r="BN84" s="142" t="s">
        <v>347</v>
      </c>
      <c r="BO84" s="143" t="s">
        <v>404</v>
      </c>
      <c r="BR84" s="124"/>
      <c r="BS84" s="140"/>
      <c r="BT84" s="140"/>
      <c r="BU84" s="140"/>
      <c r="BV84" s="140"/>
      <c r="BW84" s="140"/>
      <c r="BX84" s="127"/>
      <c r="BY84" s="127"/>
      <c r="BZ84" s="140"/>
      <c r="CA84" s="140"/>
      <c r="CB84" s="140"/>
      <c r="CC84" s="140"/>
      <c r="CD84" s="140"/>
      <c r="CE84" s="140"/>
      <c r="CF84" s="126"/>
      <c r="CH84" s="126"/>
      <c r="CI84" s="140"/>
      <c r="CJ84" s="140"/>
      <c r="CK84" s="140"/>
      <c r="CL84" s="140"/>
      <c r="CM84" s="140"/>
      <c r="CN84" s="140"/>
      <c r="CO84" s="140"/>
      <c r="CP84" s="140"/>
      <c r="CQ84" s="140"/>
      <c r="CR84" s="140"/>
      <c r="CS84" s="142"/>
    </row>
    <row r="85" spans="1:98" s="55" customFormat="1" ht="12.75" customHeight="1">
      <c r="A85" s="35" t="s">
        <v>109</v>
      </c>
      <c r="C85" s="35" t="s">
        <v>110</v>
      </c>
      <c r="D85" s="44"/>
      <c r="E85" s="53">
        <v>1681799</v>
      </c>
      <c r="F85" s="53"/>
      <c r="G85" s="53">
        <v>13442874</v>
      </c>
      <c r="H85" s="53"/>
      <c r="I85" s="53">
        <v>15124673</v>
      </c>
      <c r="J85" s="53"/>
      <c r="K85" s="53">
        <f t="shared" si="28"/>
        <v>761561</v>
      </c>
      <c r="L85" s="53"/>
      <c r="M85" s="53">
        <v>3139034</v>
      </c>
      <c r="N85" s="53"/>
      <c r="O85" s="53">
        <v>3900595</v>
      </c>
      <c r="P85" s="53"/>
      <c r="Q85" s="53">
        <v>10048994</v>
      </c>
      <c r="R85" s="53"/>
      <c r="S85" s="53">
        <v>0</v>
      </c>
      <c r="T85" s="53"/>
      <c r="U85" s="53">
        <v>1175084</v>
      </c>
      <c r="V85" s="53"/>
      <c r="W85" s="53">
        <f t="shared" si="29"/>
        <v>11224078</v>
      </c>
      <c r="X85" s="53"/>
      <c r="Y85" s="35" t="s">
        <v>109</v>
      </c>
      <c r="AA85" s="35" t="s">
        <v>110</v>
      </c>
      <c r="AB85" s="35"/>
      <c r="AC85" s="53">
        <v>3397825</v>
      </c>
      <c r="AD85" s="53"/>
      <c r="AE85" s="53">
        <f>2408303-340683</f>
        <v>2067620</v>
      </c>
      <c r="AF85" s="53"/>
      <c r="AG85" s="53">
        <v>340683</v>
      </c>
      <c r="AH85" s="53"/>
      <c r="AI85" s="45">
        <f t="shared" si="30"/>
        <v>989522</v>
      </c>
      <c r="AJ85" s="45"/>
      <c r="AK85" s="53">
        <v>-172036</v>
      </c>
      <c r="AL85" s="45"/>
      <c r="AM85" s="53">
        <v>0</v>
      </c>
      <c r="AN85" s="53"/>
      <c r="AO85" s="53">
        <v>0</v>
      </c>
      <c r="AP85" s="53"/>
      <c r="AQ85" s="53">
        <v>0</v>
      </c>
      <c r="AR85" s="53"/>
      <c r="AS85" s="45">
        <f t="shared" si="27"/>
        <v>817486</v>
      </c>
      <c r="AT85" s="45"/>
      <c r="AU85" s="53">
        <v>0</v>
      </c>
      <c r="AV85" s="53"/>
      <c r="AW85" s="53">
        <v>0</v>
      </c>
      <c r="AX85" s="53"/>
      <c r="AY85" s="53">
        <f t="shared" si="31"/>
        <v>920238</v>
      </c>
      <c r="AZ85" s="53"/>
      <c r="BA85" s="35" t="s">
        <v>109</v>
      </c>
      <c r="BC85" s="35" t="s">
        <v>110</v>
      </c>
      <c r="BD85" s="53"/>
      <c r="BE85" s="53">
        <v>0</v>
      </c>
      <c r="BF85" s="53"/>
      <c r="BG85" s="53">
        <v>0</v>
      </c>
      <c r="BH85" s="53"/>
      <c r="BI85" s="53">
        <v>112701</v>
      </c>
      <c r="BJ85" s="53"/>
      <c r="BK85" s="53">
        <v>0</v>
      </c>
      <c r="BL85" s="53"/>
      <c r="BM85" s="53">
        <f t="shared" si="32"/>
        <v>112701</v>
      </c>
      <c r="BN85" s="54" t="s">
        <v>347</v>
      </c>
      <c r="BR85" s="51"/>
      <c r="BS85" s="53"/>
      <c r="BT85" s="53"/>
      <c r="BU85" s="53"/>
      <c r="BV85" s="53"/>
      <c r="BW85" s="53"/>
      <c r="BX85" s="45"/>
      <c r="BY85" s="45"/>
      <c r="BZ85" s="53"/>
      <c r="CA85" s="53"/>
      <c r="CB85" s="53"/>
      <c r="CC85" s="53"/>
      <c r="CD85" s="53"/>
      <c r="CE85" s="53"/>
      <c r="CF85" s="35"/>
      <c r="CH85" s="35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4"/>
    </row>
    <row r="86" spans="1:98" s="55" customFormat="1" ht="12.75" customHeight="1">
      <c r="A86" s="35" t="s">
        <v>43</v>
      </c>
      <c r="B86" s="51"/>
      <c r="C86" s="35" t="s">
        <v>111</v>
      </c>
      <c r="D86" s="44"/>
      <c r="E86" s="53">
        <v>1176105</v>
      </c>
      <c r="F86" s="53"/>
      <c r="G86" s="53">
        <v>4169729</v>
      </c>
      <c r="H86" s="53"/>
      <c r="I86" s="53">
        <v>5345834</v>
      </c>
      <c r="J86" s="53"/>
      <c r="K86" s="53">
        <f t="shared" si="28"/>
        <v>329660</v>
      </c>
      <c r="L86" s="53"/>
      <c r="M86" s="53">
        <v>127855</v>
      </c>
      <c r="N86" s="53"/>
      <c r="O86" s="53">
        <v>457515</v>
      </c>
      <c r="P86" s="53"/>
      <c r="Q86" s="53">
        <v>4113487</v>
      </c>
      <c r="R86" s="53"/>
      <c r="S86" s="53">
        <v>0</v>
      </c>
      <c r="T86" s="53"/>
      <c r="U86" s="53">
        <v>774832</v>
      </c>
      <c r="V86" s="53"/>
      <c r="W86" s="53">
        <f t="shared" si="29"/>
        <v>4888319</v>
      </c>
      <c r="X86" s="53"/>
      <c r="Y86" s="35" t="s">
        <v>43</v>
      </c>
      <c r="AA86" s="35" t="s">
        <v>111</v>
      </c>
      <c r="AB86" s="35"/>
      <c r="AC86" s="53">
        <v>2552725</v>
      </c>
      <c r="AD86" s="53"/>
      <c r="AE86" s="53">
        <f>2240853-147134</f>
        <v>2093719</v>
      </c>
      <c r="AF86" s="53"/>
      <c r="AG86" s="53">
        <v>147134</v>
      </c>
      <c r="AH86" s="53"/>
      <c r="AI86" s="45">
        <f t="shared" si="30"/>
        <v>311872</v>
      </c>
      <c r="AJ86" s="45"/>
      <c r="AK86" s="53">
        <v>0</v>
      </c>
      <c r="AL86" s="45"/>
      <c r="AM86" s="53">
        <v>0</v>
      </c>
      <c r="AN86" s="53"/>
      <c r="AO86" s="53">
        <v>45000</v>
      </c>
      <c r="AP86" s="53"/>
      <c r="AQ86" s="53">
        <v>0</v>
      </c>
      <c r="AR86" s="53"/>
      <c r="AS86" s="45">
        <f t="shared" si="27"/>
        <v>266872</v>
      </c>
      <c r="AT86" s="45"/>
      <c r="AU86" s="53">
        <v>0</v>
      </c>
      <c r="AV86" s="53"/>
      <c r="AW86" s="53">
        <v>0</v>
      </c>
      <c r="AX86" s="53"/>
      <c r="AY86" s="53">
        <f t="shared" si="31"/>
        <v>846445</v>
      </c>
      <c r="AZ86" s="53"/>
      <c r="BA86" s="35" t="s">
        <v>43</v>
      </c>
      <c r="BC86" s="35" t="s">
        <v>111</v>
      </c>
      <c r="BD86" s="53"/>
      <c r="BE86" s="53">
        <v>1090000</v>
      </c>
      <c r="BF86" s="53"/>
      <c r="BG86" s="53">
        <v>0</v>
      </c>
      <c r="BH86" s="53"/>
      <c r="BI86" s="53">
        <v>0</v>
      </c>
      <c r="BJ86" s="53"/>
      <c r="BK86" s="53">
        <v>0</v>
      </c>
      <c r="BL86" s="53"/>
      <c r="BM86" s="53">
        <f t="shared" si="32"/>
        <v>1090000</v>
      </c>
      <c r="BN86" s="54" t="s">
        <v>347</v>
      </c>
      <c r="BR86" s="51"/>
      <c r="BS86" s="53"/>
      <c r="BT86" s="53"/>
      <c r="BU86" s="53"/>
      <c r="BV86" s="53"/>
      <c r="BW86" s="53"/>
      <c r="BX86" s="45"/>
      <c r="BY86" s="45"/>
      <c r="BZ86" s="53"/>
      <c r="CA86" s="53"/>
      <c r="CB86" s="53"/>
      <c r="CC86" s="53"/>
      <c r="CD86" s="53"/>
      <c r="CE86" s="53"/>
      <c r="CF86" s="35"/>
      <c r="CH86" s="35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4"/>
    </row>
    <row r="87" spans="1:98" s="55" customFormat="1" ht="12.75" customHeight="1">
      <c r="A87" s="35" t="s">
        <v>112</v>
      </c>
      <c r="B87" s="51"/>
      <c r="C87" s="35" t="s">
        <v>76</v>
      </c>
      <c r="D87" s="44"/>
      <c r="E87" s="53">
        <f>2353942+678140+43676</f>
        <v>3075758</v>
      </c>
      <c r="F87" s="53"/>
      <c r="G87" s="53">
        <v>10325353</v>
      </c>
      <c r="H87" s="53"/>
      <c r="I87" s="53">
        <v>13401111</v>
      </c>
      <c r="J87" s="53"/>
      <c r="K87" s="53">
        <f t="shared" si="28"/>
        <v>195946</v>
      </c>
      <c r="L87" s="53"/>
      <c r="M87" s="53">
        <v>448631</v>
      </c>
      <c r="N87" s="53"/>
      <c r="O87" s="53">
        <v>644577</v>
      </c>
      <c r="P87" s="53"/>
      <c r="Q87" s="53">
        <v>10044312</v>
      </c>
      <c r="R87" s="53"/>
      <c r="S87" s="53">
        <v>0</v>
      </c>
      <c r="T87" s="53"/>
      <c r="U87" s="53">
        <v>2712222</v>
      </c>
      <c r="V87" s="53"/>
      <c r="W87" s="53">
        <f t="shared" si="29"/>
        <v>12756534</v>
      </c>
      <c r="X87" s="53"/>
      <c r="Y87" s="35" t="s">
        <v>112</v>
      </c>
      <c r="AA87" s="35" t="s">
        <v>76</v>
      </c>
      <c r="AB87" s="35"/>
      <c r="AC87" s="53">
        <v>3892669</v>
      </c>
      <c r="AD87" s="53"/>
      <c r="AE87" s="53">
        <f>3480669-551429</f>
        <v>2929240</v>
      </c>
      <c r="AF87" s="53"/>
      <c r="AG87" s="53">
        <v>551429</v>
      </c>
      <c r="AH87" s="53"/>
      <c r="AI87" s="45">
        <f t="shared" si="30"/>
        <v>412000</v>
      </c>
      <c r="AJ87" s="45"/>
      <c r="AK87" s="53">
        <v>4397</v>
      </c>
      <c r="AL87" s="45"/>
      <c r="AM87" s="53">
        <v>0</v>
      </c>
      <c r="AN87" s="53"/>
      <c r="AO87" s="53">
        <v>0</v>
      </c>
      <c r="AP87" s="53"/>
      <c r="AQ87" s="53">
        <v>2708</v>
      </c>
      <c r="AR87" s="53"/>
      <c r="AS87" s="45">
        <f t="shared" si="27"/>
        <v>419105</v>
      </c>
      <c r="AT87" s="45"/>
      <c r="AU87" s="53">
        <v>0</v>
      </c>
      <c r="AV87" s="53"/>
      <c r="AW87" s="53">
        <v>0</v>
      </c>
      <c r="AX87" s="53"/>
      <c r="AY87" s="53">
        <f t="shared" si="31"/>
        <v>2879812</v>
      </c>
      <c r="AZ87" s="53"/>
      <c r="BA87" s="35" t="s">
        <v>112</v>
      </c>
      <c r="BC87" s="35" t="s">
        <v>76</v>
      </c>
      <c r="BD87" s="53"/>
      <c r="BE87" s="53">
        <v>281041</v>
      </c>
      <c r="BF87" s="53"/>
      <c r="BG87" s="53">
        <v>0</v>
      </c>
      <c r="BH87" s="53"/>
      <c r="BI87" s="53">
        <v>0</v>
      </c>
      <c r="BJ87" s="53"/>
      <c r="BK87" s="53">
        <v>0</v>
      </c>
      <c r="BL87" s="53"/>
      <c r="BM87" s="53">
        <f t="shared" si="32"/>
        <v>281041</v>
      </c>
      <c r="BN87" s="54" t="s">
        <v>347</v>
      </c>
      <c r="BR87" s="51"/>
      <c r="BS87" s="53"/>
      <c r="BT87" s="53"/>
      <c r="BU87" s="53"/>
      <c r="BV87" s="53"/>
      <c r="BW87" s="53"/>
      <c r="BX87" s="45"/>
      <c r="BY87" s="45"/>
      <c r="BZ87" s="53"/>
      <c r="CA87" s="53"/>
      <c r="CB87" s="53"/>
      <c r="CC87" s="53"/>
      <c r="CD87" s="53"/>
      <c r="CE87" s="53"/>
      <c r="CF87" s="35"/>
      <c r="CH87" s="35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4"/>
    </row>
    <row r="88" spans="1:98" s="55" customFormat="1" ht="11.25" customHeight="1">
      <c r="A88" s="35"/>
      <c r="B88" s="51"/>
      <c r="C88" s="35"/>
      <c r="D88" s="44"/>
      <c r="E88" s="53"/>
      <c r="F88" s="53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 t="s">
        <v>484</v>
      </c>
      <c r="X88" s="53"/>
      <c r="Y88" s="35"/>
      <c r="AA88" s="35"/>
      <c r="AB88" s="35"/>
      <c r="AC88" s="53"/>
      <c r="AD88" s="53"/>
      <c r="AE88" s="53"/>
      <c r="AF88" s="53"/>
      <c r="AG88" s="53"/>
      <c r="AH88" s="53"/>
      <c r="AI88" s="45"/>
      <c r="AJ88" s="45"/>
      <c r="AK88" s="53"/>
      <c r="AL88" s="45"/>
      <c r="AM88" s="53"/>
      <c r="AN88" s="53"/>
      <c r="AO88" s="53"/>
      <c r="AP88" s="53"/>
      <c r="AQ88" s="53"/>
      <c r="AR88" s="53"/>
      <c r="AS88" s="45"/>
      <c r="AT88" s="45"/>
      <c r="AU88" s="53"/>
      <c r="AV88" s="53"/>
      <c r="AW88" s="53"/>
      <c r="AX88" s="53"/>
      <c r="AY88" s="53" t="s">
        <v>484</v>
      </c>
      <c r="AZ88" s="53"/>
      <c r="BA88" s="35"/>
      <c r="BC88" s="35"/>
      <c r="BD88" s="53"/>
      <c r="BE88" s="53"/>
      <c r="BF88" s="53"/>
      <c r="BG88" s="53"/>
      <c r="BH88" s="53"/>
      <c r="BI88" s="53"/>
      <c r="BJ88" s="53"/>
      <c r="BK88" s="53"/>
      <c r="BL88" s="53"/>
      <c r="BM88" s="53" t="s">
        <v>484</v>
      </c>
      <c r="BN88" s="54"/>
      <c r="BR88" s="51"/>
      <c r="BS88" s="53"/>
      <c r="BT88" s="53"/>
      <c r="BU88" s="53"/>
      <c r="BV88" s="53"/>
      <c r="BW88" s="53"/>
      <c r="BX88" s="45"/>
      <c r="BY88" s="45"/>
      <c r="BZ88" s="53"/>
      <c r="CA88" s="53"/>
      <c r="CB88" s="53"/>
      <c r="CC88" s="53"/>
      <c r="CD88" s="53"/>
      <c r="CE88" s="53"/>
      <c r="CF88" s="35"/>
      <c r="CH88" s="35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4"/>
    </row>
    <row r="89" spans="1:98" s="90" customFormat="1" ht="12.75" customHeight="1">
      <c r="A89" s="64" t="s">
        <v>113</v>
      </c>
      <c r="B89" s="66"/>
      <c r="C89" s="64" t="s">
        <v>43</v>
      </c>
      <c r="D89" s="46"/>
      <c r="E89" s="79">
        <f>32888880-16324050</f>
        <v>16564830</v>
      </c>
      <c r="F89" s="79"/>
      <c r="G89" s="79">
        <v>16324050</v>
      </c>
      <c r="H89" s="79"/>
      <c r="I89" s="79">
        <v>32888880</v>
      </c>
      <c r="J89" s="79"/>
      <c r="K89" s="79">
        <f t="shared" si="28"/>
        <v>1358285</v>
      </c>
      <c r="L89" s="79"/>
      <c r="M89" s="79">
        <v>372036</v>
      </c>
      <c r="N89" s="79"/>
      <c r="O89" s="79">
        <v>1730321</v>
      </c>
      <c r="P89" s="79"/>
      <c r="Q89" s="79">
        <v>16193388</v>
      </c>
      <c r="R89" s="79"/>
      <c r="S89" s="79">
        <v>0</v>
      </c>
      <c r="T89" s="79"/>
      <c r="U89" s="79">
        <v>14965171</v>
      </c>
      <c r="V89" s="79"/>
      <c r="W89" s="79">
        <f t="shared" si="29"/>
        <v>31158559</v>
      </c>
      <c r="X89" s="79"/>
      <c r="Y89" s="64" t="s">
        <v>113</v>
      </c>
      <c r="AA89" s="64" t="s">
        <v>43</v>
      </c>
      <c r="AB89" s="64"/>
      <c r="AC89" s="79">
        <v>8532161</v>
      </c>
      <c r="AD89" s="79"/>
      <c r="AE89" s="79">
        <f>5311518-436034</f>
        <v>4875484</v>
      </c>
      <c r="AF89" s="79"/>
      <c r="AG89" s="79">
        <v>436034</v>
      </c>
      <c r="AH89" s="79"/>
      <c r="AI89" s="94">
        <f t="shared" si="30"/>
        <v>3220643</v>
      </c>
      <c r="AJ89" s="94"/>
      <c r="AK89" s="79">
        <v>-4755</v>
      </c>
      <c r="AL89" s="94"/>
      <c r="AM89" s="79">
        <v>0</v>
      </c>
      <c r="AN89" s="79"/>
      <c r="AO89" s="79">
        <v>5000</v>
      </c>
      <c r="AP89" s="79"/>
      <c r="AQ89" s="79">
        <v>0</v>
      </c>
      <c r="AR89" s="79"/>
      <c r="AS89" s="45">
        <f t="shared" si="27"/>
        <v>3210888</v>
      </c>
      <c r="AT89" s="94"/>
      <c r="AU89" s="79">
        <v>0</v>
      </c>
      <c r="AV89" s="79"/>
      <c r="AW89" s="79">
        <v>0</v>
      </c>
      <c r="AX89" s="79"/>
      <c r="AY89" s="79">
        <f t="shared" si="31"/>
        <v>15206545</v>
      </c>
      <c r="AZ89" s="79"/>
      <c r="BA89" s="64" t="s">
        <v>113</v>
      </c>
      <c r="BC89" s="64" t="s">
        <v>43</v>
      </c>
      <c r="BD89" s="79"/>
      <c r="BE89" s="79">
        <f>333719+7474</f>
        <v>341193</v>
      </c>
      <c r="BF89" s="79"/>
      <c r="BG89" s="79">
        <v>0</v>
      </c>
      <c r="BH89" s="79"/>
      <c r="BI89" s="79">
        <v>0</v>
      </c>
      <c r="BJ89" s="79"/>
      <c r="BK89" s="79">
        <v>0</v>
      </c>
      <c r="BL89" s="79"/>
      <c r="BM89" s="79">
        <f t="shared" si="32"/>
        <v>341193</v>
      </c>
      <c r="BN89" s="91" t="s">
        <v>347</v>
      </c>
      <c r="BR89" s="66"/>
      <c r="BS89" s="79"/>
      <c r="BT89" s="79"/>
      <c r="BU89" s="79"/>
      <c r="BV89" s="79"/>
      <c r="BW89" s="79"/>
      <c r="BX89" s="94"/>
      <c r="BY89" s="94"/>
      <c r="BZ89" s="79"/>
      <c r="CA89" s="79"/>
      <c r="CB89" s="79"/>
      <c r="CC89" s="79"/>
      <c r="CD89" s="79"/>
      <c r="CE89" s="79"/>
      <c r="CF89" s="64"/>
      <c r="CH89" s="64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91"/>
    </row>
    <row r="90" spans="1:98" s="55" customFormat="1" ht="12.75" customHeight="1">
      <c r="A90" s="35" t="s">
        <v>489</v>
      </c>
      <c r="B90" s="51"/>
      <c r="C90" s="35" t="s">
        <v>57</v>
      </c>
      <c r="D90" s="44"/>
      <c r="E90" s="53">
        <v>2229427</v>
      </c>
      <c r="F90" s="53"/>
      <c r="G90" s="53">
        <v>7714056</v>
      </c>
      <c r="H90" s="53"/>
      <c r="I90" s="53">
        <v>9943483</v>
      </c>
      <c r="J90" s="53"/>
      <c r="K90" s="53">
        <f>O90-M90</f>
        <v>898358</v>
      </c>
      <c r="L90" s="53"/>
      <c r="M90" s="53">
        <v>3461554</v>
      </c>
      <c r="N90" s="53"/>
      <c r="O90" s="53">
        <v>4359912</v>
      </c>
      <c r="P90" s="53"/>
      <c r="Q90" s="53">
        <v>4057682</v>
      </c>
      <c r="R90" s="53"/>
      <c r="S90" s="53">
        <v>0</v>
      </c>
      <c r="T90" s="53"/>
      <c r="U90" s="53">
        <v>1525889</v>
      </c>
      <c r="V90" s="53"/>
      <c r="W90" s="53">
        <f>SUM(Q90:U90)</f>
        <v>5583571</v>
      </c>
      <c r="X90" s="53"/>
      <c r="Y90" s="35" t="s">
        <v>490</v>
      </c>
      <c r="AA90" s="35" t="s">
        <v>57</v>
      </c>
      <c r="AB90" s="35"/>
      <c r="AC90" s="53">
        <v>1847029</v>
      </c>
      <c r="AD90" s="53"/>
      <c r="AE90" s="53">
        <f>1718042-213905</f>
        <v>1504137</v>
      </c>
      <c r="AF90" s="53"/>
      <c r="AG90" s="53">
        <v>213905</v>
      </c>
      <c r="AH90" s="53"/>
      <c r="AI90" s="45">
        <f>+AC90-AE90-AG90</f>
        <v>128987</v>
      </c>
      <c r="AJ90" s="45"/>
      <c r="AK90" s="53">
        <v>-110865</v>
      </c>
      <c r="AL90" s="45"/>
      <c r="AM90" s="53">
        <v>44520</v>
      </c>
      <c r="AN90" s="53"/>
      <c r="AO90" s="53">
        <v>43178</v>
      </c>
      <c r="AP90" s="53"/>
      <c r="AQ90" s="53">
        <v>426202</v>
      </c>
      <c r="AR90" s="53"/>
      <c r="AS90" s="45">
        <f t="shared" si="27"/>
        <v>445666</v>
      </c>
      <c r="AT90" s="45"/>
      <c r="AU90" s="53">
        <v>0</v>
      </c>
      <c r="AV90" s="53"/>
      <c r="AW90" s="53">
        <v>0</v>
      </c>
      <c r="AX90" s="53"/>
      <c r="AY90" s="53">
        <f>+E90-K90</f>
        <v>1331069</v>
      </c>
      <c r="AZ90" s="53"/>
      <c r="BA90" s="35" t="s">
        <v>489</v>
      </c>
      <c r="BC90" s="35" t="s">
        <v>57</v>
      </c>
      <c r="BD90" s="53"/>
      <c r="BE90" s="53">
        <v>10058707</v>
      </c>
      <c r="BF90" s="53"/>
      <c r="BG90" s="53">
        <v>0</v>
      </c>
      <c r="BH90" s="53"/>
      <c r="BI90" s="53">
        <v>0</v>
      </c>
      <c r="BJ90" s="53"/>
      <c r="BK90" s="53">
        <v>92033</v>
      </c>
      <c r="BL90" s="53"/>
      <c r="BM90" s="53">
        <f>SUM(BE90:BK90)</f>
        <v>10150740</v>
      </c>
      <c r="BN90" s="54" t="s">
        <v>347</v>
      </c>
      <c r="BR90" s="51"/>
      <c r="BS90" s="53"/>
      <c r="BT90" s="53"/>
      <c r="BU90" s="53"/>
      <c r="BV90" s="53"/>
      <c r="BW90" s="53"/>
      <c r="BX90" s="45"/>
      <c r="BY90" s="45"/>
      <c r="BZ90" s="53"/>
      <c r="CA90" s="53"/>
      <c r="CB90" s="53"/>
      <c r="CC90" s="53"/>
      <c r="CD90" s="53"/>
      <c r="CE90" s="53"/>
      <c r="CF90" s="35"/>
      <c r="CH90" s="35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4"/>
    </row>
    <row r="91" spans="1:98" s="143" customFormat="1" ht="12.75" hidden="1" customHeight="1">
      <c r="A91" s="126" t="s">
        <v>114</v>
      </c>
      <c r="B91" s="124"/>
      <c r="C91" s="126" t="s">
        <v>27</v>
      </c>
      <c r="D91" s="121"/>
      <c r="E91" s="140"/>
      <c r="F91" s="140"/>
      <c r="G91" s="140"/>
      <c r="H91" s="140"/>
      <c r="I91" s="140"/>
      <c r="J91" s="140"/>
      <c r="K91" s="140">
        <f t="shared" si="28"/>
        <v>0</v>
      </c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>
        <f t="shared" si="29"/>
        <v>0</v>
      </c>
      <c r="X91" s="140"/>
      <c r="Y91" s="126" t="s">
        <v>114</v>
      </c>
      <c r="AA91" s="126" t="s">
        <v>27</v>
      </c>
      <c r="AB91" s="126"/>
      <c r="AC91" s="140"/>
      <c r="AD91" s="140"/>
      <c r="AE91" s="140"/>
      <c r="AF91" s="140"/>
      <c r="AG91" s="140"/>
      <c r="AH91" s="140"/>
      <c r="AI91" s="127">
        <f t="shared" si="30"/>
        <v>0</v>
      </c>
      <c r="AJ91" s="127"/>
      <c r="AK91" s="140"/>
      <c r="AL91" s="127"/>
      <c r="AM91" s="53">
        <v>0</v>
      </c>
      <c r="AN91" s="53"/>
      <c r="AO91" s="53">
        <v>0</v>
      </c>
      <c r="AP91" s="140"/>
      <c r="AQ91" s="140"/>
      <c r="AR91" s="140"/>
      <c r="AS91" s="45">
        <f t="shared" si="27"/>
        <v>0</v>
      </c>
      <c r="AT91" s="127"/>
      <c r="AU91" s="140">
        <v>0</v>
      </c>
      <c r="AV91" s="140"/>
      <c r="AW91" s="140">
        <v>0</v>
      </c>
      <c r="AX91" s="140"/>
      <c r="AY91" s="140">
        <f t="shared" si="31"/>
        <v>0</v>
      </c>
      <c r="AZ91" s="140"/>
      <c r="BA91" s="126" t="s">
        <v>114</v>
      </c>
      <c r="BC91" s="126" t="s">
        <v>27</v>
      </c>
      <c r="BD91" s="140"/>
      <c r="BE91" s="140"/>
      <c r="BF91" s="140"/>
      <c r="BG91" s="140"/>
      <c r="BH91" s="140"/>
      <c r="BI91" s="140"/>
      <c r="BJ91" s="140"/>
      <c r="BK91" s="140"/>
      <c r="BL91" s="140"/>
      <c r="BM91" s="140">
        <f t="shared" si="32"/>
        <v>0</v>
      </c>
      <c r="BN91" s="142" t="s">
        <v>347</v>
      </c>
      <c r="BR91" s="124"/>
      <c r="BS91" s="140"/>
      <c r="BT91" s="140"/>
      <c r="BU91" s="140"/>
      <c r="BV91" s="140"/>
      <c r="BW91" s="140"/>
      <c r="BX91" s="127"/>
      <c r="BY91" s="127"/>
      <c r="BZ91" s="140"/>
      <c r="CA91" s="140"/>
      <c r="CB91" s="140"/>
      <c r="CC91" s="140"/>
      <c r="CD91" s="140"/>
      <c r="CE91" s="140"/>
      <c r="CF91" s="126"/>
      <c r="CH91" s="126"/>
      <c r="CI91" s="140"/>
      <c r="CJ91" s="140"/>
      <c r="CK91" s="140"/>
      <c r="CL91" s="140"/>
      <c r="CM91" s="140"/>
      <c r="CN91" s="140"/>
      <c r="CO91" s="140"/>
      <c r="CP91" s="140"/>
      <c r="CQ91" s="140"/>
      <c r="CR91" s="140"/>
      <c r="CS91" s="142"/>
    </row>
    <row r="92" spans="1:98" s="55" customFormat="1" ht="12.75" customHeight="1">
      <c r="A92" s="35" t="s">
        <v>115</v>
      </c>
      <c r="C92" s="35" t="s">
        <v>19</v>
      </c>
      <c r="D92" s="44"/>
      <c r="E92" s="53">
        <v>1085303</v>
      </c>
      <c r="F92" s="53"/>
      <c r="G92" s="53">
        <v>5293206</v>
      </c>
      <c r="H92" s="53"/>
      <c r="I92" s="53">
        <v>6378509</v>
      </c>
      <c r="J92" s="53"/>
      <c r="K92" s="53">
        <f t="shared" si="28"/>
        <v>442109</v>
      </c>
      <c r="L92" s="53"/>
      <c r="M92" s="53">
        <v>3643303</v>
      </c>
      <c r="N92" s="53"/>
      <c r="O92" s="53">
        <v>4085412</v>
      </c>
      <c r="P92" s="53"/>
      <c r="Q92" s="53">
        <v>1286037</v>
      </c>
      <c r="R92" s="53"/>
      <c r="S92" s="53">
        <v>0</v>
      </c>
      <c r="T92" s="53"/>
      <c r="U92" s="53">
        <v>1007060</v>
      </c>
      <c r="V92" s="53"/>
      <c r="W92" s="53">
        <f t="shared" si="29"/>
        <v>2293097</v>
      </c>
      <c r="X92" s="53"/>
      <c r="Y92" s="35" t="s">
        <v>115</v>
      </c>
      <c r="AA92" s="35" t="s">
        <v>19</v>
      </c>
      <c r="AB92" s="35"/>
      <c r="AC92" s="53">
        <v>1718546</v>
      </c>
      <c r="AD92" s="53"/>
      <c r="AE92" s="53">
        <f>783942-204333</f>
        <v>579609</v>
      </c>
      <c r="AF92" s="53"/>
      <c r="AG92" s="53">
        <v>204333</v>
      </c>
      <c r="AH92" s="53"/>
      <c r="AI92" s="45">
        <f t="shared" si="30"/>
        <v>934604</v>
      </c>
      <c r="AJ92" s="45"/>
      <c r="AK92" s="53">
        <v>-124903</v>
      </c>
      <c r="AL92" s="45"/>
      <c r="AM92" s="53">
        <v>41540</v>
      </c>
      <c r="AN92" s="53"/>
      <c r="AO92" s="53">
        <v>64912</v>
      </c>
      <c r="AP92" s="53"/>
      <c r="AQ92" s="53">
        <v>0</v>
      </c>
      <c r="AR92" s="53"/>
      <c r="AS92" s="45">
        <f t="shared" si="27"/>
        <v>786329</v>
      </c>
      <c r="AT92" s="45"/>
      <c r="AU92" s="53">
        <v>0</v>
      </c>
      <c r="AV92" s="53"/>
      <c r="AW92" s="53">
        <v>0</v>
      </c>
      <c r="AX92" s="53"/>
      <c r="AY92" s="53">
        <f t="shared" si="31"/>
        <v>643194</v>
      </c>
      <c r="AZ92" s="53"/>
      <c r="BA92" s="35" t="s">
        <v>115</v>
      </c>
      <c r="BC92" s="35" t="s">
        <v>19</v>
      </c>
      <c r="BD92" s="53"/>
      <c r="BE92" s="53">
        <v>95804</v>
      </c>
      <c r="BF92" s="53"/>
      <c r="BG92" s="53">
        <v>0</v>
      </c>
      <c r="BH92" s="53"/>
      <c r="BI92" s="53">
        <v>0</v>
      </c>
      <c r="BJ92" s="53"/>
      <c r="BK92" s="53">
        <v>0</v>
      </c>
      <c r="BL92" s="53"/>
      <c r="BM92" s="53">
        <f t="shared" si="32"/>
        <v>95804</v>
      </c>
      <c r="BN92" s="54" t="s">
        <v>347</v>
      </c>
      <c r="BR92" s="51"/>
      <c r="BS92" s="53"/>
      <c r="BT92" s="53"/>
      <c r="BU92" s="53"/>
      <c r="BV92" s="53"/>
      <c r="BW92" s="53"/>
      <c r="BX92" s="45"/>
      <c r="BY92" s="45"/>
      <c r="BZ92" s="53"/>
      <c r="CA92" s="53"/>
      <c r="CB92" s="53"/>
      <c r="CC92" s="53"/>
      <c r="CD92" s="53"/>
      <c r="CE92" s="53"/>
      <c r="CF92" s="35"/>
      <c r="CH92" s="35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4"/>
    </row>
    <row r="93" spans="1:98" s="55" customFormat="1" ht="12.75" customHeight="1">
      <c r="A93" s="35" t="s">
        <v>116</v>
      </c>
      <c r="B93" s="51"/>
      <c r="C93" s="35" t="s">
        <v>80</v>
      </c>
      <c r="D93" s="44"/>
      <c r="E93" s="53">
        <v>870348</v>
      </c>
      <c r="F93" s="53"/>
      <c r="G93" s="53">
        <v>7510513</v>
      </c>
      <c r="H93" s="53"/>
      <c r="I93" s="53">
        <v>8380861</v>
      </c>
      <c r="J93" s="53"/>
      <c r="K93" s="53">
        <f t="shared" si="28"/>
        <v>147197</v>
      </c>
      <c r="L93" s="53"/>
      <c r="M93" s="53">
        <v>337287</v>
      </c>
      <c r="N93" s="53"/>
      <c r="O93" s="53">
        <v>484484</v>
      </c>
      <c r="P93" s="53"/>
      <c r="Q93" s="53">
        <v>7209692</v>
      </c>
      <c r="R93" s="53"/>
      <c r="S93" s="53">
        <v>0</v>
      </c>
      <c r="T93" s="53"/>
      <c r="U93" s="53">
        <v>686685</v>
      </c>
      <c r="V93" s="53"/>
      <c r="W93" s="53">
        <f t="shared" si="29"/>
        <v>7896377</v>
      </c>
      <c r="X93" s="53"/>
      <c r="Y93" s="35" t="s">
        <v>116</v>
      </c>
      <c r="AA93" s="35" t="s">
        <v>80</v>
      </c>
      <c r="AB93" s="35"/>
      <c r="AC93" s="53">
        <v>1563580</v>
      </c>
      <c r="AD93" s="53"/>
      <c r="AE93" s="53">
        <f>1571839-143408</f>
        <v>1428431</v>
      </c>
      <c r="AF93" s="53"/>
      <c r="AG93" s="53">
        <v>143408</v>
      </c>
      <c r="AH93" s="53"/>
      <c r="AI93" s="45">
        <f t="shared" si="30"/>
        <v>-8259</v>
      </c>
      <c r="AJ93" s="45"/>
      <c r="AK93" s="53">
        <v>-68141</v>
      </c>
      <c r="AL93" s="45"/>
      <c r="AM93" s="53">
        <v>94484</v>
      </c>
      <c r="AN93" s="53"/>
      <c r="AO93" s="53">
        <v>0</v>
      </c>
      <c r="AP93" s="53"/>
      <c r="AQ93" s="53">
        <v>0</v>
      </c>
      <c r="AR93" s="53"/>
      <c r="AS93" s="45">
        <f t="shared" si="27"/>
        <v>18084</v>
      </c>
      <c r="AT93" s="45"/>
      <c r="AU93" s="53">
        <v>0</v>
      </c>
      <c r="AV93" s="53"/>
      <c r="AW93" s="53">
        <v>0</v>
      </c>
      <c r="AX93" s="53"/>
      <c r="AY93" s="53">
        <f t="shared" si="31"/>
        <v>723151</v>
      </c>
      <c r="AZ93" s="53"/>
      <c r="BA93" s="35" t="s">
        <v>116</v>
      </c>
      <c r="BC93" s="35" t="s">
        <v>80</v>
      </c>
      <c r="BD93" s="53"/>
      <c r="BE93" s="53">
        <v>457870</v>
      </c>
      <c r="BF93" s="53"/>
      <c r="BG93" s="53">
        <v>0</v>
      </c>
      <c r="BH93" s="53"/>
      <c r="BI93" s="53">
        <v>0</v>
      </c>
      <c r="BJ93" s="53"/>
      <c r="BK93" s="53">
        <v>0</v>
      </c>
      <c r="BL93" s="53"/>
      <c r="BM93" s="53">
        <f t="shared" si="32"/>
        <v>457870</v>
      </c>
      <c r="BN93" s="54" t="s">
        <v>347</v>
      </c>
      <c r="BR93" s="51"/>
      <c r="BS93" s="53"/>
      <c r="BT93" s="53"/>
      <c r="BU93" s="53"/>
      <c r="BV93" s="53"/>
      <c r="BW93" s="53"/>
      <c r="BX93" s="45"/>
      <c r="BY93" s="45"/>
      <c r="BZ93" s="53"/>
      <c r="CA93" s="53"/>
      <c r="CB93" s="53"/>
      <c r="CC93" s="53"/>
      <c r="CD93" s="53"/>
      <c r="CE93" s="53"/>
      <c r="CF93" s="35"/>
      <c r="CH93" s="35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4"/>
    </row>
    <row r="94" spans="1:98" s="143" customFormat="1" ht="12.75" hidden="1" customHeight="1">
      <c r="A94" s="121" t="s">
        <v>117</v>
      </c>
      <c r="B94" s="124"/>
      <c r="C94" s="126" t="s">
        <v>43</v>
      </c>
      <c r="D94" s="121"/>
      <c r="E94" s="140"/>
      <c r="F94" s="140"/>
      <c r="G94" s="140"/>
      <c r="H94" s="140"/>
      <c r="I94" s="140"/>
      <c r="J94" s="140"/>
      <c r="K94" s="140">
        <f t="shared" si="28"/>
        <v>0</v>
      </c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>
        <f t="shared" si="29"/>
        <v>0</v>
      </c>
      <c r="X94" s="140"/>
      <c r="Y94" s="121" t="s">
        <v>117</v>
      </c>
      <c r="AA94" s="126" t="s">
        <v>43</v>
      </c>
      <c r="AB94" s="126"/>
      <c r="AC94" s="140"/>
      <c r="AD94" s="140"/>
      <c r="AE94" s="140"/>
      <c r="AF94" s="140"/>
      <c r="AG94" s="140"/>
      <c r="AH94" s="140"/>
      <c r="AI94" s="127">
        <f t="shared" si="30"/>
        <v>0</v>
      </c>
      <c r="AJ94" s="127"/>
      <c r="AK94" s="140"/>
      <c r="AL94" s="127"/>
      <c r="AM94" s="53">
        <v>0</v>
      </c>
      <c r="AN94" s="53"/>
      <c r="AO94" s="53">
        <v>0</v>
      </c>
      <c r="AP94" s="140"/>
      <c r="AQ94" s="140">
        <v>0</v>
      </c>
      <c r="AR94" s="140"/>
      <c r="AS94" s="45">
        <f t="shared" si="27"/>
        <v>0</v>
      </c>
      <c r="AT94" s="127"/>
      <c r="AU94" s="140">
        <v>0</v>
      </c>
      <c r="AV94" s="140"/>
      <c r="AW94" s="140">
        <v>0</v>
      </c>
      <c r="AX94" s="140"/>
      <c r="AY94" s="140">
        <f t="shared" si="31"/>
        <v>0</v>
      </c>
      <c r="AZ94" s="140"/>
      <c r="BA94" s="121" t="s">
        <v>117</v>
      </c>
      <c r="BC94" s="126" t="s">
        <v>43</v>
      </c>
      <c r="BD94" s="140"/>
      <c r="BE94" s="140"/>
      <c r="BF94" s="140"/>
      <c r="BG94" s="140"/>
      <c r="BH94" s="140"/>
      <c r="BI94" s="140"/>
      <c r="BJ94" s="140"/>
      <c r="BK94" s="140"/>
      <c r="BL94" s="140"/>
      <c r="BM94" s="140">
        <f t="shared" si="32"/>
        <v>0</v>
      </c>
      <c r="BN94" s="142" t="s">
        <v>347</v>
      </c>
      <c r="BR94" s="124"/>
      <c r="BS94" s="140"/>
      <c r="BT94" s="140"/>
      <c r="BU94" s="140"/>
      <c r="BV94" s="140"/>
      <c r="BW94" s="140"/>
      <c r="BX94" s="127"/>
      <c r="BY94" s="127"/>
      <c r="BZ94" s="140"/>
      <c r="CA94" s="140"/>
      <c r="CB94" s="140"/>
      <c r="CC94" s="140"/>
      <c r="CD94" s="140"/>
      <c r="CE94" s="140"/>
      <c r="CF94" s="126"/>
      <c r="CH94" s="126"/>
      <c r="CI94" s="140"/>
      <c r="CJ94" s="140"/>
      <c r="CK94" s="140"/>
      <c r="CL94" s="140"/>
      <c r="CM94" s="140"/>
      <c r="CN94" s="140"/>
      <c r="CO94" s="140"/>
      <c r="CP94" s="140"/>
      <c r="CQ94" s="140"/>
      <c r="CR94" s="140"/>
      <c r="CS94" s="142"/>
    </row>
    <row r="95" spans="1:98" s="143" customFormat="1" ht="12.75" hidden="1" customHeight="1">
      <c r="A95" s="126" t="s">
        <v>118</v>
      </c>
      <c r="B95" s="124"/>
      <c r="C95" s="126" t="s">
        <v>13</v>
      </c>
      <c r="D95" s="121"/>
      <c r="E95" s="140"/>
      <c r="F95" s="140"/>
      <c r="G95" s="140"/>
      <c r="H95" s="140"/>
      <c r="I95" s="140"/>
      <c r="J95" s="140"/>
      <c r="K95" s="140">
        <f t="shared" si="28"/>
        <v>0</v>
      </c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>
        <f t="shared" si="29"/>
        <v>0</v>
      </c>
      <c r="X95" s="140"/>
      <c r="Y95" s="126" t="s">
        <v>118</v>
      </c>
      <c r="AA95" s="126" t="s">
        <v>13</v>
      </c>
      <c r="AB95" s="126"/>
      <c r="AC95" s="140"/>
      <c r="AD95" s="140"/>
      <c r="AE95" s="140"/>
      <c r="AF95" s="140"/>
      <c r="AG95" s="140"/>
      <c r="AH95" s="140"/>
      <c r="AI95" s="127">
        <f t="shared" si="30"/>
        <v>0</v>
      </c>
      <c r="AJ95" s="127"/>
      <c r="AK95" s="140"/>
      <c r="AL95" s="127"/>
      <c r="AM95" s="53">
        <v>0</v>
      </c>
      <c r="AN95" s="53"/>
      <c r="AO95" s="53">
        <v>0</v>
      </c>
      <c r="AP95" s="140"/>
      <c r="AQ95" s="140"/>
      <c r="AR95" s="140"/>
      <c r="AS95" s="45">
        <f t="shared" si="27"/>
        <v>0</v>
      </c>
      <c r="AT95" s="127"/>
      <c r="AU95" s="140">
        <v>0</v>
      </c>
      <c r="AV95" s="140"/>
      <c r="AW95" s="140">
        <v>0</v>
      </c>
      <c r="AX95" s="140"/>
      <c r="AY95" s="140">
        <f t="shared" si="31"/>
        <v>0</v>
      </c>
      <c r="AZ95" s="140"/>
      <c r="BA95" s="126" t="s">
        <v>118</v>
      </c>
      <c r="BC95" s="126" t="s">
        <v>13</v>
      </c>
      <c r="BD95" s="140"/>
      <c r="BE95" s="140"/>
      <c r="BF95" s="140"/>
      <c r="BG95" s="140"/>
      <c r="BH95" s="140"/>
      <c r="BI95" s="140"/>
      <c r="BJ95" s="140"/>
      <c r="BK95" s="140"/>
      <c r="BL95" s="140"/>
      <c r="BM95" s="140">
        <f t="shared" si="32"/>
        <v>0</v>
      </c>
      <c r="BN95" s="142" t="s">
        <v>347</v>
      </c>
      <c r="BO95" s="126"/>
      <c r="BR95" s="124"/>
      <c r="BS95" s="140"/>
      <c r="BT95" s="140"/>
      <c r="BU95" s="140"/>
      <c r="BV95" s="140"/>
      <c r="BW95" s="127"/>
      <c r="BX95" s="127"/>
      <c r="BY95" s="140"/>
      <c r="BZ95" s="140"/>
      <c r="CA95" s="140"/>
      <c r="CB95" s="140"/>
      <c r="CC95" s="140"/>
      <c r="CD95" s="140"/>
      <c r="CE95" s="140"/>
      <c r="CF95" s="121"/>
      <c r="CH95" s="126"/>
      <c r="CI95" s="140"/>
      <c r="CJ95" s="140"/>
      <c r="CK95" s="140"/>
      <c r="CL95" s="140"/>
      <c r="CM95" s="140"/>
      <c r="CN95" s="140"/>
      <c r="CO95" s="140"/>
      <c r="CP95" s="140"/>
      <c r="CQ95" s="140"/>
      <c r="CR95" s="140"/>
      <c r="CS95" s="142"/>
      <c r="CT95" s="126"/>
    </row>
    <row r="96" spans="1:98" s="55" customFormat="1" ht="12.75" customHeight="1">
      <c r="A96" s="35" t="s">
        <v>120</v>
      </c>
      <c r="B96" s="51"/>
      <c r="C96" s="35" t="s">
        <v>121</v>
      </c>
      <c r="D96" s="44"/>
      <c r="E96" s="53">
        <v>7953900</v>
      </c>
      <c r="F96" s="53"/>
      <c r="G96" s="53">
        <v>3948410</v>
      </c>
      <c r="H96" s="53"/>
      <c r="I96" s="53">
        <v>11902310</v>
      </c>
      <c r="J96" s="53"/>
      <c r="K96" s="53">
        <f t="shared" si="28"/>
        <v>281212</v>
      </c>
      <c r="L96" s="53"/>
      <c r="M96" s="53">
        <v>1744397</v>
      </c>
      <c r="N96" s="53"/>
      <c r="O96" s="53">
        <v>2025609</v>
      </c>
      <c r="P96" s="53"/>
      <c r="Q96" s="53">
        <v>2053410</v>
      </c>
      <c r="R96" s="53"/>
      <c r="S96" s="53">
        <v>0</v>
      </c>
      <c r="T96" s="53"/>
      <c r="U96" s="53">
        <v>7823291</v>
      </c>
      <c r="V96" s="53"/>
      <c r="W96" s="53">
        <f t="shared" si="29"/>
        <v>9876701</v>
      </c>
      <c r="X96" s="53"/>
      <c r="Y96" s="35" t="s">
        <v>120</v>
      </c>
      <c r="AA96" s="35" t="s">
        <v>121</v>
      </c>
      <c r="AB96" s="35"/>
      <c r="AC96" s="53">
        <v>1814835</v>
      </c>
      <c r="AD96" s="53"/>
      <c r="AE96" s="53">
        <f>1056187-254890</f>
        <v>801297</v>
      </c>
      <c r="AF96" s="53"/>
      <c r="AG96" s="53">
        <v>254890</v>
      </c>
      <c r="AH96" s="53"/>
      <c r="AI96" s="45">
        <f t="shared" si="30"/>
        <v>758648</v>
      </c>
      <c r="AJ96" s="45"/>
      <c r="AK96" s="53">
        <v>101294</v>
      </c>
      <c r="AL96" s="45"/>
      <c r="AM96" s="53">
        <v>0</v>
      </c>
      <c r="AN96" s="53"/>
      <c r="AO96" s="53">
        <v>0</v>
      </c>
      <c r="AP96" s="53"/>
      <c r="AQ96" s="53">
        <v>61021</v>
      </c>
      <c r="AR96" s="53"/>
      <c r="AS96" s="45">
        <f t="shared" si="27"/>
        <v>920963</v>
      </c>
      <c r="AT96" s="45"/>
      <c r="AU96" s="53">
        <v>0</v>
      </c>
      <c r="AV96" s="53"/>
      <c r="AW96" s="53">
        <v>0</v>
      </c>
      <c r="AX96" s="53"/>
      <c r="AY96" s="53">
        <f t="shared" si="31"/>
        <v>7672688</v>
      </c>
      <c r="AZ96" s="53"/>
      <c r="BA96" s="35" t="s">
        <v>120</v>
      </c>
      <c r="BC96" s="35" t="s">
        <v>121</v>
      </c>
      <c r="BD96" s="53"/>
      <c r="BE96" s="53">
        <v>0</v>
      </c>
      <c r="BF96" s="53"/>
      <c r="BG96" s="53">
        <v>0</v>
      </c>
      <c r="BH96" s="53"/>
      <c r="BI96" s="53">
        <v>0</v>
      </c>
      <c r="BJ96" s="53"/>
      <c r="BK96" s="53">
        <v>0</v>
      </c>
      <c r="BL96" s="53"/>
      <c r="BM96" s="53">
        <f t="shared" si="32"/>
        <v>0</v>
      </c>
      <c r="BN96" s="54" t="s">
        <v>347</v>
      </c>
      <c r="BO96" s="55" t="s">
        <v>404</v>
      </c>
      <c r="BR96" s="65"/>
      <c r="BS96" s="53"/>
      <c r="BT96" s="53"/>
      <c r="BU96" s="53"/>
      <c r="BV96" s="53"/>
      <c r="BW96" s="53"/>
      <c r="BX96" s="45"/>
      <c r="BY96" s="45"/>
      <c r="BZ96" s="53"/>
      <c r="CA96" s="53"/>
      <c r="CB96" s="53"/>
      <c r="CC96" s="53"/>
      <c r="CD96" s="53"/>
      <c r="CE96" s="53"/>
      <c r="CF96" s="35"/>
      <c r="CH96" s="35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4"/>
    </row>
    <row r="97" spans="1:104" s="55" customFormat="1" ht="12.75" customHeight="1">
      <c r="A97" s="35" t="s">
        <v>122</v>
      </c>
      <c r="C97" s="35" t="s">
        <v>43</v>
      </c>
      <c r="D97" s="44"/>
      <c r="E97" s="53">
        <v>2760751</v>
      </c>
      <c r="F97" s="53"/>
      <c r="G97" s="53">
        <v>26423385</v>
      </c>
      <c r="H97" s="53"/>
      <c r="I97" s="53">
        <v>29184136</v>
      </c>
      <c r="J97" s="53"/>
      <c r="K97" s="53">
        <f t="shared" si="28"/>
        <v>256842</v>
      </c>
      <c r="L97" s="53"/>
      <c r="M97" s="53">
        <v>712041</v>
      </c>
      <c r="N97" s="53"/>
      <c r="O97" s="53">
        <v>968883</v>
      </c>
      <c r="P97" s="53"/>
      <c r="Q97" s="53">
        <v>25670734</v>
      </c>
      <c r="R97" s="53"/>
      <c r="S97" s="53">
        <v>0</v>
      </c>
      <c r="T97" s="53"/>
      <c r="U97" s="53">
        <v>2544519</v>
      </c>
      <c r="V97" s="53"/>
      <c r="W97" s="53">
        <f t="shared" si="29"/>
        <v>28215253</v>
      </c>
      <c r="X97" s="53"/>
      <c r="Y97" s="35" t="s">
        <v>122</v>
      </c>
      <c r="AA97" s="35" t="s">
        <v>43</v>
      </c>
      <c r="AB97" s="35"/>
      <c r="AC97" s="53">
        <v>484305</v>
      </c>
      <c r="AD97" s="53"/>
      <c r="AE97" s="53">
        <f>1316267-675924</f>
        <v>640343</v>
      </c>
      <c r="AF97" s="53"/>
      <c r="AG97" s="53">
        <v>675924</v>
      </c>
      <c r="AH97" s="53"/>
      <c r="AI97" s="45">
        <f t="shared" si="30"/>
        <v>-831962</v>
      </c>
      <c r="AJ97" s="45"/>
      <c r="AK97" s="53">
        <v>-25286</v>
      </c>
      <c r="AL97" s="45"/>
      <c r="AM97" s="53">
        <v>0</v>
      </c>
      <c r="AN97" s="53"/>
      <c r="AO97" s="53">
        <v>0</v>
      </c>
      <c r="AP97" s="53"/>
      <c r="AQ97" s="53">
        <v>2206064</v>
      </c>
      <c r="AR97" s="53"/>
      <c r="AS97" s="45">
        <f t="shared" si="27"/>
        <v>1348816</v>
      </c>
      <c r="AT97" s="45"/>
      <c r="AU97" s="53">
        <v>0</v>
      </c>
      <c r="AV97" s="53"/>
      <c r="AW97" s="53">
        <v>0</v>
      </c>
      <c r="AX97" s="53"/>
      <c r="AY97" s="53">
        <f t="shared" si="31"/>
        <v>2503909</v>
      </c>
      <c r="AZ97" s="53"/>
      <c r="BA97" s="35" t="s">
        <v>122</v>
      </c>
      <c r="BC97" s="35" t="s">
        <v>43</v>
      </c>
      <c r="BD97" s="53"/>
      <c r="BE97" s="53">
        <v>503051</v>
      </c>
      <c r="BF97" s="53"/>
      <c r="BG97" s="53">
        <v>0</v>
      </c>
      <c r="BH97" s="53"/>
      <c r="BI97" s="53">
        <v>0</v>
      </c>
      <c r="BJ97" s="53"/>
      <c r="BK97" s="53">
        <v>0</v>
      </c>
      <c r="BL97" s="53"/>
      <c r="BM97" s="53">
        <f t="shared" si="32"/>
        <v>503051</v>
      </c>
      <c r="BN97" s="54" t="s">
        <v>347</v>
      </c>
      <c r="BR97" s="51"/>
      <c r="BS97" s="53"/>
      <c r="BT97" s="53"/>
      <c r="BU97" s="53"/>
      <c r="BV97" s="53"/>
      <c r="BW97" s="53"/>
      <c r="BX97" s="45"/>
      <c r="BY97" s="45"/>
      <c r="BZ97" s="53"/>
      <c r="CA97" s="53"/>
      <c r="CB97" s="53"/>
      <c r="CC97" s="53"/>
      <c r="CD97" s="53"/>
      <c r="CE97" s="53"/>
      <c r="CF97" s="35"/>
      <c r="CH97" s="35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4"/>
    </row>
    <row r="98" spans="1:104" s="55" customFormat="1" ht="12.75" customHeight="1">
      <c r="A98" s="44" t="s">
        <v>45</v>
      </c>
      <c r="B98" s="51"/>
      <c r="C98" s="35" t="s">
        <v>103</v>
      </c>
      <c r="D98" s="44"/>
      <c r="E98" s="53">
        <v>12185188</v>
      </c>
      <c r="F98" s="53"/>
      <c r="G98" s="53">
        <v>42073061</v>
      </c>
      <c r="H98" s="53"/>
      <c r="I98" s="53">
        <v>54258549</v>
      </c>
      <c r="J98" s="53"/>
      <c r="K98" s="53">
        <f t="shared" si="28"/>
        <v>19900346</v>
      </c>
      <c r="L98" s="53"/>
      <c r="M98" s="53">
        <v>4818653</v>
      </c>
      <c r="N98" s="53"/>
      <c r="O98" s="53">
        <v>24718999</v>
      </c>
      <c r="P98" s="53"/>
      <c r="Q98" s="53">
        <v>19086378</v>
      </c>
      <c r="R98" s="53"/>
      <c r="S98" s="53">
        <f>519296+2000000</f>
        <v>2519296</v>
      </c>
      <c r="T98" s="53"/>
      <c r="U98" s="53">
        <v>7933576</v>
      </c>
      <c r="V98" s="53"/>
      <c r="W98" s="53">
        <f>SUM(Q98:U98)</f>
        <v>29539250</v>
      </c>
      <c r="X98" s="53"/>
      <c r="Y98" s="44" t="s">
        <v>45</v>
      </c>
      <c r="Z98" s="53"/>
      <c r="AA98" s="35" t="s">
        <v>103</v>
      </c>
      <c r="AB98" s="51"/>
      <c r="AC98" s="53">
        <v>10682911</v>
      </c>
      <c r="AD98" s="53"/>
      <c r="AE98" s="53">
        <f>10408493-2156456</f>
        <v>8252037</v>
      </c>
      <c r="AF98" s="53"/>
      <c r="AG98" s="53">
        <v>2156456</v>
      </c>
      <c r="AH98" s="53"/>
      <c r="AI98" s="45">
        <f t="shared" si="30"/>
        <v>274418</v>
      </c>
      <c r="AJ98" s="45"/>
      <c r="AK98" s="53">
        <v>-674192</v>
      </c>
      <c r="AL98" s="45"/>
      <c r="AM98" s="53">
        <v>0</v>
      </c>
      <c r="AN98" s="53"/>
      <c r="AO98" s="53">
        <v>50000</v>
      </c>
      <c r="AP98" s="53"/>
      <c r="AQ98" s="53">
        <v>0</v>
      </c>
      <c r="AR98" s="53"/>
      <c r="AS98" s="45">
        <f t="shared" si="27"/>
        <v>-449774</v>
      </c>
      <c r="AT98" s="45"/>
      <c r="AU98" s="53">
        <v>0</v>
      </c>
      <c r="AV98" s="53"/>
      <c r="AW98" s="53">
        <v>0</v>
      </c>
      <c r="AX98" s="53"/>
      <c r="AY98" s="53">
        <f t="shared" si="31"/>
        <v>-7715158</v>
      </c>
      <c r="AZ98" s="53"/>
      <c r="BA98" s="44" t="s">
        <v>45</v>
      </c>
      <c r="BC98" s="35" t="s">
        <v>103</v>
      </c>
      <c r="BD98" s="53"/>
      <c r="BE98" s="53">
        <v>20630000</v>
      </c>
      <c r="BF98" s="53"/>
      <c r="BG98" s="53">
        <v>0</v>
      </c>
      <c r="BH98" s="53"/>
      <c r="BI98" s="53">
        <v>0</v>
      </c>
      <c r="BJ98" s="53"/>
      <c r="BK98" s="53">
        <v>0</v>
      </c>
      <c r="BL98" s="53"/>
      <c r="BM98" s="53">
        <f t="shared" si="32"/>
        <v>20630000</v>
      </c>
      <c r="BN98" s="54" t="s">
        <v>347</v>
      </c>
      <c r="BO98" s="55" t="s">
        <v>404</v>
      </c>
      <c r="BR98" s="51"/>
      <c r="BS98" s="53"/>
      <c r="BT98" s="53"/>
      <c r="BU98" s="53"/>
      <c r="BV98" s="53"/>
      <c r="BW98" s="53"/>
      <c r="BX98" s="45"/>
      <c r="BY98" s="45"/>
      <c r="BZ98" s="53"/>
      <c r="CA98" s="53"/>
      <c r="CB98" s="53"/>
      <c r="CC98" s="53"/>
      <c r="CD98" s="53"/>
      <c r="CE98" s="53"/>
      <c r="CF98" s="35"/>
      <c r="CH98" s="35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4"/>
    </row>
    <row r="99" spans="1:104" s="55" customFormat="1" ht="12.75" customHeight="1">
      <c r="A99" s="44" t="s">
        <v>123</v>
      </c>
      <c r="B99" s="51"/>
      <c r="C99" s="35" t="s">
        <v>45</v>
      </c>
      <c r="D99" s="44"/>
      <c r="E99" s="53">
        <v>5627355</v>
      </c>
      <c r="F99" s="53"/>
      <c r="G99" s="53">
        <v>19989722</v>
      </c>
      <c r="H99" s="53"/>
      <c r="I99" s="53">
        <v>25617077</v>
      </c>
      <c r="J99" s="53"/>
      <c r="K99" s="53">
        <f t="shared" si="28"/>
        <v>5796031</v>
      </c>
      <c r="L99" s="53"/>
      <c r="M99" s="53">
        <v>19275868</v>
      </c>
      <c r="N99" s="53"/>
      <c r="O99" s="53">
        <v>25071899</v>
      </c>
      <c r="P99" s="53"/>
      <c r="Q99" s="53">
        <v>-1982891</v>
      </c>
      <c r="R99" s="53"/>
      <c r="S99" s="53">
        <v>0</v>
      </c>
      <c r="T99" s="53"/>
      <c r="U99" s="53">
        <v>2528069</v>
      </c>
      <c r="V99" s="53"/>
      <c r="W99" s="53">
        <f t="shared" si="29"/>
        <v>545178</v>
      </c>
      <c r="X99" s="53"/>
      <c r="Y99" s="44" t="s">
        <v>123</v>
      </c>
      <c r="AA99" s="35" t="s">
        <v>45</v>
      </c>
      <c r="AB99" s="35"/>
      <c r="AC99" s="53">
        <v>2256101</v>
      </c>
      <c r="AD99" s="53"/>
      <c r="AE99" s="53">
        <f>1707522-725745</f>
        <v>981777</v>
      </c>
      <c r="AF99" s="53"/>
      <c r="AG99" s="53">
        <v>725745</v>
      </c>
      <c r="AH99" s="53"/>
      <c r="AI99" s="45">
        <f t="shared" si="30"/>
        <v>548579</v>
      </c>
      <c r="AJ99" s="45"/>
      <c r="AK99" s="53">
        <v>-858087</v>
      </c>
      <c r="AL99" s="45"/>
      <c r="AM99" s="53">
        <v>0</v>
      </c>
      <c r="AN99" s="53"/>
      <c r="AO99" s="53">
        <v>150154</v>
      </c>
      <c r="AP99" s="53"/>
      <c r="AQ99" s="53">
        <v>0</v>
      </c>
      <c r="AR99" s="53"/>
      <c r="AS99" s="45">
        <f t="shared" si="27"/>
        <v>-459662</v>
      </c>
      <c r="AT99" s="45"/>
      <c r="AU99" s="53">
        <v>0</v>
      </c>
      <c r="AV99" s="53"/>
      <c r="AW99" s="53">
        <v>0</v>
      </c>
      <c r="AX99" s="53"/>
      <c r="AY99" s="53">
        <f t="shared" si="31"/>
        <v>-168676</v>
      </c>
      <c r="AZ99" s="53"/>
      <c r="BA99" s="44" t="s">
        <v>123</v>
      </c>
      <c r="BC99" s="35" t="s">
        <v>45</v>
      </c>
      <c r="BD99" s="53"/>
      <c r="BE99" s="53">
        <v>410000</v>
      </c>
      <c r="BF99" s="53"/>
      <c r="BG99" s="53">
        <v>17555000</v>
      </c>
      <c r="BH99" s="53"/>
      <c r="BI99" s="53">
        <v>3078609</v>
      </c>
      <c r="BJ99" s="53"/>
      <c r="BK99" s="53">
        <f>200659-80711</f>
        <v>119948</v>
      </c>
      <c r="BL99" s="53"/>
      <c r="BM99" s="53">
        <f t="shared" si="32"/>
        <v>21163557</v>
      </c>
      <c r="BN99" s="54" t="s">
        <v>347</v>
      </c>
      <c r="BR99" s="51"/>
      <c r="BS99" s="53"/>
      <c r="BT99" s="53"/>
      <c r="BU99" s="53"/>
      <c r="BV99" s="53"/>
      <c r="BW99" s="53"/>
      <c r="BX99" s="45"/>
      <c r="BY99" s="45"/>
      <c r="BZ99" s="53"/>
      <c r="CA99" s="53"/>
      <c r="CB99" s="53"/>
      <c r="CC99" s="53"/>
      <c r="CD99" s="53"/>
      <c r="CE99" s="53"/>
      <c r="CF99" s="35"/>
      <c r="CH99" s="35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4"/>
    </row>
    <row r="100" spans="1:104" s="90" customFormat="1" ht="13.2">
      <c r="A100" s="35" t="s">
        <v>124</v>
      </c>
      <c r="B100" s="51"/>
      <c r="C100" s="35" t="s">
        <v>125</v>
      </c>
      <c r="D100" s="44"/>
      <c r="E100" s="53">
        <v>3295781</v>
      </c>
      <c r="F100" s="53"/>
      <c r="G100" s="53">
        <v>8702359</v>
      </c>
      <c r="H100" s="53"/>
      <c r="I100" s="53">
        <v>11998140</v>
      </c>
      <c r="J100" s="53"/>
      <c r="K100" s="53">
        <f t="shared" si="28"/>
        <v>815218</v>
      </c>
      <c r="L100" s="53"/>
      <c r="M100" s="53">
        <v>3616998</v>
      </c>
      <c r="N100" s="53"/>
      <c r="O100" s="53">
        <v>4432216</v>
      </c>
      <c r="P100" s="53"/>
      <c r="Q100" s="53">
        <v>4572642</v>
      </c>
      <c r="R100" s="53"/>
      <c r="S100" s="53">
        <v>0</v>
      </c>
      <c r="T100" s="53"/>
      <c r="U100" s="53">
        <v>2993282</v>
      </c>
      <c r="V100" s="53"/>
      <c r="W100" s="53">
        <f t="shared" si="29"/>
        <v>7565924</v>
      </c>
      <c r="X100" s="53"/>
      <c r="Y100" s="35" t="s">
        <v>124</v>
      </c>
      <c r="Z100" s="55"/>
      <c r="AA100" s="35" t="s">
        <v>125</v>
      </c>
      <c r="AB100" s="35"/>
      <c r="AC100" s="53">
        <v>2319071</v>
      </c>
      <c r="AD100" s="53"/>
      <c r="AE100" s="53">
        <f>1805228-467974</f>
        <v>1337254</v>
      </c>
      <c r="AF100" s="53"/>
      <c r="AG100" s="53">
        <v>467974</v>
      </c>
      <c r="AH100" s="53"/>
      <c r="AI100" s="45">
        <f t="shared" si="30"/>
        <v>513843</v>
      </c>
      <c r="AJ100" s="45"/>
      <c r="AK100" s="53">
        <v>-8234</v>
      </c>
      <c r="AL100" s="45"/>
      <c r="AM100" s="53">
        <v>0</v>
      </c>
      <c r="AN100" s="53"/>
      <c r="AO100" s="53">
        <v>0</v>
      </c>
      <c r="AP100" s="53"/>
      <c r="AQ100" s="53">
        <v>41992</v>
      </c>
      <c r="AR100" s="53"/>
      <c r="AS100" s="45">
        <f t="shared" si="27"/>
        <v>547601</v>
      </c>
      <c r="AT100" s="45"/>
      <c r="AU100" s="53">
        <v>0</v>
      </c>
      <c r="AV100" s="53"/>
      <c r="AW100" s="53">
        <v>0</v>
      </c>
      <c r="AX100" s="53"/>
      <c r="AY100" s="53">
        <f t="shared" si="31"/>
        <v>2480563</v>
      </c>
      <c r="AZ100" s="53"/>
      <c r="BA100" s="35" t="s">
        <v>124</v>
      </c>
      <c r="BB100" s="55"/>
      <c r="BC100" s="35" t="s">
        <v>125</v>
      </c>
      <c r="BD100" s="53"/>
      <c r="BE100" s="53">
        <v>0</v>
      </c>
      <c r="BF100" s="53"/>
      <c r="BG100" s="53">
        <v>0</v>
      </c>
      <c r="BH100" s="53"/>
      <c r="BI100" s="53">
        <v>0</v>
      </c>
      <c r="BJ100" s="53"/>
      <c r="BK100" s="53">
        <v>0</v>
      </c>
      <c r="BL100" s="53"/>
      <c r="BM100" s="53">
        <f t="shared" si="32"/>
        <v>0</v>
      </c>
      <c r="BN100" s="91" t="s">
        <v>347</v>
      </c>
      <c r="BR100" s="66"/>
      <c r="BS100" s="79"/>
      <c r="BT100" s="79"/>
      <c r="BU100" s="79"/>
      <c r="BV100" s="79"/>
      <c r="BW100" s="79"/>
      <c r="BX100" s="94"/>
      <c r="BY100" s="94"/>
      <c r="BZ100" s="79"/>
      <c r="CA100" s="79"/>
      <c r="CB100" s="79"/>
      <c r="CC100" s="79"/>
      <c r="CD100" s="79"/>
      <c r="CE100" s="79"/>
      <c r="CF100" s="64"/>
      <c r="CH100" s="64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91"/>
    </row>
    <row r="101" spans="1:104" s="143" customFormat="1" ht="12.75" hidden="1" customHeight="1">
      <c r="A101" s="126" t="s">
        <v>126</v>
      </c>
      <c r="B101" s="124"/>
      <c r="C101" s="126" t="s">
        <v>27</v>
      </c>
      <c r="D101" s="121"/>
      <c r="E101" s="140"/>
      <c r="F101" s="140"/>
      <c r="G101" s="140"/>
      <c r="H101" s="140"/>
      <c r="I101" s="140"/>
      <c r="J101" s="140"/>
      <c r="K101" s="140">
        <f t="shared" si="28"/>
        <v>0</v>
      </c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>
        <f t="shared" si="29"/>
        <v>0</v>
      </c>
      <c r="X101" s="140"/>
      <c r="Y101" s="126" t="s">
        <v>126</v>
      </c>
      <c r="AA101" s="126" t="s">
        <v>27</v>
      </c>
      <c r="AB101" s="126"/>
      <c r="AC101" s="140"/>
      <c r="AD101" s="140"/>
      <c r="AE101" s="140"/>
      <c r="AF101" s="140"/>
      <c r="AG101" s="140"/>
      <c r="AH101" s="140"/>
      <c r="AI101" s="127">
        <f t="shared" si="30"/>
        <v>0</v>
      </c>
      <c r="AJ101" s="127"/>
      <c r="AK101" s="140"/>
      <c r="AL101" s="127"/>
      <c r="AM101" s="53">
        <v>0</v>
      </c>
      <c r="AN101" s="53"/>
      <c r="AO101" s="53">
        <v>0</v>
      </c>
      <c r="AP101" s="140"/>
      <c r="AQ101" s="140">
        <v>0</v>
      </c>
      <c r="AR101" s="140"/>
      <c r="AS101" s="45">
        <f t="shared" si="27"/>
        <v>0</v>
      </c>
      <c r="AT101" s="127"/>
      <c r="AU101" s="140">
        <v>0</v>
      </c>
      <c r="AV101" s="140"/>
      <c r="AW101" s="140">
        <v>0</v>
      </c>
      <c r="AX101" s="140"/>
      <c r="AY101" s="140">
        <f t="shared" si="31"/>
        <v>0</v>
      </c>
      <c r="AZ101" s="140"/>
      <c r="BA101" s="126" t="s">
        <v>126</v>
      </c>
      <c r="BC101" s="126" t="s">
        <v>27</v>
      </c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>
        <f t="shared" si="32"/>
        <v>0</v>
      </c>
      <c r="BN101" s="142" t="s">
        <v>347</v>
      </c>
      <c r="BR101" s="124"/>
      <c r="BS101" s="140"/>
      <c r="BT101" s="140"/>
      <c r="BU101" s="140"/>
      <c r="BV101" s="140"/>
      <c r="BW101" s="127"/>
      <c r="BX101" s="127"/>
      <c r="BY101" s="140"/>
      <c r="BZ101" s="140"/>
      <c r="CA101" s="140"/>
      <c r="CB101" s="140"/>
      <c r="CC101" s="140"/>
      <c r="CD101" s="140"/>
      <c r="CE101" s="140"/>
      <c r="CF101" s="126"/>
      <c r="CH101" s="126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2"/>
    </row>
    <row r="102" spans="1:104" s="143" customFormat="1" ht="12.75" hidden="1" customHeight="1">
      <c r="A102" s="126" t="s">
        <v>127</v>
      </c>
      <c r="B102" s="124"/>
      <c r="C102" s="126" t="s">
        <v>43</v>
      </c>
      <c r="D102" s="121"/>
      <c r="E102" s="140"/>
      <c r="F102" s="140"/>
      <c r="G102" s="140"/>
      <c r="H102" s="140"/>
      <c r="I102" s="140"/>
      <c r="J102" s="140"/>
      <c r="K102" s="140">
        <f t="shared" si="28"/>
        <v>0</v>
      </c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>
        <f t="shared" si="29"/>
        <v>0</v>
      </c>
      <c r="X102" s="140"/>
      <c r="Y102" s="126" t="s">
        <v>127</v>
      </c>
      <c r="AA102" s="126" t="s">
        <v>43</v>
      </c>
      <c r="AB102" s="126"/>
      <c r="AC102" s="140"/>
      <c r="AD102" s="140"/>
      <c r="AE102" s="140"/>
      <c r="AF102" s="140"/>
      <c r="AG102" s="140"/>
      <c r="AH102" s="140"/>
      <c r="AI102" s="127">
        <f t="shared" si="30"/>
        <v>0</v>
      </c>
      <c r="AJ102" s="127"/>
      <c r="AK102" s="140"/>
      <c r="AL102" s="127"/>
      <c r="AM102" s="53">
        <v>0</v>
      </c>
      <c r="AN102" s="53"/>
      <c r="AO102" s="53">
        <v>0</v>
      </c>
      <c r="AP102" s="140"/>
      <c r="AQ102" s="140">
        <v>0</v>
      </c>
      <c r="AR102" s="140"/>
      <c r="AS102" s="45">
        <f t="shared" si="27"/>
        <v>0</v>
      </c>
      <c r="AT102" s="127"/>
      <c r="AU102" s="140">
        <v>0</v>
      </c>
      <c r="AV102" s="140"/>
      <c r="AW102" s="140">
        <v>0</v>
      </c>
      <c r="AX102" s="140"/>
      <c r="AY102" s="140">
        <f t="shared" si="31"/>
        <v>0</v>
      </c>
      <c r="AZ102" s="140"/>
      <c r="BA102" s="126" t="s">
        <v>127</v>
      </c>
      <c r="BC102" s="126" t="s">
        <v>43</v>
      </c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>
        <f t="shared" si="32"/>
        <v>0</v>
      </c>
      <c r="BN102" s="142" t="s">
        <v>347</v>
      </c>
      <c r="BR102" s="124"/>
      <c r="BS102" s="140"/>
      <c r="BT102" s="140"/>
      <c r="BU102" s="140"/>
      <c r="BV102" s="140"/>
      <c r="BW102" s="127"/>
      <c r="BX102" s="127"/>
      <c r="BY102" s="140"/>
      <c r="BZ102" s="140"/>
      <c r="CA102" s="140"/>
      <c r="CB102" s="140"/>
      <c r="CC102" s="140"/>
      <c r="CD102" s="140"/>
      <c r="CE102" s="140"/>
      <c r="CF102" s="126"/>
      <c r="CH102" s="126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2"/>
    </row>
    <row r="103" spans="1:104" s="55" customFormat="1" ht="12.75" customHeight="1">
      <c r="A103" s="35" t="s">
        <v>128</v>
      </c>
      <c r="B103" s="51"/>
      <c r="C103" s="35" t="s">
        <v>119</v>
      </c>
      <c r="D103" s="44"/>
      <c r="E103" s="53">
        <v>2107098</v>
      </c>
      <c r="F103" s="53"/>
      <c r="G103" s="53">
        <v>8238774</v>
      </c>
      <c r="H103" s="53"/>
      <c r="I103" s="53">
        <v>10345872</v>
      </c>
      <c r="J103" s="53"/>
      <c r="K103" s="53">
        <f t="shared" si="28"/>
        <v>772744</v>
      </c>
      <c r="L103" s="53"/>
      <c r="M103" s="53">
        <v>2602699</v>
      </c>
      <c r="N103" s="53"/>
      <c r="O103" s="53">
        <v>3375443</v>
      </c>
      <c r="P103" s="53"/>
      <c r="Q103" s="53">
        <v>4930801</v>
      </c>
      <c r="R103" s="53"/>
      <c r="S103" s="53">
        <v>0</v>
      </c>
      <c r="T103" s="53"/>
      <c r="U103" s="53">
        <v>2039628</v>
      </c>
      <c r="V103" s="53"/>
      <c r="W103" s="53">
        <f t="shared" si="29"/>
        <v>6970429</v>
      </c>
      <c r="X103" s="53"/>
      <c r="Y103" s="35" t="s">
        <v>128</v>
      </c>
      <c r="AA103" s="35" t="s">
        <v>119</v>
      </c>
      <c r="AB103" s="35"/>
      <c r="AC103" s="53">
        <v>2079305</v>
      </c>
      <c r="AD103" s="53"/>
      <c r="AE103" s="53">
        <f>1256334-271808</f>
        <v>984526</v>
      </c>
      <c r="AF103" s="53"/>
      <c r="AG103" s="53">
        <v>271808</v>
      </c>
      <c r="AH103" s="53"/>
      <c r="AI103" s="45">
        <f t="shared" si="30"/>
        <v>822971</v>
      </c>
      <c r="AJ103" s="45"/>
      <c r="AK103" s="53">
        <v>-115696</v>
      </c>
      <c r="AL103" s="45"/>
      <c r="AM103" s="53">
        <v>6848</v>
      </c>
      <c r="AN103" s="53"/>
      <c r="AO103" s="53">
        <v>0</v>
      </c>
      <c r="AP103" s="53"/>
      <c r="AQ103" s="53">
        <v>0</v>
      </c>
      <c r="AR103" s="53"/>
      <c r="AS103" s="45">
        <f t="shared" si="27"/>
        <v>714123</v>
      </c>
      <c r="AT103" s="45"/>
      <c r="AU103" s="53">
        <v>0</v>
      </c>
      <c r="AV103" s="53"/>
      <c r="AW103" s="53">
        <v>0</v>
      </c>
      <c r="AX103" s="53"/>
      <c r="AY103" s="53">
        <f t="shared" si="31"/>
        <v>1334354</v>
      </c>
      <c r="AZ103" s="53"/>
      <c r="BA103" s="35" t="s">
        <v>128</v>
      </c>
      <c r="BC103" s="35" t="s">
        <v>119</v>
      </c>
      <c r="BD103" s="53"/>
      <c r="BE103" s="53">
        <v>3307973</v>
      </c>
      <c r="BF103" s="53"/>
      <c r="BG103" s="53">
        <v>0</v>
      </c>
      <c r="BH103" s="53"/>
      <c r="BI103" s="53">
        <v>0</v>
      </c>
      <c r="BJ103" s="53"/>
      <c r="BK103" s="53">
        <v>0</v>
      </c>
      <c r="BL103" s="53"/>
      <c r="BM103" s="53">
        <f t="shared" si="32"/>
        <v>3307973</v>
      </c>
      <c r="BN103" s="54" t="s">
        <v>347</v>
      </c>
      <c r="BR103" s="65"/>
      <c r="BS103" s="53"/>
      <c r="BT103" s="53"/>
      <c r="BU103" s="53"/>
      <c r="BV103" s="53"/>
      <c r="BW103" s="53"/>
      <c r="BX103" s="45"/>
      <c r="BY103" s="45"/>
      <c r="BZ103" s="53"/>
      <c r="CA103" s="53"/>
      <c r="CB103" s="53"/>
      <c r="CC103" s="53"/>
      <c r="CD103" s="53"/>
      <c r="CE103" s="53"/>
      <c r="CF103" s="35"/>
      <c r="CH103" s="35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4"/>
    </row>
    <row r="104" spans="1:104" s="55" customFormat="1" ht="12.75" customHeight="1">
      <c r="A104" s="35" t="s">
        <v>129</v>
      </c>
      <c r="B104" s="51"/>
      <c r="C104" s="35" t="s">
        <v>80</v>
      </c>
      <c r="D104" s="44"/>
      <c r="E104" s="53">
        <v>1059528</v>
      </c>
      <c r="F104" s="53"/>
      <c r="G104" s="53">
        <v>6224202</v>
      </c>
      <c r="H104" s="53"/>
      <c r="I104" s="53">
        <v>7283730</v>
      </c>
      <c r="J104" s="53"/>
      <c r="K104" s="53">
        <f>O104-M104</f>
        <v>596402</v>
      </c>
      <c r="L104" s="53"/>
      <c r="M104" s="53">
        <v>1968920</v>
      </c>
      <c r="N104" s="53"/>
      <c r="O104" s="53">
        <v>2565322</v>
      </c>
      <c r="P104" s="53"/>
      <c r="Q104" s="53">
        <v>3964213</v>
      </c>
      <c r="R104" s="53"/>
      <c r="S104" s="53">
        <v>0</v>
      </c>
      <c r="T104" s="53"/>
      <c r="U104" s="53">
        <v>754195</v>
      </c>
      <c r="V104" s="53"/>
      <c r="W104" s="53">
        <f>SUM(Q104:U104)</f>
        <v>4718408</v>
      </c>
      <c r="X104" s="53"/>
      <c r="Y104" s="35" t="s">
        <v>129</v>
      </c>
      <c r="AA104" s="35" t="s">
        <v>80</v>
      </c>
      <c r="AB104" s="35"/>
      <c r="AC104" s="53">
        <v>1208214</v>
      </c>
      <c r="AD104" s="53"/>
      <c r="AE104" s="53">
        <f>1104478-260856</f>
        <v>843622</v>
      </c>
      <c r="AF104" s="53"/>
      <c r="AG104" s="53">
        <v>260856</v>
      </c>
      <c r="AH104" s="53"/>
      <c r="AI104" s="45">
        <f t="shared" si="30"/>
        <v>103736</v>
      </c>
      <c r="AJ104" s="45"/>
      <c r="AK104" s="53">
        <v>-132834</v>
      </c>
      <c r="AL104" s="45"/>
      <c r="AM104" s="53">
        <v>0</v>
      </c>
      <c r="AN104" s="53"/>
      <c r="AO104" s="53">
        <v>0</v>
      </c>
      <c r="AP104" s="53"/>
      <c r="AQ104" s="53">
        <v>258160</v>
      </c>
      <c r="AR104" s="53"/>
      <c r="AS104" s="45">
        <f t="shared" si="27"/>
        <v>229062</v>
      </c>
      <c r="AT104" s="45"/>
      <c r="AU104" s="53">
        <v>0</v>
      </c>
      <c r="AV104" s="53"/>
      <c r="AW104" s="53">
        <v>0</v>
      </c>
      <c r="AX104" s="53"/>
      <c r="AY104" s="53">
        <f t="shared" si="31"/>
        <v>463126</v>
      </c>
      <c r="AZ104" s="53"/>
      <c r="BA104" s="35" t="s">
        <v>129</v>
      </c>
      <c r="BC104" s="35" t="s">
        <v>80</v>
      </c>
      <c r="BD104" s="53"/>
      <c r="BE104" s="53">
        <v>1718032</v>
      </c>
      <c r="BF104" s="53"/>
      <c r="BG104" s="53">
        <v>0</v>
      </c>
      <c r="BH104" s="53"/>
      <c r="BI104" s="53">
        <v>0</v>
      </c>
      <c r="BJ104" s="53"/>
      <c r="BK104" s="53">
        <v>0</v>
      </c>
      <c r="BL104" s="53"/>
      <c r="BM104" s="53">
        <f t="shared" si="32"/>
        <v>1718032</v>
      </c>
      <c r="BN104" s="54" t="s">
        <v>347</v>
      </c>
      <c r="BR104" s="51"/>
      <c r="BS104" s="53"/>
      <c r="BT104" s="53"/>
      <c r="BU104" s="53"/>
      <c r="BV104" s="53"/>
      <c r="BW104" s="53"/>
      <c r="BX104" s="45"/>
      <c r="BY104" s="45"/>
      <c r="BZ104" s="53"/>
      <c r="CA104" s="53"/>
      <c r="CB104" s="53"/>
      <c r="CC104" s="53"/>
      <c r="CD104" s="53"/>
      <c r="CE104" s="53"/>
      <c r="CF104" s="35"/>
      <c r="CH104" s="35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4"/>
    </row>
    <row r="105" spans="1:104" s="55" customFormat="1" ht="12.75" customHeight="1">
      <c r="A105" s="35" t="s">
        <v>130</v>
      </c>
      <c r="B105" s="51"/>
      <c r="C105" s="35" t="s">
        <v>66</v>
      </c>
      <c r="D105" s="44"/>
      <c r="E105" s="53">
        <v>7858747</v>
      </c>
      <c r="F105" s="53"/>
      <c r="G105" s="53">
        <v>27783598</v>
      </c>
      <c r="H105" s="53"/>
      <c r="I105" s="53">
        <v>35642345</v>
      </c>
      <c r="J105" s="53"/>
      <c r="K105" s="53">
        <f t="shared" si="28"/>
        <v>700969</v>
      </c>
      <c r="L105" s="53"/>
      <c r="M105" s="53">
        <v>2670454</v>
      </c>
      <c r="N105" s="53"/>
      <c r="O105" s="53">
        <v>3371423</v>
      </c>
      <c r="P105" s="53"/>
      <c r="Q105" s="53">
        <v>10900345</v>
      </c>
      <c r="R105" s="53"/>
      <c r="S105" s="53">
        <v>0</v>
      </c>
      <c r="T105" s="53"/>
      <c r="U105" s="53">
        <v>21370577</v>
      </c>
      <c r="V105" s="53"/>
      <c r="W105" s="53">
        <f t="shared" si="29"/>
        <v>32270922</v>
      </c>
      <c r="X105" s="53"/>
      <c r="Y105" s="35" t="s">
        <v>130</v>
      </c>
      <c r="AA105" s="35" t="s">
        <v>66</v>
      </c>
      <c r="AB105" s="35"/>
      <c r="AC105" s="53">
        <v>3891610</v>
      </c>
      <c r="AD105" s="53"/>
      <c r="AE105" s="53">
        <f>2669882-385969</f>
        <v>2283913</v>
      </c>
      <c r="AF105" s="53"/>
      <c r="AG105" s="53">
        <v>385969</v>
      </c>
      <c r="AH105" s="53"/>
      <c r="AI105" s="45">
        <f t="shared" si="30"/>
        <v>1221728</v>
      </c>
      <c r="AJ105" s="45"/>
      <c r="AK105" s="53">
        <v>638933</v>
      </c>
      <c r="AL105" s="45"/>
      <c r="AM105" s="53">
        <v>12995</v>
      </c>
      <c r="AN105" s="53"/>
      <c r="AO105" s="53">
        <v>101326</v>
      </c>
      <c r="AP105" s="53"/>
      <c r="AQ105" s="53">
        <v>464982</v>
      </c>
      <c r="AR105" s="53"/>
      <c r="AS105" s="45">
        <f t="shared" si="27"/>
        <v>2237312</v>
      </c>
      <c r="AT105" s="45"/>
      <c r="AU105" s="53">
        <v>0</v>
      </c>
      <c r="AV105" s="53"/>
      <c r="AW105" s="53">
        <v>0</v>
      </c>
      <c r="AX105" s="53"/>
      <c r="AY105" s="53">
        <f t="shared" si="31"/>
        <v>7157778</v>
      </c>
      <c r="AZ105" s="53"/>
      <c r="BA105" s="35" t="s">
        <v>130</v>
      </c>
      <c r="BC105" s="35" t="s">
        <v>66</v>
      </c>
      <c r="BD105" s="53"/>
      <c r="BE105" s="53">
        <v>3503</v>
      </c>
      <c r="BF105" s="53"/>
      <c r="BG105" s="53">
        <v>0</v>
      </c>
      <c r="BH105" s="53"/>
      <c r="BI105" s="53">
        <v>0</v>
      </c>
      <c r="BJ105" s="53"/>
      <c r="BK105" s="53">
        <v>0</v>
      </c>
      <c r="BL105" s="53"/>
      <c r="BM105" s="53">
        <f t="shared" si="32"/>
        <v>3503</v>
      </c>
      <c r="BN105" s="54" t="s">
        <v>347</v>
      </c>
      <c r="BO105" s="55" t="s">
        <v>404</v>
      </c>
      <c r="BR105" s="51"/>
      <c r="BS105" s="53"/>
      <c r="BT105" s="53"/>
      <c r="BU105" s="53"/>
      <c r="BV105" s="53"/>
      <c r="BW105" s="53"/>
      <c r="BX105" s="45"/>
      <c r="BY105" s="45"/>
      <c r="BZ105" s="53"/>
      <c r="CA105" s="53"/>
      <c r="CB105" s="53"/>
      <c r="CC105" s="53"/>
      <c r="CD105" s="53"/>
      <c r="CE105" s="53"/>
      <c r="CF105" s="35"/>
      <c r="CH105" s="35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4"/>
    </row>
    <row r="106" spans="1:104" s="55" customFormat="1" ht="12.75" customHeight="1">
      <c r="A106" s="35" t="s">
        <v>131</v>
      </c>
      <c r="B106" s="65"/>
      <c r="C106" s="35" t="s">
        <v>13</v>
      </c>
      <c r="D106" s="44"/>
      <c r="E106" s="53">
        <v>2418501</v>
      </c>
      <c r="F106" s="53"/>
      <c r="G106" s="53">
        <v>9482761</v>
      </c>
      <c r="H106" s="53"/>
      <c r="I106" s="53">
        <v>11901262</v>
      </c>
      <c r="J106" s="53"/>
      <c r="K106" s="53">
        <f t="shared" ref="K106" si="33">O106-M106</f>
        <v>1229107</v>
      </c>
      <c r="L106" s="53"/>
      <c r="M106" s="53">
        <v>6688491</v>
      </c>
      <c r="N106" s="53"/>
      <c r="O106" s="53">
        <v>7917598</v>
      </c>
      <c r="P106" s="53"/>
      <c r="Q106" s="53">
        <v>2410972</v>
      </c>
      <c r="R106" s="53"/>
      <c r="S106" s="53">
        <v>0</v>
      </c>
      <c r="T106" s="53"/>
      <c r="U106" s="53">
        <v>1572692</v>
      </c>
      <c r="V106" s="53"/>
      <c r="W106" s="53">
        <f t="shared" ref="W106" si="34">SUM(Q106:U106)</f>
        <v>3983664</v>
      </c>
      <c r="X106" s="53"/>
      <c r="Y106" s="35" t="s">
        <v>130</v>
      </c>
      <c r="AA106" s="35" t="s">
        <v>66</v>
      </c>
      <c r="AB106" s="35"/>
      <c r="AC106" s="53">
        <v>2050480</v>
      </c>
      <c r="AD106" s="53"/>
      <c r="AE106" s="53">
        <f>2640379-300514</f>
        <v>2339865</v>
      </c>
      <c r="AF106" s="53"/>
      <c r="AG106" s="53">
        <v>300514</v>
      </c>
      <c r="AH106" s="53"/>
      <c r="AI106" s="45">
        <f t="shared" ref="AI106" si="35">+AC106-AE106-AG106</f>
        <v>-589899</v>
      </c>
      <c r="AJ106" s="45"/>
      <c r="AK106" s="53">
        <v>-394909</v>
      </c>
      <c r="AL106" s="45"/>
      <c r="AM106" s="53">
        <v>2587500</v>
      </c>
      <c r="AN106" s="53"/>
      <c r="AO106" s="53">
        <v>0</v>
      </c>
      <c r="AP106" s="53"/>
      <c r="AQ106" s="53">
        <v>0</v>
      </c>
      <c r="AR106" s="53"/>
      <c r="AS106" s="45">
        <f t="shared" ref="AS106" si="36">+AI106+AK106+AM106-AO106+AQ106</f>
        <v>1602692</v>
      </c>
      <c r="AT106" s="45"/>
      <c r="AU106" s="53">
        <v>0</v>
      </c>
      <c r="AV106" s="53"/>
      <c r="AW106" s="53">
        <v>0</v>
      </c>
      <c r="AX106" s="53"/>
      <c r="AY106" s="53">
        <f t="shared" ref="AY106" si="37">+E106-K106</f>
        <v>1189394</v>
      </c>
      <c r="AZ106" s="53"/>
      <c r="BA106" s="35" t="s">
        <v>130</v>
      </c>
      <c r="BC106" s="35" t="s">
        <v>66</v>
      </c>
      <c r="BD106" s="53"/>
      <c r="BE106" s="53">
        <f>885000+795000+2310000+1180000</f>
        <v>5170000</v>
      </c>
      <c r="BF106" s="53"/>
      <c r="BG106" s="53">
        <v>0</v>
      </c>
      <c r="BH106" s="53"/>
      <c r="BI106" s="53">
        <v>0</v>
      </c>
      <c r="BJ106" s="53"/>
      <c r="BK106" s="53">
        <v>0</v>
      </c>
      <c r="BL106" s="53"/>
      <c r="BM106" s="53">
        <f t="shared" ref="BM106" si="38">SUM(BE106:BK106)</f>
        <v>5170000</v>
      </c>
      <c r="BN106" s="54" t="s">
        <v>347</v>
      </c>
      <c r="BR106" s="65"/>
      <c r="BS106" s="53"/>
      <c r="BT106" s="53"/>
      <c r="BU106" s="53"/>
      <c r="BV106" s="53"/>
      <c r="BW106" s="53"/>
      <c r="BX106" s="45"/>
      <c r="BY106" s="45"/>
      <c r="BZ106" s="53"/>
      <c r="CA106" s="53"/>
      <c r="CB106" s="53"/>
      <c r="CC106" s="53"/>
      <c r="CD106" s="53"/>
      <c r="CE106" s="53"/>
      <c r="CF106" s="35"/>
      <c r="CH106" s="35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4"/>
    </row>
    <row r="107" spans="1:104" s="143" customFormat="1" ht="12.75" hidden="1" customHeight="1">
      <c r="A107" s="126" t="s">
        <v>38</v>
      </c>
      <c r="B107" s="124"/>
      <c r="C107" s="126" t="s">
        <v>132</v>
      </c>
      <c r="D107" s="121"/>
      <c r="E107" s="140"/>
      <c r="F107" s="140"/>
      <c r="G107" s="140"/>
      <c r="H107" s="140"/>
      <c r="I107" s="140"/>
      <c r="J107" s="140"/>
      <c r="K107" s="140">
        <f t="shared" si="28"/>
        <v>0</v>
      </c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>
        <f t="shared" si="29"/>
        <v>0</v>
      </c>
      <c r="X107" s="140"/>
      <c r="Y107" s="126" t="s">
        <v>38</v>
      </c>
      <c r="AA107" s="126" t="s">
        <v>132</v>
      </c>
      <c r="AB107" s="126"/>
      <c r="AC107" s="140"/>
      <c r="AD107" s="140"/>
      <c r="AE107" s="140"/>
      <c r="AF107" s="140"/>
      <c r="AG107" s="140"/>
      <c r="AH107" s="140"/>
      <c r="AI107" s="127">
        <f t="shared" si="30"/>
        <v>0</v>
      </c>
      <c r="AJ107" s="127"/>
      <c r="AK107" s="140"/>
      <c r="AL107" s="127"/>
      <c r="AM107" s="53">
        <v>0</v>
      </c>
      <c r="AN107" s="53"/>
      <c r="AO107" s="53">
        <v>0</v>
      </c>
      <c r="AP107" s="140"/>
      <c r="AQ107" s="140"/>
      <c r="AR107" s="140"/>
      <c r="AS107" s="45">
        <f t="shared" si="27"/>
        <v>0</v>
      </c>
      <c r="AT107" s="127"/>
      <c r="AU107" s="140">
        <v>0</v>
      </c>
      <c r="AV107" s="140"/>
      <c r="AW107" s="140">
        <v>0</v>
      </c>
      <c r="AX107" s="140"/>
      <c r="AY107" s="140">
        <f t="shared" si="31"/>
        <v>0</v>
      </c>
      <c r="AZ107" s="140"/>
      <c r="BA107" s="126" t="s">
        <v>38</v>
      </c>
      <c r="BC107" s="126" t="s">
        <v>132</v>
      </c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>
        <f t="shared" si="32"/>
        <v>0</v>
      </c>
      <c r="BN107" s="142"/>
      <c r="BR107" s="124"/>
      <c r="BS107" s="140"/>
      <c r="BT107" s="140"/>
      <c r="BU107" s="140"/>
      <c r="BV107" s="140"/>
      <c r="BW107" s="140"/>
      <c r="BX107" s="127"/>
      <c r="BY107" s="127"/>
      <c r="BZ107" s="140"/>
      <c r="CA107" s="140"/>
      <c r="CB107" s="140"/>
      <c r="CC107" s="140"/>
      <c r="CD107" s="140"/>
      <c r="CE107" s="140"/>
      <c r="CF107" s="126"/>
      <c r="CH107" s="126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2"/>
    </row>
    <row r="108" spans="1:104" s="143" customFormat="1" ht="12.75" hidden="1" customHeight="1">
      <c r="A108" s="126" t="s">
        <v>133</v>
      </c>
      <c r="B108" s="124"/>
      <c r="C108" s="126" t="s">
        <v>27</v>
      </c>
      <c r="D108" s="121"/>
      <c r="E108" s="140"/>
      <c r="F108" s="140"/>
      <c r="G108" s="140"/>
      <c r="H108" s="140"/>
      <c r="I108" s="140"/>
      <c r="J108" s="140"/>
      <c r="K108" s="140">
        <f t="shared" si="28"/>
        <v>0</v>
      </c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>
        <f t="shared" si="29"/>
        <v>0</v>
      </c>
      <c r="X108" s="140"/>
      <c r="Y108" s="126" t="s">
        <v>133</v>
      </c>
      <c r="AA108" s="126" t="s">
        <v>27</v>
      </c>
      <c r="AB108" s="126"/>
      <c r="AC108" s="140"/>
      <c r="AD108" s="140"/>
      <c r="AE108" s="140"/>
      <c r="AF108" s="140"/>
      <c r="AG108" s="140"/>
      <c r="AH108" s="140"/>
      <c r="AI108" s="127">
        <f t="shared" si="30"/>
        <v>0</v>
      </c>
      <c r="AJ108" s="127"/>
      <c r="AK108" s="140"/>
      <c r="AL108" s="127"/>
      <c r="AM108" s="53">
        <v>0</v>
      </c>
      <c r="AN108" s="53"/>
      <c r="AO108" s="53">
        <v>0</v>
      </c>
      <c r="AP108" s="140"/>
      <c r="AQ108" s="140">
        <v>0</v>
      </c>
      <c r="AR108" s="140"/>
      <c r="AS108" s="45">
        <f t="shared" si="27"/>
        <v>0</v>
      </c>
      <c r="AT108" s="127"/>
      <c r="AU108" s="140">
        <v>0</v>
      </c>
      <c r="AV108" s="140"/>
      <c r="AW108" s="140">
        <v>0</v>
      </c>
      <c r="AX108" s="140"/>
      <c r="AY108" s="140">
        <f t="shared" si="31"/>
        <v>0</v>
      </c>
      <c r="AZ108" s="140"/>
      <c r="BA108" s="126" t="s">
        <v>133</v>
      </c>
      <c r="BC108" s="126" t="s">
        <v>27</v>
      </c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>
        <f t="shared" si="32"/>
        <v>0</v>
      </c>
      <c r="BN108" s="142" t="s">
        <v>347</v>
      </c>
      <c r="BR108" s="124"/>
      <c r="BS108" s="140"/>
      <c r="BT108" s="140"/>
      <c r="BU108" s="140"/>
      <c r="BV108" s="140"/>
      <c r="BW108" s="140"/>
      <c r="BX108" s="127"/>
      <c r="BY108" s="127"/>
      <c r="BZ108" s="140"/>
      <c r="CA108" s="140"/>
      <c r="CB108" s="140"/>
      <c r="CC108" s="140"/>
      <c r="CD108" s="140"/>
      <c r="CE108" s="140"/>
      <c r="CF108" s="126"/>
      <c r="CH108" s="126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2"/>
    </row>
    <row r="109" spans="1:104" s="55" customFormat="1" ht="12.75" customHeight="1">
      <c r="A109" s="35" t="s">
        <v>136</v>
      </c>
      <c r="B109" s="51"/>
      <c r="C109" s="35" t="s">
        <v>136</v>
      </c>
      <c r="D109" s="44"/>
      <c r="E109" s="53">
        <v>6032482</v>
      </c>
      <c r="F109" s="53"/>
      <c r="G109" s="53">
        <v>11216345</v>
      </c>
      <c r="H109" s="53"/>
      <c r="I109" s="53">
        <v>17248827</v>
      </c>
      <c r="J109" s="53"/>
      <c r="K109" s="53">
        <f t="shared" si="28"/>
        <v>957908</v>
      </c>
      <c r="L109" s="53"/>
      <c r="M109" s="53">
        <v>7642818</v>
      </c>
      <c r="N109" s="53"/>
      <c r="O109" s="53">
        <v>8600726</v>
      </c>
      <c r="P109" s="53"/>
      <c r="Q109" s="53">
        <v>6562484</v>
      </c>
      <c r="R109" s="53"/>
      <c r="S109" s="53">
        <v>0</v>
      </c>
      <c r="T109" s="53"/>
      <c r="U109" s="53">
        <v>2085617</v>
      </c>
      <c r="V109" s="53"/>
      <c r="W109" s="53">
        <f t="shared" si="29"/>
        <v>8648101</v>
      </c>
      <c r="X109" s="53"/>
      <c r="Y109" s="35" t="s">
        <v>136</v>
      </c>
      <c r="AA109" s="35" t="s">
        <v>136</v>
      </c>
      <c r="AB109" s="35"/>
      <c r="AC109" s="53">
        <v>2907989</v>
      </c>
      <c r="AD109" s="53"/>
      <c r="AE109" s="53">
        <f>2512317-204687</f>
        <v>2307630</v>
      </c>
      <c r="AF109" s="53"/>
      <c r="AG109" s="53">
        <v>204687</v>
      </c>
      <c r="AH109" s="53"/>
      <c r="AI109" s="45">
        <f t="shared" si="30"/>
        <v>395672</v>
      </c>
      <c r="AJ109" s="45"/>
      <c r="AK109" s="53">
        <v>17749</v>
      </c>
      <c r="AL109" s="45"/>
      <c r="AM109" s="53">
        <v>0</v>
      </c>
      <c r="AN109" s="53"/>
      <c r="AO109" s="53">
        <v>376042</v>
      </c>
      <c r="AP109" s="53"/>
      <c r="AQ109" s="53">
        <v>611</v>
      </c>
      <c r="AR109" s="53"/>
      <c r="AS109" s="45">
        <f t="shared" si="27"/>
        <v>37990</v>
      </c>
      <c r="AT109" s="45"/>
      <c r="AU109" s="53">
        <v>0</v>
      </c>
      <c r="AV109" s="53"/>
      <c r="AW109" s="53">
        <v>0</v>
      </c>
      <c r="AX109" s="53"/>
      <c r="AY109" s="53">
        <f t="shared" si="31"/>
        <v>5074574</v>
      </c>
      <c r="AZ109" s="53"/>
      <c r="BA109" s="35" t="s">
        <v>136</v>
      </c>
      <c r="BC109" s="35" t="s">
        <v>136</v>
      </c>
      <c r="BD109" s="53"/>
      <c r="BE109" s="53">
        <v>0</v>
      </c>
      <c r="BF109" s="53"/>
      <c r="BG109" s="53">
        <v>0</v>
      </c>
      <c r="BH109" s="53"/>
      <c r="BI109" s="53">
        <v>394838</v>
      </c>
      <c r="BJ109" s="53"/>
      <c r="BK109" s="53">
        <v>0</v>
      </c>
      <c r="BL109" s="53"/>
      <c r="BM109" s="53">
        <f t="shared" si="32"/>
        <v>394838</v>
      </c>
      <c r="BN109" s="54" t="s">
        <v>347</v>
      </c>
      <c r="BR109" s="51"/>
      <c r="BS109" s="53"/>
      <c r="BT109" s="53"/>
      <c r="BU109" s="53"/>
      <c r="BV109" s="53"/>
      <c r="BW109" s="53"/>
      <c r="BX109" s="45"/>
      <c r="BY109" s="45"/>
      <c r="BZ109" s="53"/>
      <c r="CA109" s="53"/>
      <c r="CB109" s="53"/>
      <c r="CC109" s="53"/>
      <c r="CD109" s="53"/>
      <c r="CE109" s="53"/>
      <c r="CF109" s="35"/>
      <c r="CH109" s="35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4"/>
    </row>
    <row r="110" spans="1:104" s="55" customFormat="1" ht="11.25" customHeight="1">
      <c r="A110" s="35" t="s">
        <v>137</v>
      </c>
      <c r="C110" s="35" t="s">
        <v>22</v>
      </c>
      <c r="D110" s="44"/>
      <c r="E110" s="53">
        <v>3552106</v>
      </c>
      <c r="F110" s="53"/>
      <c r="G110" s="53">
        <v>27628058</v>
      </c>
      <c r="H110" s="53"/>
      <c r="I110" s="53">
        <v>31180164</v>
      </c>
      <c r="J110" s="53"/>
      <c r="K110" s="53">
        <f t="shared" si="28"/>
        <v>1775754</v>
      </c>
      <c r="L110" s="53"/>
      <c r="M110" s="53">
        <v>3647982</v>
      </c>
      <c r="N110" s="53"/>
      <c r="O110" s="53">
        <v>5423736</v>
      </c>
      <c r="P110" s="53"/>
      <c r="Q110" s="53">
        <v>22895985</v>
      </c>
      <c r="R110" s="53"/>
      <c r="S110" s="53">
        <v>0</v>
      </c>
      <c r="T110" s="53"/>
      <c r="U110" s="53">
        <v>2860443</v>
      </c>
      <c r="V110" s="53"/>
      <c r="W110" s="53">
        <f t="shared" si="29"/>
        <v>25756428</v>
      </c>
      <c r="X110" s="53"/>
      <c r="Y110" s="35" t="s">
        <v>137</v>
      </c>
      <c r="AA110" s="35" t="s">
        <v>22</v>
      </c>
      <c r="AB110" s="35"/>
      <c r="AC110" s="53">
        <v>3188864</v>
      </c>
      <c r="AD110" s="53"/>
      <c r="AE110" s="53">
        <f>3712427-928774</f>
        <v>2783653</v>
      </c>
      <c r="AF110" s="53"/>
      <c r="AG110" s="53">
        <v>928774</v>
      </c>
      <c r="AH110" s="53"/>
      <c r="AI110" s="45">
        <f t="shared" si="30"/>
        <v>-523563</v>
      </c>
      <c r="AJ110" s="45"/>
      <c r="AK110" s="53">
        <v>-89768</v>
      </c>
      <c r="AL110" s="45"/>
      <c r="AM110" s="53">
        <v>0</v>
      </c>
      <c r="AN110" s="53"/>
      <c r="AO110" s="53">
        <v>0</v>
      </c>
      <c r="AP110" s="53"/>
      <c r="AQ110" s="53">
        <v>39693</v>
      </c>
      <c r="AR110" s="53"/>
      <c r="AS110" s="45">
        <f t="shared" si="27"/>
        <v>-573638</v>
      </c>
      <c r="AT110" s="45"/>
      <c r="AU110" s="53">
        <v>0</v>
      </c>
      <c r="AV110" s="53"/>
      <c r="AW110" s="53">
        <v>0</v>
      </c>
      <c r="AX110" s="53"/>
      <c r="AY110" s="53">
        <f t="shared" si="31"/>
        <v>1776352</v>
      </c>
      <c r="AZ110" s="53"/>
      <c r="BA110" s="35" t="s">
        <v>137</v>
      </c>
      <c r="BC110" s="35" t="s">
        <v>22</v>
      </c>
      <c r="BD110" s="53"/>
      <c r="BE110" s="53">
        <v>0</v>
      </c>
      <c r="BF110" s="53"/>
      <c r="BG110" s="53">
        <v>0</v>
      </c>
      <c r="BH110" s="53"/>
      <c r="BI110" s="53">
        <v>94526</v>
      </c>
      <c r="BJ110" s="53"/>
      <c r="BK110" s="53">
        <v>0</v>
      </c>
      <c r="BL110" s="53"/>
      <c r="BM110" s="53">
        <f t="shared" si="32"/>
        <v>94526</v>
      </c>
      <c r="BN110" s="54" t="s">
        <v>347</v>
      </c>
      <c r="BR110" s="51"/>
      <c r="BS110" s="53"/>
      <c r="BT110" s="53"/>
      <c r="BU110" s="53"/>
      <c r="BV110" s="53"/>
      <c r="BW110" s="53"/>
      <c r="BX110" s="45"/>
      <c r="BY110" s="45"/>
      <c r="BZ110" s="53"/>
      <c r="CA110" s="53"/>
      <c r="CB110" s="53"/>
      <c r="CC110" s="53"/>
      <c r="CD110" s="53"/>
      <c r="CE110" s="53"/>
      <c r="CF110" s="35"/>
      <c r="CH110" s="35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4"/>
    </row>
    <row r="111" spans="1:104" s="143" customFormat="1" ht="12.75" hidden="1" customHeight="1">
      <c r="A111" s="126" t="s">
        <v>138</v>
      </c>
      <c r="B111" s="124"/>
      <c r="C111" s="126" t="s">
        <v>139</v>
      </c>
      <c r="D111" s="121"/>
      <c r="E111" s="140"/>
      <c r="F111" s="140"/>
      <c r="G111" s="140"/>
      <c r="H111" s="140"/>
      <c r="I111" s="140"/>
      <c r="J111" s="140"/>
      <c r="K111" s="140">
        <f t="shared" si="28"/>
        <v>0</v>
      </c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>
        <f t="shared" ref="W111:W141" si="39">SUM(Q111:U111)</f>
        <v>0</v>
      </c>
      <c r="X111" s="140"/>
      <c r="Y111" s="126" t="s">
        <v>138</v>
      </c>
      <c r="AA111" s="126" t="s">
        <v>139</v>
      </c>
      <c r="AB111" s="126"/>
      <c r="AC111" s="140"/>
      <c r="AD111" s="140"/>
      <c r="AE111" s="140"/>
      <c r="AF111" s="140"/>
      <c r="AG111" s="140"/>
      <c r="AH111" s="140"/>
      <c r="AI111" s="127">
        <f t="shared" si="30"/>
        <v>0</v>
      </c>
      <c r="AJ111" s="127"/>
      <c r="AK111" s="140"/>
      <c r="AL111" s="127"/>
      <c r="AM111" s="53">
        <v>0</v>
      </c>
      <c r="AN111" s="53"/>
      <c r="AO111" s="53">
        <v>0</v>
      </c>
      <c r="AP111" s="140"/>
      <c r="AQ111" s="140">
        <v>0</v>
      </c>
      <c r="AR111" s="140"/>
      <c r="AS111" s="45">
        <f t="shared" si="27"/>
        <v>0</v>
      </c>
      <c r="AT111" s="127"/>
      <c r="AU111" s="140">
        <v>0</v>
      </c>
      <c r="AV111" s="140"/>
      <c r="AW111" s="140">
        <v>0</v>
      </c>
      <c r="AX111" s="140"/>
      <c r="AY111" s="140">
        <f t="shared" si="31"/>
        <v>0</v>
      </c>
      <c r="AZ111" s="140"/>
      <c r="BA111" s="126" t="s">
        <v>138</v>
      </c>
      <c r="BC111" s="126" t="s">
        <v>139</v>
      </c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>
        <f t="shared" si="32"/>
        <v>0</v>
      </c>
      <c r="BN111" s="142" t="s">
        <v>347</v>
      </c>
      <c r="BO111" s="126"/>
      <c r="BP111" s="126"/>
      <c r="BQ111" s="126"/>
      <c r="BR111" s="124"/>
      <c r="BS111" s="140"/>
      <c r="BT111" s="140"/>
      <c r="BU111" s="140"/>
      <c r="BV111" s="140"/>
      <c r="BW111" s="127"/>
      <c r="BX111" s="127"/>
      <c r="BY111" s="140"/>
      <c r="BZ111" s="140"/>
      <c r="CA111" s="140"/>
      <c r="CB111" s="140"/>
      <c r="CC111" s="140"/>
      <c r="CD111" s="140"/>
      <c r="CE111" s="140"/>
      <c r="CF111" s="126"/>
      <c r="CH111" s="126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2"/>
      <c r="CT111" s="126"/>
      <c r="CU111" s="126"/>
      <c r="CV111" s="126"/>
    </row>
    <row r="112" spans="1:104" s="143" customFormat="1" ht="12.75" hidden="1" customHeight="1">
      <c r="A112" s="126" t="s">
        <v>140</v>
      </c>
      <c r="B112" s="124"/>
      <c r="C112" s="126" t="s">
        <v>66</v>
      </c>
      <c r="D112" s="121"/>
      <c r="E112" s="140"/>
      <c r="F112" s="140"/>
      <c r="G112" s="140"/>
      <c r="H112" s="140"/>
      <c r="I112" s="140"/>
      <c r="J112" s="140"/>
      <c r="K112" s="140">
        <f t="shared" si="28"/>
        <v>0</v>
      </c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>
        <f t="shared" si="39"/>
        <v>0</v>
      </c>
      <c r="X112" s="140"/>
      <c r="Y112" s="126" t="s">
        <v>140</v>
      </c>
      <c r="AA112" s="126" t="s">
        <v>66</v>
      </c>
      <c r="AB112" s="126"/>
      <c r="AC112" s="140"/>
      <c r="AD112" s="140"/>
      <c r="AE112" s="140"/>
      <c r="AF112" s="140"/>
      <c r="AG112" s="140"/>
      <c r="AH112" s="140"/>
      <c r="AI112" s="127">
        <f t="shared" si="30"/>
        <v>0</v>
      </c>
      <c r="AJ112" s="127"/>
      <c r="AK112" s="140"/>
      <c r="AL112" s="127"/>
      <c r="AM112" s="53">
        <v>0</v>
      </c>
      <c r="AN112" s="53"/>
      <c r="AO112" s="53">
        <v>0</v>
      </c>
      <c r="AP112" s="140"/>
      <c r="AQ112" s="140">
        <v>0</v>
      </c>
      <c r="AR112" s="140"/>
      <c r="AS112" s="45">
        <f t="shared" si="27"/>
        <v>0</v>
      </c>
      <c r="AT112" s="127"/>
      <c r="AU112" s="140">
        <v>0</v>
      </c>
      <c r="AV112" s="140"/>
      <c r="AW112" s="140">
        <v>0</v>
      </c>
      <c r="AX112" s="140"/>
      <c r="AY112" s="140">
        <f t="shared" si="31"/>
        <v>0</v>
      </c>
      <c r="AZ112" s="140"/>
      <c r="BA112" s="126" t="s">
        <v>140</v>
      </c>
      <c r="BC112" s="126" t="s">
        <v>66</v>
      </c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>
        <f t="shared" si="32"/>
        <v>0</v>
      </c>
      <c r="BN112" s="142" t="s">
        <v>347</v>
      </c>
      <c r="BO112" s="126"/>
      <c r="BP112" s="126"/>
      <c r="BQ112" s="126"/>
      <c r="BR112" s="124"/>
      <c r="BS112" s="140"/>
      <c r="BT112" s="140"/>
      <c r="BU112" s="140"/>
      <c r="BV112" s="140"/>
      <c r="BW112" s="127"/>
      <c r="BX112" s="127"/>
      <c r="BY112" s="140"/>
      <c r="BZ112" s="140"/>
      <c r="CA112" s="140"/>
      <c r="CB112" s="140"/>
      <c r="CC112" s="140"/>
      <c r="CD112" s="140"/>
      <c r="CE112" s="140"/>
      <c r="CF112" s="126"/>
      <c r="CH112" s="126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2"/>
      <c r="CT112" s="126"/>
      <c r="CU112" s="126"/>
      <c r="CV112" s="126"/>
      <c r="CW112" s="126"/>
      <c r="CX112" s="126"/>
      <c r="CY112" s="126"/>
      <c r="CZ112" s="126"/>
    </row>
    <row r="113" spans="1:104" s="55" customFormat="1" ht="12.75" customHeight="1">
      <c r="A113" s="35" t="s">
        <v>141</v>
      </c>
      <c r="C113" s="35" t="s">
        <v>27</v>
      </c>
      <c r="D113" s="44"/>
      <c r="E113" s="53">
        <v>3328747</v>
      </c>
      <c r="F113" s="53"/>
      <c r="G113" s="53">
        <v>40064468</v>
      </c>
      <c r="H113" s="53"/>
      <c r="I113" s="53">
        <v>43393215</v>
      </c>
      <c r="J113" s="53"/>
      <c r="K113" s="53">
        <f t="shared" si="28"/>
        <v>3559208</v>
      </c>
      <c r="L113" s="53"/>
      <c r="M113" s="53">
        <v>23243852</v>
      </c>
      <c r="N113" s="53"/>
      <c r="O113" s="53">
        <v>26803060</v>
      </c>
      <c r="P113" s="53"/>
      <c r="Q113" s="53">
        <v>15239400</v>
      </c>
      <c r="R113" s="53"/>
      <c r="S113" s="53">
        <v>474052</v>
      </c>
      <c r="T113" s="53"/>
      <c r="U113" s="53">
        <v>876708</v>
      </c>
      <c r="V113" s="53"/>
      <c r="W113" s="53">
        <f t="shared" si="39"/>
        <v>16590160</v>
      </c>
      <c r="X113" s="53"/>
      <c r="Y113" s="35" t="s">
        <v>141</v>
      </c>
      <c r="AA113" s="35" t="s">
        <v>27</v>
      </c>
      <c r="AB113" s="35"/>
      <c r="AC113" s="53">
        <v>5988802</v>
      </c>
      <c r="AD113" s="53"/>
      <c r="AE113" s="53">
        <f>5404986-684480</f>
        <v>4720506</v>
      </c>
      <c r="AF113" s="53"/>
      <c r="AG113" s="53">
        <v>684480</v>
      </c>
      <c r="AH113" s="53"/>
      <c r="AI113" s="45">
        <f t="shared" si="30"/>
        <v>583816</v>
      </c>
      <c r="AJ113" s="45"/>
      <c r="AK113" s="53">
        <v>775065</v>
      </c>
      <c r="AL113" s="45"/>
      <c r="AM113" s="53">
        <v>0</v>
      </c>
      <c r="AN113" s="53"/>
      <c r="AO113" s="53">
        <v>-850000</v>
      </c>
      <c r="AP113" s="53"/>
      <c r="AQ113" s="53">
        <v>0</v>
      </c>
      <c r="AR113" s="53"/>
      <c r="AS113" s="45">
        <f t="shared" si="27"/>
        <v>2208881</v>
      </c>
      <c r="AT113" s="45"/>
      <c r="AU113" s="53">
        <v>0</v>
      </c>
      <c r="AV113" s="53"/>
      <c r="AW113" s="53">
        <v>0</v>
      </c>
      <c r="AX113" s="53"/>
      <c r="AY113" s="53">
        <f t="shared" si="31"/>
        <v>-230461</v>
      </c>
      <c r="AZ113" s="53"/>
      <c r="BA113" s="35" t="s">
        <v>141</v>
      </c>
      <c r="BC113" s="35" t="s">
        <v>27</v>
      </c>
      <c r="BD113" s="53"/>
      <c r="BE113" s="53">
        <v>11315719</v>
      </c>
      <c r="BF113" s="53"/>
      <c r="BG113" s="53">
        <f>13540000-157866+45774</f>
        <v>13427908</v>
      </c>
      <c r="BH113" s="53"/>
      <c r="BI113" s="53">
        <v>135576</v>
      </c>
      <c r="BJ113" s="53"/>
      <c r="BK113" s="53">
        <v>412100</v>
      </c>
      <c r="BL113" s="53"/>
      <c r="BM113" s="53">
        <f t="shared" si="32"/>
        <v>25291303</v>
      </c>
      <c r="BN113" s="54" t="s">
        <v>347</v>
      </c>
      <c r="BO113" s="35"/>
      <c r="BP113" s="35"/>
      <c r="BR113" s="51"/>
      <c r="BS113" s="53"/>
      <c r="BT113" s="53"/>
      <c r="BU113" s="53"/>
      <c r="BV113" s="53"/>
      <c r="BW113" s="45"/>
      <c r="BX113" s="45"/>
      <c r="BY113" s="53"/>
      <c r="BZ113" s="53"/>
      <c r="CA113" s="53"/>
      <c r="CB113" s="53"/>
      <c r="CC113" s="53"/>
      <c r="CD113" s="53"/>
      <c r="CE113" s="53"/>
      <c r="CF113" s="35"/>
      <c r="CH113" s="35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4"/>
      <c r="CT113" s="35"/>
      <c r="CU113" s="35"/>
    </row>
    <row r="114" spans="1:104" s="55" customFormat="1" ht="12.75" hidden="1" customHeight="1">
      <c r="A114" s="35" t="s">
        <v>142</v>
      </c>
      <c r="B114" s="51"/>
      <c r="C114" s="35" t="s">
        <v>102</v>
      </c>
      <c r="D114" s="44"/>
      <c r="E114" s="53"/>
      <c r="F114" s="53"/>
      <c r="G114" s="53"/>
      <c r="H114" s="53"/>
      <c r="I114" s="53"/>
      <c r="J114" s="53"/>
      <c r="K114" s="53">
        <f t="shared" si="28"/>
        <v>0</v>
      </c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>
        <v>0</v>
      </c>
      <c r="X114" s="53"/>
      <c r="Y114" s="35" t="s">
        <v>142</v>
      </c>
      <c r="AA114" s="35" t="s">
        <v>102</v>
      </c>
      <c r="AB114" s="35"/>
      <c r="AC114" s="53"/>
      <c r="AD114" s="53"/>
      <c r="AE114" s="53"/>
      <c r="AF114" s="53"/>
      <c r="AG114" s="53"/>
      <c r="AH114" s="53"/>
      <c r="AI114" s="45">
        <f t="shared" si="30"/>
        <v>0</v>
      </c>
      <c r="AJ114" s="45"/>
      <c r="AK114" s="53"/>
      <c r="AL114" s="45"/>
      <c r="AM114" s="53">
        <v>0</v>
      </c>
      <c r="AN114" s="53"/>
      <c r="AO114" s="53">
        <v>0</v>
      </c>
      <c r="AP114" s="53"/>
      <c r="AQ114" s="53">
        <v>0</v>
      </c>
      <c r="AR114" s="53"/>
      <c r="AS114" s="45">
        <f t="shared" si="27"/>
        <v>0</v>
      </c>
      <c r="AT114" s="45"/>
      <c r="AU114" s="53">
        <v>0</v>
      </c>
      <c r="AV114" s="53"/>
      <c r="AW114" s="53">
        <v>0</v>
      </c>
      <c r="AX114" s="53"/>
      <c r="AY114" s="53">
        <f t="shared" si="31"/>
        <v>0</v>
      </c>
      <c r="AZ114" s="53"/>
      <c r="BA114" s="35" t="s">
        <v>142</v>
      </c>
      <c r="BC114" s="35" t="s">
        <v>102</v>
      </c>
      <c r="BD114" s="53"/>
      <c r="BE114" s="53"/>
      <c r="BF114" s="53"/>
      <c r="BG114" s="53"/>
      <c r="BH114" s="53"/>
      <c r="BI114" s="53"/>
      <c r="BJ114" s="53"/>
      <c r="BK114" s="53"/>
      <c r="BL114" s="53"/>
      <c r="BM114" s="53">
        <f t="shared" si="32"/>
        <v>0</v>
      </c>
      <c r="BN114" s="54" t="s">
        <v>347</v>
      </c>
      <c r="BO114" s="55" t="s">
        <v>405</v>
      </c>
      <c r="BR114" s="51"/>
      <c r="BS114" s="53"/>
      <c r="BT114" s="53"/>
      <c r="BU114" s="53"/>
      <c r="BV114" s="53"/>
      <c r="BW114" s="53"/>
      <c r="BX114" s="45"/>
      <c r="BY114" s="45"/>
      <c r="BZ114" s="53"/>
      <c r="CA114" s="53"/>
      <c r="CB114" s="53"/>
      <c r="CC114" s="53"/>
      <c r="CD114" s="53"/>
      <c r="CE114" s="53"/>
      <c r="CF114" s="35"/>
      <c r="CH114" s="35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4"/>
    </row>
    <row r="115" spans="1:104" s="55" customFormat="1" ht="12.75" customHeight="1">
      <c r="A115" s="35" t="s">
        <v>143</v>
      </c>
      <c r="B115" s="51"/>
      <c r="C115" s="35" t="s">
        <v>111</v>
      </c>
      <c r="D115" s="44"/>
      <c r="E115" s="53">
        <v>4325103</v>
      </c>
      <c r="F115" s="53"/>
      <c r="G115" s="53">
        <v>27403569</v>
      </c>
      <c r="H115" s="53"/>
      <c r="I115" s="53">
        <v>31728672</v>
      </c>
      <c r="J115" s="53"/>
      <c r="K115" s="53">
        <f t="shared" si="28"/>
        <v>585356</v>
      </c>
      <c r="L115" s="53"/>
      <c r="M115" s="53">
        <v>9976675</v>
      </c>
      <c r="N115" s="53"/>
      <c r="O115" s="53">
        <v>10562031</v>
      </c>
      <c r="P115" s="53"/>
      <c r="Q115" s="53">
        <v>16339952</v>
      </c>
      <c r="R115" s="53"/>
      <c r="S115" s="53">
        <f>240000+898522</f>
        <v>1138522</v>
      </c>
      <c r="T115" s="53"/>
      <c r="U115" s="53">
        <v>3688167</v>
      </c>
      <c r="V115" s="53"/>
      <c r="W115" s="53">
        <f t="shared" si="39"/>
        <v>21166641</v>
      </c>
      <c r="X115" s="53"/>
      <c r="Y115" s="35" t="s">
        <v>143</v>
      </c>
      <c r="AA115" s="35" t="s">
        <v>111</v>
      </c>
      <c r="AB115" s="35"/>
      <c r="AC115" s="53">
        <v>3247959</v>
      </c>
      <c r="AD115" s="53"/>
      <c r="AE115" s="53">
        <f>2891192-967476</f>
        <v>1923716</v>
      </c>
      <c r="AF115" s="53"/>
      <c r="AG115" s="53">
        <v>967476</v>
      </c>
      <c r="AH115" s="53"/>
      <c r="AI115" s="45">
        <f t="shared" si="30"/>
        <v>356767</v>
      </c>
      <c r="AJ115" s="45"/>
      <c r="AK115" s="53">
        <v>-437242</v>
      </c>
      <c r="AL115" s="45"/>
      <c r="AM115" s="53">
        <v>0</v>
      </c>
      <c r="AN115" s="53"/>
      <c r="AO115" s="53">
        <v>0</v>
      </c>
      <c r="AP115" s="53"/>
      <c r="AQ115" s="53">
        <v>130531</v>
      </c>
      <c r="AR115" s="53"/>
      <c r="AS115" s="45">
        <f t="shared" si="27"/>
        <v>50056</v>
      </c>
      <c r="AT115" s="45"/>
      <c r="AU115" s="53">
        <v>0</v>
      </c>
      <c r="AV115" s="53"/>
      <c r="AW115" s="53">
        <v>0</v>
      </c>
      <c r="AX115" s="53"/>
      <c r="AY115" s="53">
        <f t="shared" si="31"/>
        <v>3739747</v>
      </c>
      <c r="AZ115" s="53"/>
      <c r="BA115" s="35" t="s">
        <v>143</v>
      </c>
      <c r="BC115" s="35" t="s">
        <v>111</v>
      </c>
      <c r="BD115" s="53"/>
      <c r="BE115" s="53">
        <f>285000+10350000+51948-296853</f>
        <v>10390095</v>
      </c>
      <c r="BF115" s="53"/>
      <c r="BG115" s="53">
        <v>0</v>
      </c>
      <c r="BH115" s="53"/>
      <c r="BI115" s="53">
        <v>0</v>
      </c>
      <c r="BJ115" s="53"/>
      <c r="BK115" s="53">
        <v>0</v>
      </c>
      <c r="BL115" s="53"/>
      <c r="BM115" s="53">
        <f t="shared" si="32"/>
        <v>10390095</v>
      </c>
      <c r="BN115" s="54" t="s">
        <v>347</v>
      </c>
      <c r="BO115" s="35"/>
      <c r="BR115" s="51"/>
      <c r="BS115" s="53"/>
      <c r="BT115" s="53"/>
      <c r="BU115" s="53"/>
      <c r="BV115" s="53"/>
      <c r="BW115" s="45"/>
      <c r="BX115" s="45"/>
      <c r="BY115" s="53"/>
      <c r="BZ115" s="53"/>
      <c r="CA115" s="53"/>
      <c r="CB115" s="53"/>
      <c r="CC115" s="53"/>
      <c r="CD115" s="53"/>
      <c r="CE115" s="53"/>
      <c r="CF115" s="35"/>
      <c r="CH115" s="35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4"/>
      <c r="CT115" s="35"/>
    </row>
    <row r="116" spans="1:104" s="55" customFormat="1" ht="12.75" customHeight="1">
      <c r="A116" s="35" t="s">
        <v>144</v>
      </c>
      <c r="B116" s="51"/>
      <c r="C116" s="35" t="s">
        <v>88</v>
      </c>
      <c r="D116" s="44"/>
      <c r="E116" s="53">
        <v>11202974</v>
      </c>
      <c r="F116" s="53"/>
      <c r="G116" s="53">
        <v>32021492</v>
      </c>
      <c r="H116" s="53"/>
      <c r="I116" s="53">
        <v>43224466</v>
      </c>
      <c r="J116" s="53"/>
      <c r="K116" s="53">
        <f t="shared" si="28"/>
        <v>10136919</v>
      </c>
      <c r="L116" s="53"/>
      <c r="M116" s="53">
        <v>10671825</v>
      </c>
      <c r="N116" s="53"/>
      <c r="O116" s="53">
        <v>20808744</v>
      </c>
      <c r="P116" s="53"/>
      <c r="Q116" s="53">
        <v>20627321</v>
      </c>
      <c r="R116" s="53"/>
      <c r="S116" s="53">
        <v>0</v>
      </c>
      <c r="T116" s="53"/>
      <c r="U116" s="53">
        <v>1788401</v>
      </c>
      <c r="V116" s="53"/>
      <c r="W116" s="53">
        <f t="shared" si="39"/>
        <v>22415722</v>
      </c>
      <c r="X116" s="53"/>
      <c r="Y116" s="35" t="s">
        <v>144</v>
      </c>
      <c r="AA116" s="35" t="s">
        <v>88</v>
      </c>
      <c r="AB116" s="35"/>
      <c r="AC116" s="53">
        <v>8496669</v>
      </c>
      <c r="AD116" s="53"/>
      <c r="AE116" s="53">
        <f>7135350-1654673</f>
        <v>5480677</v>
      </c>
      <c r="AF116" s="53"/>
      <c r="AG116" s="53">
        <v>1654673</v>
      </c>
      <c r="AH116" s="53"/>
      <c r="AI116" s="45">
        <f t="shared" si="30"/>
        <v>1361319</v>
      </c>
      <c r="AJ116" s="45"/>
      <c r="AK116" s="53">
        <v>-556495</v>
      </c>
      <c r="AL116" s="45"/>
      <c r="AM116" s="53">
        <v>0</v>
      </c>
      <c r="AN116" s="53"/>
      <c r="AO116" s="53">
        <v>0</v>
      </c>
      <c r="AP116" s="53"/>
      <c r="AQ116" s="53">
        <v>0</v>
      </c>
      <c r="AR116" s="53"/>
      <c r="AS116" s="45">
        <f t="shared" si="27"/>
        <v>804824</v>
      </c>
      <c r="AT116" s="45"/>
      <c r="AU116" s="53">
        <v>0</v>
      </c>
      <c r="AV116" s="53"/>
      <c r="AW116" s="53">
        <v>0</v>
      </c>
      <c r="AX116" s="53"/>
      <c r="AY116" s="53">
        <f t="shared" si="31"/>
        <v>1066055</v>
      </c>
      <c r="AZ116" s="53"/>
      <c r="BA116" s="35" t="s">
        <v>144</v>
      </c>
      <c r="BC116" s="35" t="s">
        <v>88</v>
      </c>
      <c r="BD116" s="53"/>
      <c r="BE116" s="53">
        <v>6248093</v>
      </c>
      <c r="BF116" s="53"/>
      <c r="BG116" s="53">
        <f>8400000+26460</f>
        <v>8426460</v>
      </c>
      <c r="BH116" s="53"/>
      <c r="BI116" s="53">
        <v>0</v>
      </c>
      <c r="BJ116" s="53"/>
      <c r="BK116" s="53">
        <v>0</v>
      </c>
      <c r="BL116" s="53"/>
      <c r="BM116" s="53">
        <f t="shared" si="32"/>
        <v>14674553</v>
      </c>
      <c r="BN116" s="54" t="s">
        <v>347</v>
      </c>
      <c r="BR116" s="51"/>
      <c r="BS116" s="53"/>
      <c r="BT116" s="53"/>
      <c r="BU116" s="53"/>
      <c r="BV116" s="53"/>
      <c r="BW116" s="53"/>
      <c r="BX116" s="45"/>
      <c r="BY116" s="45"/>
      <c r="BZ116" s="53"/>
      <c r="CA116" s="53"/>
      <c r="CB116" s="53"/>
      <c r="CC116" s="53"/>
      <c r="CD116" s="53"/>
      <c r="CE116" s="53"/>
      <c r="CF116" s="44"/>
      <c r="CH116" s="35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4"/>
    </row>
    <row r="117" spans="1:104" s="55" customFormat="1" ht="12.75" customHeight="1">
      <c r="A117" s="35" t="s">
        <v>36</v>
      </c>
      <c r="B117" s="51"/>
      <c r="C117" s="35" t="s">
        <v>145</v>
      </c>
      <c r="D117" s="44"/>
      <c r="E117" s="53">
        <v>422481</v>
      </c>
      <c r="F117" s="53"/>
      <c r="G117" s="53">
        <v>7675142</v>
      </c>
      <c r="H117" s="53"/>
      <c r="I117" s="53">
        <v>8097623</v>
      </c>
      <c r="J117" s="53"/>
      <c r="K117" s="53">
        <f t="shared" si="28"/>
        <v>516840</v>
      </c>
      <c r="L117" s="53"/>
      <c r="M117" s="53">
        <v>733109</v>
      </c>
      <c r="N117" s="53"/>
      <c r="O117" s="53">
        <v>1249949</v>
      </c>
      <c r="P117" s="53"/>
      <c r="Q117" s="53">
        <v>6703497</v>
      </c>
      <c r="R117" s="53"/>
      <c r="S117" s="53">
        <v>0</v>
      </c>
      <c r="T117" s="53"/>
      <c r="U117" s="53">
        <v>144177</v>
      </c>
      <c r="V117" s="53"/>
      <c r="W117" s="53">
        <f t="shared" si="39"/>
        <v>6847674</v>
      </c>
      <c r="X117" s="53"/>
      <c r="Y117" s="35" t="s">
        <v>36</v>
      </c>
      <c r="AA117" s="35" t="s">
        <v>145</v>
      </c>
      <c r="AB117" s="35"/>
      <c r="AC117" s="53">
        <v>1189759</v>
      </c>
      <c r="AD117" s="53"/>
      <c r="AE117" s="53">
        <f>922413-227069</f>
        <v>695344</v>
      </c>
      <c r="AF117" s="53"/>
      <c r="AG117" s="53">
        <v>227069</v>
      </c>
      <c r="AH117" s="53"/>
      <c r="AI117" s="45">
        <f t="shared" si="30"/>
        <v>267346</v>
      </c>
      <c r="AJ117" s="45"/>
      <c r="AK117" s="53">
        <v>-73342</v>
      </c>
      <c r="AL117" s="45"/>
      <c r="AM117" s="53">
        <v>0</v>
      </c>
      <c r="AN117" s="53"/>
      <c r="AO117" s="53">
        <v>0</v>
      </c>
      <c r="AP117" s="53"/>
      <c r="AQ117" s="53">
        <v>0</v>
      </c>
      <c r="AR117" s="53"/>
      <c r="AS117" s="45">
        <f t="shared" si="27"/>
        <v>194004</v>
      </c>
      <c r="AT117" s="45"/>
      <c r="AU117" s="53">
        <v>0</v>
      </c>
      <c r="AV117" s="53"/>
      <c r="AW117" s="53">
        <v>0</v>
      </c>
      <c r="AX117" s="53"/>
      <c r="AY117" s="53">
        <f t="shared" si="31"/>
        <v>-94359</v>
      </c>
      <c r="AZ117" s="53"/>
      <c r="BA117" s="35" t="s">
        <v>36</v>
      </c>
      <c r="BC117" s="35" t="s">
        <v>145</v>
      </c>
      <c r="BD117" s="53"/>
      <c r="BE117" s="53">
        <v>270000</v>
      </c>
      <c r="BF117" s="53"/>
      <c r="BG117" s="53">
        <v>413969</v>
      </c>
      <c r="BH117" s="53"/>
      <c r="BI117" s="53">
        <v>395812</v>
      </c>
      <c r="BJ117" s="53"/>
      <c r="BK117" s="53">
        <v>0</v>
      </c>
      <c r="BL117" s="53"/>
      <c r="BM117" s="53">
        <f t="shared" si="32"/>
        <v>1079781</v>
      </c>
      <c r="BN117" s="54" t="s">
        <v>347</v>
      </c>
      <c r="BR117" s="51"/>
      <c r="BS117" s="53"/>
      <c r="BT117" s="53"/>
      <c r="BU117" s="53"/>
      <c r="BV117" s="53"/>
      <c r="BW117" s="53"/>
      <c r="BX117" s="45"/>
      <c r="BY117" s="45"/>
      <c r="BZ117" s="53"/>
      <c r="CA117" s="53"/>
      <c r="CB117" s="53"/>
      <c r="CC117" s="53"/>
      <c r="CD117" s="53"/>
      <c r="CE117" s="53"/>
      <c r="CF117" s="35"/>
      <c r="CH117" s="35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4"/>
    </row>
    <row r="118" spans="1:104" s="55" customFormat="1" ht="12.75" customHeight="1">
      <c r="A118" s="35" t="s">
        <v>146</v>
      </c>
      <c r="C118" s="35" t="s">
        <v>147</v>
      </c>
      <c r="D118" s="44"/>
      <c r="E118" s="53">
        <v>5370629</v>
      </c>
      <c r="F118" s="53"/>
      <c r="G118" s="53">
        <v>35082245</v>
      </c>
      <c r="H118" s="53"/>
      <c r="I118" s="53">
        <v>40452874</v>
      </c>
      <c r="J118" s="53"/>
      <c r="K118" s="53">
        <f t="shared" si="28"/>
        <v>1230049</v>
      </c>
      <c r="L118" s="53"/>
      <c r="M118" s="53">
        <v>34725139</v>
      </c>
      <c r="N118" s="53"/>
      <c r="O118" s="53">
        <v>35955188</v>
      </c>
      <c r="P118" s="53"/>
      <c r="Q118" s="53">
        <v>1664543</v>
      </c>
      <c r="R118" s="53"/>
      <c r="S118" s="53">
        <v>0</v>
      </c>
      <c r="T118" s="53"/>
      <c r="U118" s="53">
        <v>2833143</v>
      </c>
      <c r="V118" s="53"/>
      <c r="W118" s="53">
        <f t="shared" si="39"/>
        <v>4497686</v>
      </c>
      <c r="X118" s="53"/>
      <c r="Y118" s="35" t="s">
        <v>146</v>
      </c>
      <c r="AA118" s="35" t="s">
        <v>147</v>
      </c>
      <c r="AB118" s="35"/>
      <c r="AC118" s="53">
        <v>2195088</v>
      </c>
      <c r="AD118" s="53"/>
      <c r="AE118" s="53">
        <f>1991840-1032935</f>
        <v>958905</v>
      </c>
      <c r="AF118" s="53"/>
      <c r="AG118" s="53">
        <v>1032935</v>
      </c>
      <c r="AH118" s="53"/>
      <c r="AI118" s="45">
        <f t="shared" si="30"/>
        <v>203248</v>
      </c>
      <c r="AJ118" s="45"/>
      <c r="AK118" s="53">
        <v>-893867</v>
      </c>
      <c r="AL118" s="45"/>
      <c r="AM118" s="53">
        <v>25000</v>
      </c>
      <c r="AN118" s="53"/>
      <c r="AO118" s="53">
        <v>91000</v>
      </c>
      <c r="AP118" s="53"/>
      <c r="AQ118" s="53">
        <v>0</v>
      </c>
      <c r="AR118" s="53"/>
      <c r="AS118" s="45">
        <f t="shared" si="27"/>
        <v>-756619</v>
      </c>
      <c r="AT118" s="45"/>
      <c r="AU118" s="53">
        <v>0</v>
      </c>
      <c r="AV118" s="53"/>
      <c r="AW118" s="53">
        <v>0</v>
      </c>
      <c r="AX118" s="53"/>
      <c r="AY118" s="53">
        <f t="shared" si="31"/>
        <v>4140580</v>
      </c>
      <c r="AZ118" s="53"/>
      <c r="BA118" s="35" t="s">
        <v>146</v>
      </c>
      <c r="BC118" s="35" t="s">
        <v>147</v>
      </c>
      <c r="BD118" s="53"/>
      <c r="BE118" s="53">
        <f>1564991+184777+1420364+31997338</f>
        <v>35167470</v>
      </c>
      <c r="BF118" s="53"/>
      <c r="BG118" s="53">
        <v>0</v>
      </c>
      <c r="BH118" s="53"/>
      <c r="BI118" s="53">
        <v>0</v>
      </c>
      <c r="BJ118" s="53"/>
      <c r="BK118" s="53">
        <v>0</v>
      </c>
      <c r="BL118" s="53"/>
      <c r="BM118" s="53">
        <f t="shared" si="32"/>
        <v>35167470</v>
      </c>
      <c r="BN118" s="54" t="s">
        <v>347</v>
      </c>
      <c r="BR118" s="51"/>
      <c r="BS118" s="53"/>
      <c r="BT118" s="53"/>
      <c r="BU118" s="53"/>
      <c r="BV118" s="53"/>
      <c r="BW118" s="53"/>
      <c r="BX118" s="45"/>
      <c r="BY118" s="45"/>
      <c r="BZ118" s="53"/>
      <c r="CA118" s="53"/>
      <c r="CB118" s="53"/>
      <c r="CC118" s="53"/>
      <c r="CD118" s="53"/>
      <c r="CE118" s="53"/>
      <c r="CF118" s="35"/>
      <c r="CH118" s="35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4"/>
    </row>
    <row r="119" spans="1:104" s="55" customFormat="1" ht="12.75" hidden="1" customHeight="1">
      <c r="A119" s="35" t="s">
        <v>17</v>
      </c>
      <c r="B119" s="51"/>
      <c r="C119" s="35" t="s">
        <v>17</v>
      </c>
      <c r="D119" s="44"/>
      <c r="E119" s="53"/>
      <c r="F119" s="53"/>
      <c r="G119" s="53"/>
      <c r="H119" s="53"/>
      <c r="I119" s="53"/>
      <c r="J119" s="53"/>
      <c r="K119" s="53">
        <f t="shared" si="28"/>
        <v>0</v>
      </c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>
        <f t="shared" si="39"/>
        <v>0</v>
      </c>
      <c r="X119" s="53"/>
      <c r="Y119" s="35" t="s">
        <v>17</v>
      </c>
      <c r="AA119" s="35" t="s">
        <v>17</v>
      </c>
      <c r="AB119" s="35"/>
      <c r="AC119" s="53"/>
      <c r="AD119" s="53"/>
      <c r="AE119" s="53"/>
      <c r="AF119" s="53"/>
      <c r="AG119" s="53"/>
      <c r="AH119" s="53"/>
      <c r="AI119" s="45">
        <f t="shared" si="30"/>
        <v>0</v>
      </c>
      <c r="AJ119" s="45"/>
      <c r="AK119" s="53"/>
      <c r="AL119" s="45"/>
      <c r="AM119" s="53">
        <v>0</v>
      </c>
      <c r="AN119" s="53"/>
      <c r="AO119" s="53">
        <v>0</v>
      </c>
      <c r="AP119" s="53"/>
      <c r="AQ119" s="53">
        <v>0</v>
      </c>
      <c r="AR119" s="53"/>
      <c r="AS119" s="45">
        <f t="shared" si="27"/>
        <v>0</v>
      </c>
      <c r="AT119" s="45"/>
      <c r="AU119" s="53">
        <v>0</v>
      </c>
      <c r="AV119" s="53"/>
      <c r="AW119" s="53">
        <v>0</v>
      </c>
      <c r="AX119" s="53"/>
      <c r="AY119" s="53">
        <f t="shared" si="31"/>
        <v>0</v>
      </c>
      <c r="AZ119" s="53"/>
      <c r="BA119" s="35" t="s">
        <v>17</v>
      </c>
      <c r="BC119" s="35" t="s">
        <v>17</v>
      </c>
      <c r="BD119" s="53"/>
      <c r="BE119" s="53"/>
      <c r="BF119" s="53"/>
      <c r="BG119" s="53"/>
      <c r="BH119" s="53"/>
      <c r="BI119" s="53"/>
      <c r="BJ119" s="53"/>
      <c r="BK119" s="53"/>
      <c r="BL119" s="53"/>
      <c r="BM119" s="53">
        <f t="shared" si="32"/>
        <v>0</v>
      </c>
      <c r="BN119" s="54" t="s">
        <v>347</v>
      </c>
      <c r="BR119" s="51"/>
      <c r="BS119" s="53"/>
      <c r="BT119" s="53"/>
      <c r="BU119" s="53"/>
      <c r="BV119" s="53"/>
      <c r="BW119" s="53"/>
      <c r="BX119" s="45"/>
      <c r="BY119" s="45"/>
      <c r="BZ119" s="53"/>
      <c r="CA119" s="53"/>
      <c r="CB119" s="53"/>
      <c r="CC119" s="53"/>
      <c r="CD119" s="53"/>
      <c r="CE119" s="53"/>
      <c r="CF119" s="35"/>
      <c r="CH119" s="35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4"/>
    </row>
    <row r="120" spans="1:104" s="55" customFormat="1" ht="12.75" customHeight="1">
      <c r="A120" s="35" t="s">
        <v>148</v>
      </c>
      <c r="B120" s="51"/>
      <c r="C120" s="35" t="s">
        <v>15</v>
      </c>
      <c r="D120" s="44"/>
      <c r="E120" s="53">
        <v>762393</v>
      </c>
      <c r="F120" s="53"/>
      <c r="G120" s="53">
        <v>4827591</v>
      </c>
      <c r="H120" s="53"/>
      <c r="I120" s="53">
        <v>5589984</v>
      </c>
      <c r="J120" s="53"/>
      <c r="K120" s="53">
        <f t="shared" si="28"/>
        <v>541995</v>
      </c>
      <c r="L120" s="53"/>
      <c r="M120" s="53">
        <v>1425252</v>
      </c>
      <c r="N120" s="53"/>
      <c r="O120" s="53">
        <v>1967247</v>
      </c>
      <c r="P120" s="53"/>
      <c r="Q120" s="53">
        <v>3298929</v>
      </c>
      <c r="R120" s="53"/>
      <c r="S120" s="53">
        <v>0</v>
      </c>
      <c r="T120" s="53"/>
      <c r="U120" s="53">
        <v>323808</v>
      </c>
      <c r="V120" s="53"/>
      <c r="W120" s="53">
        <f t="shared" si="39"/>
        <v>3622737</v>
      </c>
      <c r="X120" s="53"/>
      <c r="Y120" s="35" t="s">
        <v>148</v>
      </c>
      <c r="AA120" s="35" t="s">
        <v>15</v>
      </c>
      <c r="AB120" s="35"/>
      <c r="AC120" s="53">
        <v>943715</v>
      </c>
      <c r="AD120" s="53"/>
      <c r="AE120" s="53">
        <f>1015309-144533</f>
        <v>870776</v>
      </c>
      <c r="AF120" s="53"/>
      <c r="AG120" s="53">
        <v>144533</v>
      </c>
      <c r="AH120" s="53"/>
      <c r="AI120" s="45">
        <f t="shared" si="30"/>
        <v>-71594</v>
      </c>
      <c r="AJ120" s="45"/>
      <c r="AK120" s="53">
        <v>980948</v>
      </c>
      <c r="AL120" s="45"/>
      <c r="AM120" s="53">
        <v>0</v>
      </c>
      <c r="AN120" s="53"/>
      <c r="AO120" s="53">
        <v>0</v>
      </c>
      <c r="AP120" s="53"/>
      <c r="AQ120" s="53">
        <v>0</v>
      </c>
      <c r="AR120" s="53"/>
      <c r="AS120" s="45">
        <f t="shared" si="27"/>
        <v>909354</v>
      </c>
      <c r="AT120" s="45"/>
      <c r="AU120" s="53">
        <v>0</v>
      </c>
      <c r="AV120" s="53"/>
      <c r="AW120" s="53">
        <v>0</v>
      </c>
      <c r="AX120" s="53"/>
      <c r="AY120" s="53">
        <f t="shared" si="31"/>
        <v>220398</v>
      </c>
      <c r="AZ120" s="53"/>
      <c r="BA120" s="35" t="s">
        <v>148</v>
      </c>
      <c r="BC120" s="35" t="s">
        <v>15</v>
      </c>
      <c r="BD120" s="53"/>
      <c r="BE120" s="53">
        <v>1212000</v>
      </c>
      <c r="BF120" s="53"/>
      <c r="BG120" s="53">
        <v>0</v>
      </c>
      <c r="BH120" s="53"/>
      <c r="BI120" s="53">
        <v>0</v>
      </c>
      <c r="BJ120" s="53"/>
      <c r="BK120" s="53">
        <v>0</v>
      </c>
      <c r="BL120" s="53"/>
      <c r="BM120" s="53">
        <f t="shared" si="32"/>
        <v>1212000</v>
      </c>
      <c r="BN120" s="54" t="s">
        <v>347</v>
      </c>
      <c r="BR120" s="51"/>
      <c r="BS120" s="53"/>
      <c r="BT120" s="53"/>
      <c r="BU120" s="53"/>
      <c r="BV120" s="53"/>
      <c r="BW120" s="53"/>
      <c r="BX120" s="45"/>
      <c r="BY120" s="45"/>
      <c r="BZ120" s="53"/>
      <c r="CA120" s="53"/>
      <c r="CB120" s="53"/>
      <c r="CC120" s="53"/>
      <c r="CD120" s="53"/>
      <c r="CE120" s="53"/>
      <c r="CF120" s="35"/>
      <c r="CH120" s="35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4"/>
    </row>
    <row r="121" spans="1:104" s="55" customFormat="1" ht="12.75" customHeight="1">
      <c r="A121" s="35" t="s">
        <v>149</v>
      </c>
      <c r="B121" s="51"/>
      <c r="C121" s="35" t="s">
        <v>45</v>
      </c>
      <c r="D121" s="44"/>
      <c r="E121" s="53">
        <f>+I121-G121</f>
        <v>805473</v>
      </c>
      <c r="F121" s="53"/>
      <c r="G121" s="53">
        <f>63118+1436357</f>
        <v>1499475</v>
      </c>
      <c r="H121" s="53"/>
      <c r="I121" s="53">
        <v>2304948</v>
      </c>
      <c r="J121" s="53"/>
      <c r="K121" s="53">
        <f t="shared" si="28"/>
        <v>364563</v>
      </c>
      <c r="L121" s="53"/>
      <c r="M121" s="53">
        <f>35773+815</f>
        <v>36588</v>
      </c>
      <c r="N121" s="53"/>
      <c r="O121" s="53">
        <v>401151</v>
      </c>
      <c r="P121" s="53"/>
      <c r="Q121" s="53">
        <v>1498660</v>
      </c>
      <c r="R121" s="53"/>
      <c r="S121" s="53">
        <v>0</v>
      </c>
      <c r="T121" s="53"/>
      <c r="U121" s="53">
        <v>405137</v>
      </c>
      <c r="V121" s="53"/>
      <c r="W121" s="53">
        <f t="shared" si="39"/>
        <v>1903797</v>
      </c>
      <c r="X121" s="53"/>
      <c r="Y121" s="35" t="s">
        <v>149</v>
      </c>
      <c r="AA121" s="35" t="s">
        <v>45</v>
      </c>
      <c r="AB121" s="35"/>
      <c r="AC121" s="53">
        <v>2329042</v>
      </c>
      <c r="AD121" s="53"/>
      <c r="AE121" s="53">
        <f>2758671-67173</f>
        <v>2691498</v>
      </c>
      <c r="AF121" s="53"/>
      <c r="AG121" s="53">
        <v>67173</v>
      </c>
      <c r="AH121" s="53"/>
      <c r="AI121" s="45">
        <f t="shared" si="30"/>
        <v>-429629</v>
      </c>
      <c r="AJ121" s="45"/>
      <c r="AK121" s="53">
        <v>-46</v>
      </c>
      <c r="AL121" s="45"/>
      <c r="AM121" s="53">
        <v>0</v>
      </c>
      <c r="AN121" s="53"/>
      <c r="AO121" s="53">
        <v>0</v>
      </c>
      <c r="AP121" s="53"/>
      <c r="AQ121" s="53">
        <v>0</v>
      </c>
      <c r="AR121" s="53"/>
      <c r="AS121" s="45">
        <f t="shared" si="27"/>
        <v>-429675</v>
      </c>
      <c r="AT121" s="45"/>
      <c r="AU121" s="53">
        <v>0</v>
      </c>
      <c r="AV121" s="53"/>
      <c r="AW121" s="53">
        <v>0</v>
      </c>
      <c r="AX121" s="53"/>
      <c r="AY121" s="53">
        <f t="shared" si="31"/>
        <v>440910</v>
      </c>
      <c r="AZ121" s="53"/>
      <c r="BA121" s="35" t="s">
        <v>149</v>
      </c>
      <c r="BC121" s="35" t="s">
        <v>45</v>
      </c>
      <c r="BD121" s="53"/>
      <c r="BE121" s="53">
        <f>2835000-1510000</f>
        <v>1325000</v>
      </c>
      <c r="BF121" s="53"/>
      <c r="BG121" s="53">
        <v>0</v>
      </c>
      <c r="BH121" s="53"/>
      <c r="BI121" s="53">
        <v>0</v>
      </c>
      <c r="BJ121" s="53"/>
      <c r="BK121" s="53">
        <v>0</v>
      </c>
      <c r="BL121" s="53"/>
      <c r="BM121" s="53">
        <f t="shared" si="32"/>
        <v>1325000</v>
      </c>
      <c r="BN121" s="54" t="s">
        <v>347</v>
      </c>
      <c r="BR121" s="51"/>
      <c r="BS121" s="53"/>
      <c r="BT121" s="53"/>
      <c r="BU121" s="53"/>
      <c r="BV121" s="53"/>
      <c r="BW121" s="45"/>
      <c r="BX121" s="45"/>
      <c r="BY121" s="53"/>
      <c r="BZ121" s="53"/>
      <c r="CA121" s="53"/>
      <c r="CB121" s="53"/>
      <c r="CC121" s="53"/>
      <c r="CD121" s="53"/>
      <c r="CE121" s="53"/>
      <c r="CF121" s="35"/>
      <c r="CH121" s="35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4"/>
    </row>
    <row r="122" spans="1:104" s="143" customFormat="1" ht="12.75" hidden="1" customHeight="1">
      <c r="A122" s="126" t="s">
        <v>150</v>
      </c>
      <c r="B122" s="124"/>
      <c r="C122" s="126" t="s">
        <v>27</v>
      </c>
      <c r="D122" s="121"/>
      <c r="E122" s="140"/>
      <c r="F122" s="140"/>
      <c r="G122" s="140"/>
      <c r="H122" s="140"/>
      <c r="I122" s="140"/>
      <c r="J122" s="140"/>
      <c r="K122" s="140">
        <f t="shared" si="28"/>
        <v>0</v>
      </c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>
        <f t="shared" si="39"/>
        <v>0</v>
      </c>
      <c r="X122" s="140"/>
      <c r="Y122" s="126" t="s">
        <v>150</v>
      </c>
      <c r="AA122" s="126" t="s">
        <v>27</v>
      </c>
      <c r="AB122" s="126"/>
      <c r="AC122" s="140"/>
      <c r="AD122" s="140"/>
      <c r="AE122" s="140"/>
      <c r="AF122" s="140"/>
      <c r="AG122" s="140"/>
      <c r="AH122" s="140"/>
      <c r="AI122" s="127">
        <f t="shared" si="30"/>
        <v>0</v>
      </c>
      <c r="AJ122" s="127"/>
      <c r="AK122" s="140"/>
      <c r="AL122" s="127"/>
      <c r="AM122" s="53">
        <v>0</v>
      </c>
      <c r="AN122" s="53"/>
      <c r="AO122" s="53">
        <v>0</v>
      </c>
      <c r="AP122" s="140"/>
      <c r="AQ122" s="140">
        <v>0</v>
      </c>
      <c r="AR122" s="140"/>
      <c r="AS122" s="45">
        <f t="shared" si="27"/>
        <v>0</v>
      </c>
      <c r="AT122" s="127"/>
      <c r="AU122" s="140">
        <v>0</v>
      </c>
      <c r="AV122" s="140"/>
      <c r="AW122" s="140">
        <v>0</v>
      </c>
      <c r="AX122" s="140"/>
      <c r="AY122" s="140">
        <f t="shared" si="31"/>
        <v>0</v>
      </c>
      <c r="AZ122" s="140"/>
      <c r="BA122" s="126" t="s">
        <v>150</v>
      </c>
      <c r="BC122" s="126" t="s">
        <v>27</v>
      </c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>
        <f t="shared" si="32"/>
        <v>0</v>
      </c>
      <c r="BN122" s="142" t="s">
        <v>347</v>
      </c>
      <c r="BO122" s="126"/>
      <c r="BR122" s="124"/>
      <c r="BS122" s="140"/>
      <c r="BT122" s="140"/>
      <c r="BU122" s="140"/>
      <c r="BV122" s="140"/>
      <c r="BW122" s="127"/>
      <c r="BX122" s="127"/>
      <c r="BY122" s="140"/>
      <c r="BZ122" s="140"/>
      <c r="CA122" s="140"/>
      <c r="CB122" s="140"/>
      <c r="CC122" s="140"/>
      <c r="CD122" s="140"/>
      <c r="CE122" s="140"/>
      <c r="CF122" s="126"/>
      <c r="CH122" s="126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2"/>
      <c r="CT122" s="126"/>
    </row>
    <row r="123" spans="1:104" s="143" customFormat="1" ht="12.75" hidden="1" customHeight="1">
      <c r="A123" s="126" t="s">
        <v>151</v>
      </c>
      <c r="B123" s="124"/>
      <c r="C123" s="126" t="s">
        <v>13</v>
      </c>
      <c r="D123" s="121"/>
      <c r="E123" s="140"/>
      <c r="F123" s="140"/>
      <c r="G123" s="140"/>
      <c r="H123" s="140"/>
      <c r="I123" s="140"/>
      <c r="J123" s="140"/>
      <c r="K123" s="140">
        <f t="shared" si="28"/>
        <v>0</v>
      </c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>
        <f t="shared" si="39"/>
        <v>0</v>
      </c>
      <c r="X123" s="140"/>
      <c r="Y123" s="126" t="s">
        <v>151</v>
      </c>
      <c r="AA123" s="126" t="s">
        <v>13</v>
      </c>
      <c r="AB123" s="126"/>
      <c r="AC123" s="140"/>
      <c r="AD123" s="140"/>
      <c r="AE123" s="140"/>
      <c r="AF123" s="140"/>
      <c r="AG123" s="140"/>
      <c r="AH123" s="140"/>
      <c r="AI123" s="127">
        <f t="shared" si="30"/>
        <v>0</v>
      </c>
      <c r="AJ123" s="127"/>
      <c r="AK123" s="140"/>
      <c r="AL123" s="127"/>
      <c r="AM123" s="53">
        <v>0</v>
      </c>
      <c r="AN123" s="53"/>
      <c r="AO123" s="53">
        <v>0</v>
      </c>
      <c r="AP123" s="140"/>
      <c r="AQ123" s="140">
        <v>0</v>
      </c>
      <c r="AR123" s="140"/>
      <c r="AS123" s="45">
        <f t="shared" si="27"/>
        <v>0</v>
      </c>
      <c r="AT123" s="127"/>
      <c r="AU123" s="140">
        <v>0</v>
      </c>
      <c r="AV123" s="140"/>
      <c r="AW123" s="140">
        <v>0</v>
      </c>
      <c r="AX123" s="140"/>
      <c r="AY123" s="140">
        <f t="shared" si="31"/>
        <v>0</v>
      </c>
      <c r="AZ123" s="140"/>
      <c r="BA123" s="126" t="s">
        <v>151</v>
      </c>
      <c r="BC123" s="126" t="s">
        <v>13</v>
      </c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>
        <f t="shared" si="32"/>
        <v>0</v>
      </c>
      <c r="BN123" s="142" t="s">
        <v>347</v>
      </c>
      <c r="BR123" s="124"/>
      <c r="BS123" s="140"/>
      <c r="BT123" s="140"/>
      <c r="BU123" s="140"/>
      <c r="BV123" s="140"/>
      <c r="BW123" s="140"/>
      <c r="BX123" s="127"/>
      <c r="BY123" s="127"/>
      <c r="BZ123" s="140"/>
      <c r="CA123" s="140"/>
      <c r="CB123" s="140"/>
      <c r="CC123" s="140"/>
      <c r="CD123" s="140"/>
      <c r="CE123" s="140"/>
      <c r="CF123" s="126"/>
      <c r="CH123" s="126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2"/>
    </row>
    <row r="124" spans="1:104" s="55" customFormat="1" ht="12.75" customHeight="1">
      <c r="A124" s="35" t="s">
        <v>152</v>
      </c>
      <c r="B124" s="51"/>
      <c r="C124" s="35" t="s">
        <v>153</v>
      </c>
      <c r="D124" s="44"/>
      <c r="E124" s="53">
        <v>11779609</v>
      </c>
      <c r="F124" s="53"/>
      <c r="G124" s="53">
        <v>27585812</v>
      </c>
      <c r="H124" s="53"/>
      <c r="I124" s="53">
        <v>39365421</v>
      </c>
      <c r="J124" s="53"/>
      <c r="K124" s="53">
        <f t="shared" si="28"/>
        <v>2743881</v>
      </c>
      <c r="L124" s="53"/>
      <c r="M124" s="53">
        <v>387135</v>
      </c>
      <c r="N124" s="53"/>
      <c r="O124" s="53">
        <v>3131016</v>
      </c>
      <c r="P124" s="53"/>
      <c r="Q124" s="53">
        <v>25520812</v>
      </c>
      <c r="R124" s="53"/>
      <c r="S124" s="53">
        <v>3979276</v>
      </c>
      <c r="T124" s="53"/>
      <c r="U124" s="53">
        <v>6734317</v>
      </c>
      <c r="V124" s="53"/>
      <c r="W124" s="53">
        <f t="shared" si="39"/>
        <v>36234405</v>
      </c>
      <c r="X124" s="53"/>
      <c r="Y124" s="35" t="s">
        <v>152</v>
      </c>
      <c r="AA124" s="35" t="s">
        <v>153</v>
      </c>
      <c r="AB124" s="35"/>
      <c r="AC124" s="53">
        <v>8175661</v>
      </c>
      <c r="AD124" s="53"/>
      <c r="AE124" s="53">
        <f>10481988-1899869</f>
        <v>8582119</v>
      </c>
      <c r="AF124" s="53"/>
      <c r="AG124" s="53">
        <v>1899869</v>
      </c>
      <c r="AH124" s="53"/>
      <c r="AI124" s="45">
        <f t="shared" si="30"/>
        <v>-2306327</v>
      </c>
      <c r="AJ124" s="45"/>
      <c r="AK124" s="53">
        <v>-114444</v>
      </c>
      <c r="AL124" s="45"/>
      <c r="AM124" s="53">
        <v>0</v>
      </c>
      <c r="AN124" s="53"/>
      <c r="AO124" s="53">
        <v>0</v>
      </c>
      <c r="AP124" s="53"/>
      <c r="AQ124" s="53">
        <v>347408</v>
      </c>
      <c r="AR124" s="53"/>
      <c r="AS124" s="45">
        <f t="shared" si="27"/>
        <v>-2073363</v>
      </c>
      <c r="AT124" s="45"/>
      <c r="AU124" s="53">
        <v>0</v>
      </c>
      <c r="AV124" s="53"/>
      <c r="AW124" s="53">
        <v>0</v>
      </c>
      <c r="AX124" s="53"/>
      <c r="AY124" s="53">
        <f t="shared" si="31"/>
        <v>9035728</v>
      </c>
      <c r="AZ124" s="53"/>
      <c r="BA124" s="35" t="s">
        <v>152</v>
      </c>
      <c r="BC124" s="35" t="s">
        <v>153</v>
      </c>
      <c r="BD124" s="53"/>
      <c r="BE124" s="53">
        <v>0</v>
      </c>
      <c r="BF124" s="53"/>
      <c r="BG124" s="53">
        <v>0</v>
      </c>
      <c r="BH124" s="53"/>
      <c r="BI124" s="53">
        <v>0</v>
      </c>
      <c r="BJ124" s="53"/>
      <c r="BK124" s="53">
        <v>274739</v>
      </c>
      <c r="BL124" s="53"/>
      <c r="BM124" s="53">
        <f t="shared" si="32"/>
        <v>274739</v>
      </c>
      <c r="BN124" s="54" t="s">
        <v>347</v>
      </c>
      <c r="BO124" s="55" t="s">
        <v>405</v>
      </c>
      <c r="BP124" s="35"/>
      <c r="BQ124" s="35"/>
      <c r="BR124" s="51"/>
      <c r="BS124" s="53"/>
      <c r="BT124" s="53"/>
      <c r="BU124" s="53"/>
      <c r="BV124" s="53"/>
      <c r="BW124" s="45"/>
      <c r="BX124" s="45"/>
      <c r="BY124" s="53"/>
      <c r="BZ124" s="53"/>
      <c r="CA124" s="53"/>
      <c r="CB124" s="53"/>
      <c r="CC124" s="53"/>
      <c r="CD124" s="53"/>
      <c r="CE124" s="53"/>
      <c r="CF124" s="35"/>
      <c r="CH124" s="35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4"/>
      <c r="CU124" s="35"/>
      <c r="CV124" s="35"/>
      <c r="CW124" s="35"/>
      <c r="CX124" s="35"/>
      <c r="CY124" s="35"/>
      <c r="CZ124" s="35"/>
    </row>
    <row r="125" spans="1:104" s="143" customFormat="1" ht="12.75" hidden="1" customHeight="1">
      <c r="A125" s="126" t="s">
        <v>154</v>
      </c>
      <c r="B125" s="124"/>
      <c r="C125" s="126" t="s">
        <v>27</v>
      </c>
      <c r="D125" s="121"/>
      <c r="E125" s="140"/>
      <c r="F125" s="140"/>
      <c r="G125" s="140"/>
      <c r="H125" s="140"/>
      <c r="I125" s="140"/>
      <c r="J125" s="140"/>
      <c r="K125" s="140">
        <f t="shared" si="28"/>
        <v>0</v>
      </c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>
        <f t="shared" si="39"/>
        <v>0</v>
      </c>
      <c r="X125" s="140"/>
      <c r="Y125" s="126" t="s">
        <v>154</v>
      </c>
      <c r="AA125" s="126" t="s">
        <v>27</v>
      </c>
      <c r="AB125" s="126"/>
      <c r="AC125" s="140"/>
      <c r="AD125" s="140"/>
      <c r="AE125" s="140"/>
      <c r="AF125" s="140"/>
      <c r="AG125" s="140"/>
      <c r="AH125" s="140"/>
      <c r="AI125" s="127">
        <f t="shared" si="30"/>
        <v>0</v>
      </c>
      <c r="AJ125" s="127"/>
      <c r="AK125" s="140"/>
      <c r="AL125" s="127"/>
      <c r="AM125" s="53">
        <v>0</v>
      </c>
      <c r="AN125" s="53"/>
      <c r="AO125" s="53">
        <v>0</v>
      </c>
      <c r="AP125" s="140"/>
      <c r="AQ125" s="140"/>
      <c r="AR125" s="140"/>
      <c r="AS125" s="45">
        <f t="shared" si="27"/>
        <v>0</v>
      </c>
      <c r="AT125" s="127"/>
      <c r="AU125" s="140">
        <v>0</v>
      </c>
      <c r="AV125" s="140"/>
      <c r="AW125" s="140">
        <v>0</v>
      </c>
      <c r="AX125" s="140"/>
      <c r="AY125" s="140">
        <f t="shared" si="31"/>
        <v>0</v>
      </c>
      <c r="AZ125" s="140"/>
      <c r="BA125" s="126" t="s">
        <v>154</v>
      </c>
      <c r="BC125" s="126" t="s">
        <v>27</v>
      </c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>
        <f t="shared" si="32"/>
        <v>0</v>
      </c>
      <c r="BN125" s="142" t="s">
        <v>347</v>
      </c>
      <c r="BR125" s="124"/>
      <c r="BS125" s="140"/>
      <c r="BT125" s="140"/>
      <c r="BU125" s="140"/>
      <c r="BV125" s="140"/>
      <c r="BW125" s="127"/>
      <c r="BX125" s="127"/>
      <c r="BY125" s="140"/>
      <c r="BZ125" s="140"/>
      <c r="CA125" s="140"/>
      <c r="CB125" s="140"/>
      <c r="CC125" s="140"/>
      <c r="CD125" s="140"/>
      <c r="CE125" s="140"/>
      <c r="CF125" s="126"/>
      <c r="CH125" s="126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2"/>
    </row>
    <row r="126" spans="1:104" s="55" customFormat="1" ht="12.75" customHeight="1">
      <c r="A126" s="35" t="s">
        <v>155</v>
      </c>
      <c r="C126" s="35" t="s">
        <v>40</v>
      </c>
      <c r="D126" s="44"/>
      <c r="E126" s="53">
        <v>1587591</v>
      </c>
      <c r="F126" s="53"/>
      <c r="G126" s="53">
        <v>5544512</v>
      </c>
      <c r="H126" s="53"/>
      <c r="I126" s="53">
        <v>7132103</v>
      </c>
      <c r="J126" s="53"/>
      <c r="K126" s="53">
        <f t="shared" si="28"/>
        <v>551841</v>
      </c>
      <c r="L126" s="53"/>
      <c r="M126" s="53">
        <v>4957180</v>
      </c>
      <c r="N126" s="53"/>
      <c r="O126" s="53">
        <v>5509021</v>
      </c>
      <c r="P126" s="53"/>
      <c r="Q126" s="53">
        <v>547001</v>
      </c>
      <c r="R126" s="53"/>
      <c r="S126" s="53">
        <v>22144</v>
      </c>
      <c r="T126" s="53"/>
      <c r="U126" s="53">
        <v>1053937</v>
      </c>
      <c r="V126" s="53"/>
      <c r="W126" s="53">
        <f t="shared" si="39"/>
        <v>1623082</v>
      </c>
      <c r="X126" s="53"/>
      <c r="Y126" s="35" t="s">
        <v>155</v>
      </c>
      <c r="AA126" s="35" t="s">
        <v>40</v>
      </c>
      <c r="AB126" s="35"/>
      <c r="AC126" s="53">
        <v>2794615</v>
      </c>
      <c r="AD126" s="53"/>
      <c r="AE126" s="53">
        <f>2902149-670264</f>
        <v>2231885</v>
      </c>
      <c r="AF126" s="53"/>
      <c r="AG126" s="53">
        <v>670264</v>
      </c>
      <c r="AH126" s="53"/>
      <c r="AI126" s="45">
        <f t="shared" si="30"/>
        <v>-107534</v>
      </c>
      <c r="AJ126" s="45"/>
      <c r="AK126" s="53">
        <v>-166783</v>
      </c>
      <c r="AL126" s="45"/>
      <c r="AM126" s="53">
        <v>0</v>
      </c>
      <c r="AN126" s="53"/>
      <c r="AO126" s="53">
        <v>0</v>
      </c>
      <c r="AP126" s="53"/>
      <c r="AQ126" s="53">
        <v>0</v>
      </c>
      <c r="AR126" s="53"/>
      <c r="AS126" s="45">
        <f t="shared" si="27"/>
        <v>-274317</v>
      </c>
      <c r="AT126" s="45"/>
      <c r="AU126" s="53">
        <v>0</v>
      </c>
      <c r="AV126" s="53"/>
      <c r="AW126" s="53">
        <v>0</v>
      </c>
      <c r="AX126" s="53"/>
      <c r="AY126" s="53">
        <f t="shared" si="31"/>
        <v>1035750</v>
      </c>
      <c r="AZ126" s="53"/>
      <c r="BA126" s="35" t="s">
        <v>155</v>
      </c>
      <c r="BC126" s="35" t="s">
        <v>40</v>
      </c>
      <c r="BD126" s="53"/>
      <c r="BE126" s="53">
        <v>395000</v>
      </c>
      <c r="BF126" s="53"/>
      <c r="BG126" s="53">
        <v>0</v>
      </c>
      <c r="BH126" s="53"/>
      <c r="BI126" s="53">
        <f>399969+365235+320061</f>
        <v>1085265</v>
      </c>
      <c r="BJ126" s="53"/>
      <c r="BK126" s="53">
        <v>0</v>
      </c>
      <c r="BL126" s="53"/>
      <c r="BM126" s="53">
        <f t="shared" si="32"/>
        <v>1480265</v>
      </c>
      <c r="BN126" s="54" t="s">
        <v>347</v>
      </c>
      <c r="BO126" s="55" t="s">
        <v>406</v>
      </c>
      <c r="BR126" s="51"/>
      <c r="BS126" s="53"/>
      <c r="BT126" s="53"/>
      <c r="BU126" s="53"/>
      <c r="BV126" s="53"/>
      <c r="BW126" s="53"/>
      <c r="BX126" s="45"/>
      <c r="BY126" s="45"/>
      <c r="BZ126" s="53"/>
      <c r="CA126" s="53"/>
      <c r="CB126" s="53"/>
      <c r="CC126" s="53"/>
      <c r="CD126" s="53"/>
      <c r="CE126" s="53"/>
      <c r="CF126" s="35"/>
      <c r="CH126" s="35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4"/>
    </row>
    <row r="127" spans="1:104" s="55" customFormat="1" ht="12.75" customHeight="1">
      <c r="A127" s="35" t="s">
        <v>156</v>
      </c>
      <c r="B127" s="51"/>
      <c r="C127" s="35" t="s">
        <v>156</v>
      </c>
      <c r="D127" s="44"/>
      <c r="E127" s="53">
        <v>7189383</v>
      </c>
      <c r="F127" s="53"/>
      <c r="G127" s="53">
        <v>24743125</v>
      </c>
      <c r="H127" s="53"/>
      <c r="I127" s="53">
        <v>31932508</v>
      </c>
      <c r="J127" s="53"/>
      <c r="K127" s="53">
        <f t="shared" si="28"/>
        <v>6293334</v>
      </c>
      <c r="L127" s="53"/>
      <c r="M127" s="53">
        <v>22235601</v>
      </c>
      <c r="N127" s="53"/>
      <c r="O127" s="53">
        <v>28528935</v>
      </c>
      <c r="P127" s="53"/>
      <c r="Q127" s="53">
        <v>2117567</v>
      </c>
      <c r="R127" s="53"/>
      <c r="S127" s="53">
        <v>0</v>
      </c>
      <c r="T127" s="53"/>
      <c r="U127" s="53">
        <v>1286006</v>
      </c>
      <c r="V127" s="53"/>
      <c r="W127" s="53">
        <f t="shared" si="39"/>
        <v>3403573</v>
      </c>
      <c r="X127" s="53"/>
      <c r="Y127" s="35" t="s">
        <v>156</v>
      </c>
      <c r="AA127" s="35" t="s">
        <v>156</v>
      </c>
      <c r="AB127" s="35"/>
      <c r="AC127" s="53">
        <v>5660064</v>
      </c>
      <c r="AD127" s="53"/>
      <c r="AE127" s="53">
        <f>5350039-1877542</f>
        <v>3472497</v>
      </c>
      <c r="AF127" s="53"/>
      <c r="AG127" s="53">
        <v>1877542</v>
      </c>
      <c r="AH127" s="53"/>
      <c r="AI127" s="45">
        <f t="shared" si="30"/>
        <v>310025</v>
      </c>
      <c r="AJ127" s="45"/>
      <c r="AK127" s="53">
        <v>-446172</v>
      </c>
      <c r="AL127" s="45"/>
      <c r="AM127" s="53">
        <v>8025</v>
      </c>
      <c r="AN127" s="53"/>
      <c r="AO127" s="53">
        <v>-9777</v>
      </c>
      <c r="AP127" s="53"/>
      <c r="AQ127" s="53">
        <v>45430</v>
      </c>
      <c r="AR127" s="53"/>
      <c r="AS127" s="45">
        <f t="shared" si="27"/>
        <v>-72915</v>
      </c>
      <c r="AT127" s="45"/>
      <c r="AU127" s="53">
        <v>0</v>
      </c>
      <c r="AV127" s="53"/>
      <c r="AW127" s="53">
        <v>0</v>
      </c>
      <c r="AX127" s="53"/>
      <c r="AY127" s="53">
        <f t="shared" si="31"/>
        <v>896049</v>
      </c>
      <c r="AZ127" s="53"/>
      <c r="BA127" s="35" t="s">
        <v>156</v>
      </c>
      <c r="BC127" s="35" t="s">
        <v>156</v>
      </c>
      <c r="BD127" s="53"/>
      <c r="BE127" s="53">
        <v>5360689</v>
      </c>
      <c r="BF127" s="53"/>
      <c r="BG127" s="53">
        <v>1367335</v>
      </c>
      <c r="BH127" s="53"/>
      <c r="BI127" s="53">
        <v>21578955</v>
      </c>
      <c r="BJ127" s="53"/>
      <c r="BK127" s="53">
        <v>2429436</v>
      </c>
      <c r="BL127" s="53"/>
      <c r="BM127" s="53">
        <f t="shared" si="32"/>
        <v>30736415</v>
      </c>
      <c r="BN127" s="54" t="s">
        <v>347</v>
      </c>
      <c r="BO127" s="35"/>
      <c r="BR127" s="51"/>
      <c r="BS127" s="53"/>
      <c r="BT127" s="53"/>
      <c r="BU127" s="53"/>
      <c r="BV127" s="53"/>
      <c r="BW127" s="45"/>
      <c r="BX127" s="45"/>
      <c r="BY127" s="53"/>
      <c r="BZ127" s="53"/>
      <c r="CA127" s="53"/>
      <c r="CB127" s="53"/>
      <c r="CC127" s="53"/>
      <c r="CD127" s="53"/>
      <c r="CE127" s="53"/>
      <c r="CF127" s="35"/>
      <c r="CH127" s="35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4"/>
      <c r="CT127" s="35"/>
    </row>
    <row r="128" spans="1:104" s="55" customFormat="1" ht="12.75" hidden="1" customHeight="1">
      <c r="A128" s="35" t="s">
        <v>157</v>
      </c>
      <c r="B128" s="51"/>
      <c r="C128" s="35" t="s">
        <v>33</v>
      </c>
      <c r="D128" s="44"/>
      <c r="E128" s="53"/>
      <c r="F128" s="53"/>
      <c r="G128" s="53"/>
      <c r="H128" s="53"/>
      <c r="I128" s="53"/>
      <c r="J128" s="53"/>
      <c r="K128" s="53">
        <f t="shared" si="28"/>
        <v>0</v>
      </c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>
        <f t="shared" si="39"/>
        <v>0</v>
      </c>
      <c r="X128" s="53"/>
      <c r="Y128" s="35" t="s">
        <v>157</v>
      </c>
      <c r="AA128" s="35" t="s">
        <v>33</v>
      </c>
      <c r="AB128" s="35"/>
      <c r="AC128" s="53"/>
      <c r="AD128" s="53"/>
      <c r="AE128" s="53"/>
      <c r="AF128" s="53"/>
      <c r="AG128" s="53"/>
      <c r="AH128" s="53"/>
      <c r="AI128" s="45">
        <f t="shared" si="30"/>
        <v>0</v>
      </c>
      <c r="AJ128" s="45"/>
      <c r="AK128" s="53"/>
      <c r="AL128" s="45"/>
      <c r="AM128" s="53">
        <v>0</v>
      </c>
      <c r="AN128" s="53"/>
      <c r="AO128" s="53">
        <v>0</v>
      </c>
      <c r="AP128" s="53"/>
      <c r="AQ128" s="53">
        <v>0</v>
      </c>
      <c r="AR128" s="53"/>
      <c r="AS128" s="45">
        <f t="shared" si="27"/>
        <v>0</v>
      </c>
      <c r="AT128" s="45"/>
      <c r="AU128" s="53">
        <v>0</v>
      </c>
      <c r="AV128" s="53"/>
      <c r="AW128" s="53">
        <v>0</v>
      </c>
      <c r="AX128" s="53"/>
      <c r="AY128" s="53">
        <f t="shared" si="31"/>
        <v>0</v>
      </c>
      <c r="AZ128" s="53"/>
      <c r="BA128" s="35" t="s">
        <v>157</v>
      </c>
      <c r="BC128" s="35" t="s">
        <v>33</v>
      </c>
      <c r="BD128" s="53"/>
      <c r="BE128" s="53"/>
      <c r="BF128" s="53"/>
      <c r="BG128" s="53"/>
      <c r="BH128" s="53"/>
      <c r="BI128" s="53"/>
      <c r="BJ128" s="53"/>
      <c r="BK128" s="53"/>
      <c r="BL128" s="53"/>
      <c r="BM128" s="53">
        <f t="shared" si="32"/>
        <v>0</v>
      </c>
      <c r="BN128" s="54" t="s">
        <v>347</v>
      </c>
      <c r="BR128" s="51"/>
      <c r="BS128" s="53"/>
      <c r="BT128" s="53"/>
      <c r="BU128" s="53"/>
      <c r="BV128" s="53"/>
      <c r="BW128" s="53"/>
      <c r="BX128" s="45"/>
      <c r="BY128" s="45"/>
      <c r="BZ128" s="53"/>
      <c r="CA128" s="53"/>
      <c r="CB128" s="53"/>
      <c r="CC128" s="53"/>
      <c r="CD128" s="53"/>
      <c r="CE128" s="53"/>
      <c r="CF128" s="35"/>
      <c r="CH128" s="35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4"/>
    </row>
    <row r="129" spans="1:98" s="55" customFormat="1" ht="12.75" customHeight="1">
      <c r="A129" s="35" t="s">
        <v>158</v>
      </c>
      <c r="B129" s="51"/>
      <c r="C129" s="35" t="s">
        <v>159</v>
      </c>
      <c r="D129" s="44"/>
      <c r="E129" s="53">
        <f>3262106+20949956</f>
        <v>24212062</v>
      </c>
      <c r="F129" s="53"/>
      <c r="G129" s="53">
        <v>149801581</v>
      </c>
      <c r="H129" s="53"/>
      <c r="I129" s="53">
        <v>174013643</v>
      </c>
      <c r="J129" s="53"/>
      <c r="K129" s="53">
        <f t="shared" si="28"/>
        <v>33539762</v>
      </c>
      <c r="L129" s="53"/>
      <c r="M129" s="53">
        <v>119704079</v>
      </c>
      <c r="N129" s="53"/>
      <c r="O129" s="53">
        <v>153243841</v>
      </c>
      <c r="P129" s="53"/>
      <c r="Q129" s="53">
        <v>15434229</v>
      </c>
      <c r="R129" s="53"/>
      <c r="S129" s="53">
        <v>16913818</v>
      </c>
      <c r="T129" s="53"/>
      <c r="U129" s="53">
        <v>-11578245</v>
      </c>
      <c r="V129" s="53"/>
      <c r="W129" s="53">
        <f t="shared" si="39"/>
        <v>20769802</v>
      </c>
      <c r="X129" s="53"/>
      <c r="Y129" s="35" t="s">
        <v>158</v>
      </c>
      <c r="AA129" s="35" t="s">
        <v>159</v>
      </c>
      <c r="AB129" s="35"/>
      <c r="AC129" s="53">
        <v>8652122</v>
      </c>
      <c r="AD129" s="53"/>
      <c r="AE129" s="53">
        <f>3500412-779129</f>
        <v>2721283</v>
      </c>
      <c r="AF129" s="53"/>
      <c r="AG129" s="53">
        <v>779129</v>
      </c>
      <c r="AH129" s="53"/>
      <c r="AI129" s="45">
        <f t="shared" si="30"/>
        <v>5151710</v>
      </c>
      <c r="AJ129" s="45"/>
      <c r="AK129" s="53">
        <v>-2875979</v>
      </c>
      <c r="AL129" s="45"/>
      <c r="AM129" s="53">
        <v>0</v>
      </c>
      <c r="AN129" s="53"/>
      <c r="AO129" s="53">
        <v>0</v>
      </c>
      <c r="AP129" s="53"/>
      <c r="AQ129" s="53">
        <v>0</v>
      </c>
      <c r="AR129" s="53"/>
      <c r="AS129" s="45">
        <f t="shared" si="27"/>
        <v>2275731</v>
      </c>
      <c r="AT129" s="45"/>
      <c r="AU129" s="53">
        <v>0</v>
      </c>
      <c r="AV129" s="53"/>
      <c r="AW129" s="53">
        <v>0</v>
      </c>
      <c r="AX129" s="53"/>
      <c r="AY129" s="53">
        <f t="shared" si="31"/>
        <v>-9327700</v>
      </c>
      <c r="AZ129" s="53"/>
      <c r="BA129" s="35" t="s">
        <v>158</v>
      </c>
      <c r="BC129" s="35" t="s">
        <v>159</v>
      </c>
      <c r="BD129" s="53"/>
      <c r="BE129" s="53">
        <v>0</v>
      </c>
      <c r="BF129" s="53"/>
      <c r="BG129" s="53">
        <f>7179373+71409+85216922+2046464</f>
        <v>94514168</v>
      </c>
      <c r="BH129" s="53"/>
      <c r="BI129" s="53">
        <v>0</v>
      </c>
      <c r="BJ129" s="53"/>
      <c r="BK129" s="53">
        <v>0</v>
      </c>
      <c r="BL129" s="53"/>
      <c r="BM129" s="53">
        <f t="shared" si="32"/>
        <v>94514168</v>
      </c>
      <c r="BN129" s="54" t="s">
        <v>347</v>
      </c>
      <c r="BR129" s="51"/>
      <c r="BS129" s="53"/>
      <c r="BT129" s="53"/>
      <c r="BU129" s="53"/>
      <c r="BV129" s="53"/>
      <c r="BW129" s="53"/>
      <c r="BX129" s="45"/>
      <c r="BY129" s="45"/>
      <c r="BZ129" s="53"/>
      <c r="CA129" s="53"/>
      <c r="CB129" s="53"/>
      <c r="CC129" s="53"/>
      <c r="CD129" s="53"/>
      <c r="CE129" s="53"/>
      <c r="CF129" s="35"/>
      <c r="CH129" s="35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4"/>
    </row>
    <row r="130" spans="1:98" s="55" customFormat="1" ht="12.75" customHeight="1">
      <c r="A130" s="35" t="s">
        <v>160</v>
      </c>
      <c r="B130" s="51"/>
      <c r="C130" s="35" t="s">
        <v>111</v>
      </c>
      <c r="D130" s="44"/>
      <c r="E130" s="53">
        <v>15488022</v>
      </c>
      <c r="F130" s="53"/>
      <c r="G130" s="53">
        <v>72784564</v>
      </c>
      <c r="H130" s="53"/>
      <c r="I130" s="53">
        <v>88272566</v>
      </c>
      <c r="J130" s="53"/>
      <c r="K130" s="53">
        <f t="shared" si="28"/>
        <v>2041413</v>
      </c>
      <c r="L130" s="53"/>
      <c r="M130" s="53">
        <v>31738435</v>
      </c>
      <c r="N130" s="53"/>
      <c r="O130" s="53">
        <v>33779848</v>
      </c>
      <c r="P130" s="53"/>
      <c r="Q130" s="53">
        <v>40041564</v>
      </c>
      <c r="R130" s="53"/>
      <c r="S130" s="53">
        <v>5026659</v>
      </c>
      <c r="T130" s="53"/>
      <c r="U130" s="53">
        <v>6119812</v>
      </c>
      <c r="V130" s="53"/>
      <c r="W130" s="53">
        <f t="shared" si="39"/>
        <v>51188035</v>
      </c>
      <c r="X130" s="53"/>
      <c r="Y130" s="35" t="s">
        <v>160</v>
      </c>
      <c r="AA130" s="35" t="s">
        <v>111</v>
      </c>
      <c r="AB130" s="35"/>
      <c r="AC130" s="53">
        <v>548668</v>
      </c>
      <c r="AD130" s="53"/>
      <c r="AE130" s="53">
        <f>4945136-2168829</f>
        <v>2776307</v>
      </c>
      <c r="AF130" s="53"/>
      <c r="AG130" s="53">
        <v>2168829</v>
      </c>
      <c r="AH130" s="53"/>
      <c r="AI130" s="45">
        <f t="shared" si="30"/>
        <v>-4396468</v>
      </c>
      <c r="AJ130" s="45"/>
      <c r="AK130" s="53">
        <v>-885447</v>
      </c>
      <c r="AL130" s="45"/>
      <c r="AM130" s="53">
        <v>5000</v>
      </c>
      <c r="AN130" s="53"/>
      <c r="AO130" s="53">
        <v>0</v>
      </c>
      <c r="AP130" s="53"/>
      <c r="AQ130" s="53">
        <v>382394</v>
      </c>
      <c r="AR130" s="53"/>
      <c r="AS130" s="45">
        <f t="shared" si="27"/>
        <v>-4894521</v>
      </c>
      <c r="AT130" s="45"/>
      <c r="AU130" s="53">
        <v>0</v>
      </c>
      <c r="AV130" s="53"/>
      <c r="AW130" s="53">
        <v>0</v>
      </c>
      <c r="AX130" s="53"/>
      <c r="AY130" s="53">
        <f t="shared" si="31"/>
        <v>13446609</v>
      </c>
      <c r="AZ130" s="53"/>
      <c r="BA130" s="35" t="s">
        <v>160</v>
      </c>
      <c r="BC130" s="35" t="s">
        <v>111</v>
      </c>
      <c r="BD130" s="53"/>
      <c r="BE130" s="53">
        <v>32710000</v>
      </c>
      <c r="BF130" s="53"/>
      <c r="BG130" s="53">
        <v>33000</v>
      </c>
      <c r="BH130" s="53"/>
      <c r="BI130" s="53">
        <v>0</v>
      </c>
      <c r="BJ130" s="53"/>
      <c r="BK130" s="53">
        <v>174709</v>
      </c>
      <c r="BL130" s="53"/>
      <c r="BM130" s="53">
        <f t="shared" si="32"/>
        <v>32917709</v>
      </c>
      <c r="BN130" s="54" t="s">
        <v>347</v>
      </c>
      <c r="BR130" s="51"/>
      <c r="BS130" s="53"/>
      <c r="BT130" s="53"/>
      <c r="BU130" s="53"/>
      <c r="BV130" s="53"/>
      <c r="BW130" s="53"/>
      <c r="BX130" s="45"/>
      <c r="BY130" s="45"/>
      <c r="BZ130" s="53"/>
      <c r="CA130" s="53"/>
      <c r="CB130" s="53"/>
      <c r="CC130" s="53"/>
      <c r="CD130" s="53"/>
      <c r="CE130" s="53"/>
      <c r="CF130" s="35"/>
      <c r="CH130" s="35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4"/>
    </row>
    <row r="131" spans="1:98" s="55" customFormat="1" ht="12.75" customHeight="1">
      <c r="A131" s="35" t="s">
        <v>161</v>
      </c>
      <c r="C131" s="35" t="s">
        <v>15</v>
      </c>
      <c r="D131" s="44"/>
      <c r="E131" s="53">
        <v>4561474</v>
      </c>
      <c r="F131" s="53"/>
      <c r="G131" s="53">
        <v>47300267</v>
      </c>
      <c r="H131" s="53"/>
      <c r="I131" s="53">
        <v>51861741</v>
      </c>
      <c r="J131" s="53"/>
      <c r="K131" s="53">
        <f t="shared" si="28"/>
        <v>677721</v>
      </c>
      <c r="L131" s="53"/>
      <c r="M131" s="53">
        <v>34769347</v>
      </c>
      <c r="N131" s="53"/>
      <c r="O131" s="53">
        <v>35447068</v>
      </c>
      <c r="P131" s="53"/>
      <c r="Q131" s="53">
        <v>12805889</v>
      </c>
      <c r="R131" s="53"/>
      <c r="S131" s="53">
        <v>0</v>
      </c>
      <c r="T131" s="53"/>
      <c r="U131" s="53">
        <v>3610784</v>
      </c>
      <c r="V131" s="53"/>
      <c r="W131" s="53">
        <f t="shared" si="39"/>
        <v>16416673</v>
      </c>
      <c r="X131" s="53"/>
      <c r="Y131" s="35" t="s">
        <v>161</v>
      </c>
      <c r="AA131" s="35" t="s">
        <v>15</v>
      </c>
      <c r="AB131" s="35"/>
      <c r="AC131" s="53">
        <v>6873728</v>
      </c>
      <c r="AD131" s="53"/>
      <c r="AE131" s="53">
        <f>6863480-1587034</f>
        <v>5276446</v>
      </c>
      <c r="AF131" s="53"/>
      <c r="AG131" s="53">
        <v>1587034</v>
      </c>
      <c r="AH131" s="53"/>
      <c r="AI131" s="45">
        <f t="shared" si="30"/>
        <v>10248</v>
      </c>
      <c r="AJ131" s="45"/>
      <c r="AK131" s="53">
        <v>-551502</v>
      </c>
      <c r="AL131" s="45"/>
      <c r="AM131" s="53">
        <v>0</v>
      </c>
      <c r="AN131" s="53"/>
      <c r="AO131" s="53">
        <v>0</v>
      </c>
      <c r="AP131" s="53"/>
      <c r="AQ131" s="53">
        <v>52306</v>
      </c>
      <c r="AR131" s="53"/>
      <c r="AS131" s="45">
        <f t="shared" si="27"/>
        <v>-488948</v>
      </c>
      <c r="AT131" s="45"/>
      <c r="AU131" s="53">
        <v>0</v>
      </c>
      <c r="AV131" s="53"/>
      <c r="AW131" s="53">
        <v>0</v>
      </c>
      <c r="AX131" s="53"/>
      <c r="AY131" s="53">
        <f t="shared" si="31"/>
        <v>3883753</v>
      </c>
      <c r="AZ131" s="53"/>
      <c r="BA131" s="35" t="s">
        <v>161</v>
      </c>
      <c r="BC131" s="35" t="s">
        <v>15</v>
      </c>
      <c r="BD131" s="53"/>
      <c r="BE131" s="53">
        <v>6535454</v>
      </c>
      <c r="BF131" s="53"/>
      <c r="BG131" s="53">
        <v>0</v>
      </c>
      <c r="BH131" s="53"/>
      <c r="BI131" s="53">
        <v>34438289</v>
      </c>
      <c r="BJ131" s="53"/>
      <c r="BK131" s="53">
        <v>662458</v>
      </c>
      <c r="BL131" s="53"/>
      <c r="BM131" s="53">
        <f t="shared" si="32"/>
        <v>41636201</v>
      </c>
      <c r="BN131" s="54" t="s">
        <v>347</v>
      </c>
      <c r="BR131" s="51"/>
      <c r="BS131" s="53"/>
      <c r="BT131" s="53"/>
      <c r="BU131" s="53"/>
      <c r="BV131" s="53"/>
      <c r="BW131" s="53"/>
      <c r="BX131" s="45"/>
      <c r="BY131" s="45"/>
      <c r="BZ131" s="53"/>
      <c r="CA131" s="53"/>
      <c r="CB131" s="53"/>
      <c r="CC131" s="53"/>
      <c r="CD131" s="53"/>
      <c r="CE131" s="53"/>
      <c r="CF131" s="35"/>
      <c r="CH131" s="35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4"/>
    </row>
    <row r="132" spans="1:98" s="55" customFormat="1" ht="12.75" customHeight="1">
      <c r="A132" s="35" t="s">
        <v>162</v>
      </c>
      <c r="B132" s="51"/>
      <c r="C132" s="35" t="s">
        <v>163</v>
      </c>
      <c r="D132" s="44"/>
      <c r="E132" s="53">
        <v>1096433</v>
      </c>
      <c r="F132" s="53"/>
      <c r="G132" s="53">
        <v>4430231</v>
      </c>
      <c r="H132" s="53"/>
      <c r="I132" s="53">
        <v>5526664</v>
      </c>
      <c r="J132" s="53"/>
      <c r="K132" s="53">
        <f t="shared" si="28"/>
        <v>1238096</v>
      </c>
      <c r="L132" s="53"/>
      <c r="M132" s="53">
        <v>149293</v>
      </c>
      <c r="N132" s="53"/>
      <c r="O132" s="53">
        <v>1387389</v>
      </c>
      <c r="P132" s="53"/>
      <c r="Q132" s="53">
        <v>4430231</v>
      </c>
      <c r="R132" s="53"/>
      <c r="S132" s="53">
        <v>0</v>
      </c>
      <c r="T132" s="53"/>
      <c r="U132" s="53">
        <v>-290956</v>
      </c>
      <c r="V132" s="53"/>
      <c r="W132" s="53">
        <f t="shared" si="39"/>
        <v>4139275</v>
      </c>
      <c r="X132" s="53"/>
      <c r="Y132" s="35" t="s">
        <v>162</v>
      </c>
      <c r="AA132" s="35" t="s">
        <v>163</v>
      </c>
      <c r="AB132" s="35"/>
      <c r="AC132" s="53">
        <v>2706759</v>
      </c>
      <c r="AD132" s="53"/>
      <c r="AE132" s="53">
        <f>1773577-304182</f>
        <v>1469395</v>
      </c>
      <c r="AF132" s="53"/>
      <c r="AG132" s="53">
        <v>304182</v>
      </c>
      <c r="AH132" s="53"/>
      <c r="AI132" s="45">
        <f t="shared" si="30"/>
        <v>933182</v>
      </c>
      <c r="AJ132" s="45"/>
      <c r="AK132" s="53">
        <v>-1221814</v>
      </c>
      <c r="AL132" s="45"/>
      <c r="AM132" s="53">
        <v>18087</v>
      </c>
      <c r="AN132" s="53"/>
      <c r="AO132" s="53">
        <v>-27000</v>
      </c>
      <c r="AP132" s="53"/>
      <c r="AQ132" s="53">
        <v>0</v>
      </c>
      <c r="AR132" s="53"/>
      <c r="AS132" s="45">
        <f t="shared" si="27"/>
        <v>-243545</v>
      </c>
      <c r="AT132" s="45"/>
      <c r="AU132" s="53">
        <v>0</v>
      </c>
      <c r="AV132" s="53"/>
      <c r="AW132" s="53">
        <v>0</v>
      </c>
      <c r="AX132" s="53"/>
      <c r="AY132" s="53">
        <f t="shared" si="31"/>
        <v>-141663</v>
      </c>
      <c r="AZ132" s="53"/>
      <c r="BA132" s="35" t="s">
        <v>162</v>
      </c>
      <c r="BC132" s="35" t="s">
        <v>163</v>
      </c>
      <c r="BD132" s="53"/>
      <c r="BE132" s="53">
        <v>0</v>
      </c>
      <c r="BF132" s="53"/>
      <c r="BG132" s="53">
        <v>0</v>
      </c>
      <c r="BH132" s="53"/>
      <c r="BI132" s="53">
        <v>0</v>
      </c>
      <c r="BJ132" s="53"/>
      <c r="BK132" s="53">
        <v>0</v>
      </c>
      <c r="BL132" s="53"/>
      <c r="BM132" s="53">
        <f t="shared" si="32"/>
        <v>0</v>
      </c>
      <c r="BN132" s="54" t="s">
        <v>347</v>
      </c>
      <c r="BO132" s="55" t="s">
        <v>407</v>
      </c>
      <c r="BR132" s="51"/>
      <c r="BS132" s="53"/>
      <c r="BT132" s="53"/>
      <c r="BU132" s="53"/>
      <c r="BV132" s="53"/>
      <c r="BW132" s="53"/>
      <c r="BX132" s="45"/>
      <c r="BY132" s="45"/>
      <c r="BZ132" s="53"/>
      <c r="CA132" s="53"/>
      <c r="CB132" s="53"/>
      <c r="CC132" s="53"/>
      <c r="CD132" s="53"/>
      <c r="CE132" s="53"/>
      <c r="CF132" s="35"/>
      <c r="CH132" s="35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4"/>
    </row>
    <row r="133" spans="1:98" s="143" customFormat="1" ht="12.75" hidden="1" customHeight="1">
      <c r="A133" s="126" t="s">
        <v>164</v>
      </c>
      <c r="B133" s="124"/>
      <c r="C133" s="126" t="s">
        <v>27</v>
      </c>
      <c r="D133" s="121"/>
      <c r="E133" s="140"/>
      <c r="F133" s="140"/>
      <c r="G133" s="140"/>
      <c r="H133" s="140"/>
      <c r="I133" s="140"/>
      <c r="J133" s="140"/>
      <c r="K133" s="140">
        <f t="shared" si="28"/>
        <v>0</v>
      </c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>
        <f t="shared" si="39"/>
        <v>0</v>
      </c>
      <c r="X133" s="140"/>
      <c r="Y133" s="126" t="s">
        <v>164</v>
      </c>
      <c r="AA133" s="126" t="s">
        <v>27</v>
      </c>
      <c r="AB133" s="126"/>
      <c r="AC133" s="140"/>
      <c r="AD133" s="140"/>
      <c r="AE133" s="140"/>
      <c r="AF133" s="140"/>
      <c r="AG133" s="140"/>
      <c r="AH133" s="140"/>
      <c r="AI133" s="127">
        <f t="shared" si="30"/>
        <v>0</v>
      </c>
      <c r="AJ133" s="127"/>
      <c r="AK133" s="140"/>
      <c r="AL133" s="127"/>
      <c r="AM133" s="53">
        <v>0</v>
      </c>
      <c r="AN133" s="53"/>
      <c r="AO133" s="53">
        <v>0</v>
      </c>
      <c r="AP133" s="140"/>
      <c r="AQ133" s="140">
        <v>0</v>
      </c>
      <c r="AR133" s="140"/>
      <c r="AS133" s="45">
        <f t="shared" si="27"/>
        <v>0</v>
      </c>
      <c r="AT133" s="127"/>
      <c r="AU133" s="140">
        <v>0</v>
      </c>
      <c r="AV133" s="140"/>
      <c r="AW133" s="140">
        <v>0</v>
      </c>
      <c r="AX133" s="140"/>
      <c r="AY133" s="140">
        <f t="shared" si="31"/>
        <v>0</v>
      </c>
      <c r="AZ133" s="140"/>
      <c r="BA133" s="126" t="s">
        <v>164</v>
      </c>
      <c r="BC133" s="126" t="s">
        <v>27</v>
      </c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>
        <f t="shared" si="32"/>
        <v>0</v>
      </c>
      <c r="BN133" s="142" t="s">
        <v>347</v>
      </c>
      <c r="BO133" s="126" t="s">
        <v>366</v>
      </c>
      <c r="BR133" s="124"/>
      <c r="BS133" s="140"/>
      <c r="BT133" s="140"/>
      <c r="BU133" s="140"/>
      <c r="BV133" s="140"/>
      <c r="BW133" s="140"/>
      <c r="BX133" s="127"/>
      <c r="BY133" s="127"/>
      <c r="BZ133" s="140"/>
      <c r="CA133" s="140"/>
      <c r="CB133" s="140"/>
      <c r="CC133" s="140"/>
      <c r="CD133" s="140"/>
      <c r="CE133" s="140"/>
      <c r="CF133" s="126"/>
      <c r="CH133" s="126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2"/>
      <c r="CT133" s="126"/>
    </row>
    <row r="134" spans="1:98" s="55" customFormat="1" ht="12.75" hidden="1" customHeight="1">
      <c r="A134" s="35" t="s">
        <v>53</v>
      </c>
      <c r="B134" s="51"/>
      <c r="C134" s="35" t="s">
        <v>53</v>
      </c>
      <c r="D134" s="44"/>
      <c r="E134" s="53"/>
      <c r="F134" s="53"/>
      <c r="G134" s="53"/>
      <c r="H134" s="53"/>
      <c r="I134" s="53"/>
      <c r="J134" s="53"/>
      <c r="K134" s="53">
        <f t="shared" si="28"/>
        <v>0</v>
      </c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>
        <f t="shared" si="39"/>
        <v>0</v>
      </c>
      <c r="X134" s="53"/>
      <c r="Y134" s="35" t="s">
        <v>53</v>
      </c>
      <c r="AA134" s="35" t="s">
        <v>53</v>
      </c>
      <c r="AB134" s="35"/>
      <c r="AC134" s="53"/>
      <c r="AD134" s="53"/>
      <c r="AE134" s="53"/>
      <c r="AF134" s="53"/>
      <c r="AG134" s="53"/>
      <c r="AH134" s="53"/>
      <c r="AI134" s="45">
        <f t="shared" si="30"/>
        <v>0</v>
      </c>
      <c r="AJ134" s="45"/>
      <c r="AK134" s="53"/>
      <c r="AL134" s="45"/>
      <c r="AM134" s="53">
        <v>0</v>
      </c>
      <c r="AN134" s="53"/>
      <c r="AO134" s="53">
        <v>0</v>
      </c>
      <c r="AP134" s="53"/>
      <c r="AQ134" s="53">
        <v>0</v>
      </c>
      <c r="AR134" s="53"/>
      <c r="AS134" s="45">
        <f t="shared" si="27"/>
        <v>0</v>
      </c>
      <c r="AT134" s="45"/>
      <c r="AU134" s="53">
        <v>0</v>
      </c>
      <c r="AV134" s="53"/>
      <c r="AW134" s="53">
        <v>0</v>
      </c>
      <c r="AX134" s="53"/>
      <c r="AY134" s="53">
        <f t="shared" si="31"/>
        <v>0</v>
      </c>
      <c r="AZ134" s="53"/>
      <c r="BA134" s="35" t="s">
        <v>53</v>
      </c>
      <c r="BC134" s="35" t="s">
        <v>53</v>
      </c>
      <c r="BD134" s="53"/>
      <c r="BE134" s="53"/>
      <c r="BF134" s="53"/>
      <c r="BG134" s="53"/>
      <c r="BH134" s="53"/>
      <c r="BI134" s="53"/>
      <c r="BJ134" s="53"/>
      <c r="BK134" s="53"/>
      <c r="BL134" s="53"/>
      <c r="BM134" s="53">
        <f t="shared" si="32"/>
        <v>0</v>
      </c>
      <c r="BN134" s="54" t="s">
        <v>347</v>
      </c>
      <c r="BR134" s="51"/>
      <c r="BS134" s="53"/>
      <c r="BT134" s="53"/>
      <c r="BU134" s="53"/>
      <c r="BV134" s="53"/>
      <c r="BW134" s="53"/>
      <c r="BX134" s="45"/>
      <c r="BY134" s="45"/>
      <c r="BZ134" s="53"/>
      <c r="CA134" s="53"/>
      <c r="CB134" s="53"/>
      <c r="CC134" s="53"/>
      <c r="CD134" s="53"/>
      <c r="CE134" s="53"/>
      <c r="CF134" s="35"/>
      <c r="CH134" s="35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4"/>
    </row>
    <row r="135" spans="1:98" s="143" customFormat="1" ht="12.75" hidden="1" customHeight="1">
      <c r="A135" s="126" t="s">
        <v>165</v>
      </c>
      <c r="B135" s="124"/>
      <c r="C135" s="126" t="s">
        <v>92</v>
      </c>
      <c r="D135" s="121"/>
      <c r="E135" s="140"/>
      <c r="F135" s="140"/>
      <c r="G135" s="140"/>
      <c r="H135" s="140"/>
      <c r="I135" s="140"/>
      <c r="J135" s="140"/>
      <c r="K135" s="140">
        <f t="shared" si="28"/>
        <v>0</v>
      </c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>
        <f t="shared" si="39"/>
        <v>0</v>
      </c>
      <c r="X135" s="140"/>
      <c r="Y135" s="126" t="s">
        <v>165</v>
      </c>
      <c r="AA135" s="126" t="s">
        <v>92</v>
      </c>
      <c r="AB135" s="126"/>
      <c r="AC135" s="140"/>
      <c r="AD135" s="140"/>
      <c r="AE135" s="140"/>
      <c r="AF135" s="140"/>
      <c r="AG135" s="140"/>
      <c r="AH135" s="140"/>
      <c r="AI135" s="127">
        <f t="shared" si="30"/>
        <v>0</v>
      </c>
      <c r="AJ135" s="127"/>
      <c r="AK135" s="140"/>
      <c r="AL135" s="127"/>
      <c r="AM135" s="53">
        <v>0</v>
      </c>
      <c r="AN135" s="53"/>
      <c r="AO135" s="53">
        <v>0</v>
      </c>
      <c r="AP135" s="140"/>
      <c r="AQ135" s="140">
        <v>0</v>
      </c>
      <c r="AR135" s="140"/>
      <c r="AS135" s="45">
        <f t="shared" si="27"/>
        <v>0</v>
      </c>
      <c r="AT135" s="127"/>
      <c r="AU135" s="140">
        <v>0</v>
      </c>
      <c r="AV135" s="140"/>
      <c r="AW135" s="140">
        <v>0</v>
      </c>
      <c r="AX135" s="140"/>
      <c r="AY135" s="140">
        <f t="shared" si="31"/>
        <v>0</v>
      </c>
      <c r="AZ135" s="140"/>
      <c r="BA135" s="126" t="s">
        <v>165</v>
      </c>
      <c r="BC135" s="126" t="s">
        <v>92</v>
      </c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>
        <f t="shared" si="32"/>
        <v>0</v>
      </c>
      <c r="BN135" s="142" t="s">
        <v>347</v>
      </c>
      <c r="BR135" s="124"/>
      <c r="BS135" s="140"/>
      <c r="BT135" s="140"/>
      <c r="BU135" s="140"/>
      <c r="BV135" s="140"/>
      <c r="BW135" s="140"/>
      <c r="BX135" s="127"/>
      <c r="BY135" s="127"/>
      <c r="BZ135" s="140"/>
      <c r="CA135" s="140"/>
      <c r="CB135" s="140"/>
      <c r="CC135" s="140"/>
      <c r="CD135" s="140"/>
      <c r="CE135" s="140"/>
      <c r="CF135" s="126"/>
      <c r="CH135" s="126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2"/>
    </row>
    <row r="136" spans="1:98" s="143" customFormat="1" ht="12.75" hidden="1" customHeight="1">
      <c r="A136" s="126" t="s">
        <v>166</v>
      </c>
      <c r="B136" s="124"/>
      <c r="C136" s="126" t="s">
        <v>92</v>
      </c>
      <c r="D136" s="121"/>
      <c r="E136" s="140"/>
      <c r="F136" s="140"/>
      <c r="G136" s="140"/>
      <c r="H136" s="140"/>
      <c r="I136" s="140"/>
      <c r="J136" s="140"/>
      <c r="K136" s="140">
        <f t="shared" si="28"/>
        <v>0</v>
      </c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>
        <f t="shared" si="39"/>
        <v>0</v>
      </c>
      <c r="X136" s="140"/>
      <c r="Y136" s="126" t="s">
        <v>166</v>
      </c>
      <c r="AA136" s="126" t="s">
        <v>92</v>
      </c>
      <c r="AB136" s="126"/>
      <c r="AC136" s="140"/>
      <c r="AD136" s="140"/>
      <c r="AE136" s="140"/>
      <c r="AF136" s="140"/>
      <c r="AG136" s="140"/>
      <c r="AH136" s="140"/>
      <c r="AI136" s="127">
        <f t="shared" si="30"/>
        <v>0</v>
      </c>
      <c r="AJ136" s="127"/>
      <c r="AK136" s="140"/>
      <c r="AL136" s="127"/>
      <c r="AM136" s="53">
        <v>0</v>
      </c>
      <c r="AN136" s="53"/>
      <c r="AO136" s="53">
        <v>0</v>
      </c>
      <c r="AP136" s="140"/>
      <c r="AQ136" s="140">
        <v>0</v>
      </c>
      <c r="AR136" s="140"/>
      <c r="AS136" s="45">
        <f t="shared" si="27"/>
        <v>0</v>
      </c>
      <c r="AT136" s="127"/>
      <c r="AU136" s="140">
        <v>0</v>
      </c>
      <c r="AV136" s="140"/>
      <c r="AW136" s="140">
        <v>0</v>
      </c>
      <c r="AX136" s="140"/>
      <c r="AY136" s="140">
        <f t="shared" si="31"/>
        <v>0</v>
      </c>
      <c r="AZ136" s="140"/>
      <c r="BA136" s="126" t="s">
        <v>166</v>
      </c>
      <c r="BC136" s="126" t="s">
        <v>92</v>
      </c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>
        <f t="shared" si="32"/>
        <v>0</v>
      </c>
      <c r="BN136" s="142"/>
      <c r="BR136" s="124"/>
      <c r="BS136" s="140"/>
      <c r="BT136" s="140"/>
      <c r="BU136" s="140"/>
      <c r="BV136" s="140"/>
      <c r="BW136" s="140"/>
      <c r="BX136" s="127"/>
      <c r="BY136" s="127"/>
      <c r="BZ136" s="140"/>
      <c r="CA136" s="140"/>
      <c r="CB136" s="140"/>
      <c r="CC136" s="140"/>
      <c r="CD136" s="140"/>
      <c r="CE136" s="140"/>
      <c r="CF136" s="126"/>
      <c r="CH136" s="126"/>
      <c r="CI136" s="140"/>
      <c r="CJ136" s="140"/>
      <c r="CK136" s="140"/>
      <c r="CL136" s="140"/>
      <c r="CM136" s="140"/>
      <c r="CN136" s="140"/>
      <c r="CO136" s="140"/>
      <c r="CP136" s="140"/>
      <c r="CQ136" s="140"/>
      <c r="CR136" s="140"/>
      <c r="CS136" s="142"/>
    </row>
    <row r="137" spans="1:98" s="55" customFormat="1" ht="12.75" customHeight="1">
      <c r="A137" s="35" t="s">
        <v>167</v>
      </c>
      <c r="B137" s="51"/>
      <c r="C137" s="35" t="s">
        <v>66</v>
      </c>
      <c r="D137" s="44"/>
      <c r="E137" s="53">
        <v>4582554</v>
      </c>
      <c r="F137" s="53"/>
      <c r="G137" s="53">
        <v>14678024</v>
      </c>
      <c r="H137" s="53"/>
      <c r="I137" s="53">
        <v>19260578</v>
      </c>
      <c r="J137" s="53"/>
      <c r="K137" s="53">
        <f t="shared" si="28"/>
        <v>624325</v>
      </c>
      <c r="L137" s="53"/>
      <c r="M137" s="53">
        <v>5359182</v>
      </c>
      <c r="N137" s="53"/>
      <c r="O137" s="53">
        <v>5983507</v>
      </c>
      <c r="P137" s="53"/>
      <c r="Q137" s="53">
        <v>8963279</v>
      </c>
      <c r="R137" s="53"/>
      <c r="S137" s="53">
        <v>1063207</v>
      </c>
      <c r="T137" s="53"/>
      <c r="U137" s="53">
        <v>3250585</v>
      </c>
      <c r="V137" s="53"/>
      <c r="W137" s="53">
        <f t="shared" si="39"/>
        <v>13277071</v>
      </c>
      <c r="X137" s="53"/>
      <c r="Y137" s="35" t="s">
        <v>167</v>
      </c>
      <c r="AA137" s="35" t="s">
        <v>66</v>
      </c>
      <c r="AB137" s="35"/>
      <c r="AC137" s="53">
        <v>1369694</v>
      </c>
      <c r="AD137" s="53"/>
      <c r="AE137" s="53">
        <f>2441460-452083</f>
        <v>1989377</v>
      </c>
      <c r="AF137" s="53"/>
      <c r="AG137" s="53">
        <v>452083</v>
      </c>
      <c r="AH137" s="53"/>
      <c r="AI137" s="45">
        <f t="shared" si="30"/>
        <v>-1071766</v>
      </c>
      <c r="AJ137" s="45"/>
      <c r="AK137" s="53">
        <v>787364</v>
      </c>
      <c r="AL137" s="45"/>
      <c r="AM137" s="53">
        <v>0</v>
      </c>
      <c r="AN137" s="53"/>
      <c r="AO137" s="53">
        <v>0</v>
      </c>
      <c r="AP137" s="53"/>
      <c r="AQ137" s="53">
        <v>14126</v>
      </c>
      <c r="AR137" s="53"/>
      <c r="AS137" s="45">
        <f t="shared" ref="AS137:AS200" si="40">+AI137+AK137+AM137-AO137+AQ137</f>
        <v>-270276</v>
      </c>
      <c r="AT137" s="45"/>
      <c r="AU137" s="53">
        <v>0</v>
      </c>
      <c r="AV137" s="53"/>
      <c r="AW137" s="53">
        <v>0</v>
      </c>
      <c r="AX137" s="53"/>
      <c r="AY137" s="53">
        <f t="shared" si="31"/>
        <v>3958229</v>
      </c>
      <c r="AZ137" s="53"/>
      <c r="BA137" s="35" t="s">
        <v>167</v>
      </c>
      <c r="BC137" s="35" t="s">
        <v>66</v>
      </c>
      <c r="BD137" s="53"/>
      <c r="BE137" s="53">
        <v>0</v>
      </c>
      <c r="BF137" s="53"/>
      <c r="BG137" s="53">
        <v>0</v>
      </c>
      <c r="BH137" s="53"/>
      <c r="BI137" s="53">
        <v>0</v>
      </c>
      <c r="BJ137" s="53"/>
      <c r="BK137" s="53">
        <v>0</v>
      </c>
      <c r="BL137" s="53"/>
      <c r="BM137" s="53">
        <f t="shared" si="32"/>
        <v>0</v>
      </c>
      <c r="BN137" s="54" t="s">
        <v>347</v>
      </c>
      <c r="BR137" s="51"/>
      <c r="BS137" s="53"/>
      <c r="BT137" s="53"/>
      <c r="BU137" s="53"/>
      <c r="BV137" s="53"/>
      <c r="BW137" s="53"/>
      <c r="BX137" s="45"/>
      <c r="BY137" s="45"/>
      <c r="BZ137" s="53"/>
      <c r="CA137" s="53"/>
      <c r="CB137" s="53"/>
      <c r="CC137" s="53"/>
      <c r="CD137" s="53"/>
      <c r="CE137" s="53"/>
      <c r="CF137" s="35"/>
      <c r="CH137" s="35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4"/>
    </row>
    <row r="138" spans="1:98" s="143" customFormat="1" ht="12.75" hidden="1" customHeight="1">
      <c r="A138" s="121" t="s">
        <v>168</v>
      </c>
      <c r="B138" s="124"/>
      <c r="C138" s="121" t="s">
        <v>27</v>
      </c>
      <c r="D138" s="121"/>
      <c r="E138" s="140"/>
      <c r="F138" s="140"/>
      <c r="G138" s="140"/>
      <c r="H138" s="140"/>
      <c r="I138" s="140"/>
      <c r="J138" s="140"/>
      <c r="K138" s="140">
        <f t="shared" si="28"/>
        <v>0</v>
      </c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>
        <f t="shared" si="39"/>
        <v>0</v>
      </c>
      <c r="X138" s="140"/>
      <c r="Y138" s="121" t="s">
        <v>168</v>
      </c>
      <c r="AA138" s="121" t="s">
        <v>27</v>
      </c>
      <c r="AB138" s="121"/>
      <c r="AC138" s="140"/>
      <c r="AD138" s="140"/>
      <c r="AE138" s="140"/>
      <c r="AF138" s="140"/>
      <c r="AG138" s="140"/>
      <c r="AH138" s="140"/>
      <c r="AI138" s="127">
        <f t="shared" si="30"/>
        <v>0</v>
      </c>
      <c r="AJ138" s="127"/>
      <c r="AK138" s="140"/>
      <c r="AL138" s="127"/>
      <c r="AM138" s="53">
        <v>0</v>
      </c>
      <c r="AN138" s="53"/>
      <c r="AO138" s="53">
        <v>0</v>
      </c>
      <c r="AP138" s="140"/>
      <c r="AQ138" s="140">
        <v>0</v>
      </c>
      <c r="AR138" s="140"/>
      <c r="AS138" s="45">
        <f t="shared" si="40"/>
        <v>0</v>
      </c>
      <c r="AT138" s="127"/>
      <c r="AU138" s="140">
        <v>0</v>
      </c>
      <c r="AV138" s="140"/>
      <c r="AW138" s="140">
        <v>0</v>
      </c>
      <c r="AX138" s="140"/>
      <c r="AY138" s="140">
        <f t="shared" si="31"/>
        <v>0</v>
      </c>
      <c r="AZ138" s="140"/>
      <c r="BA138" s="121" t="s">
        <v>168</v>
      </c>
      <c r="BC138" s="121" t="s">
        <v>27</v>
      </c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>
        <f t="shared" si="32"/>
        <v>0</v>
      </c>
      <c r="BN138" s="142" t="s">
        <v>347</v>
      </c>
      <c r="BR138" s="124"/>
      <c r="BS138" s="140"/>
      <c r="BT138" s="140"/>
      <c r="BU138" s="140"/>
      <c r="BV138" s="140"/>
      <c r="BW138" s="140"/>
      <c r="BX138" s="127"/>
      <c r="BY138" s="127"/>
      <c r="BZ138" s="140"/>
      <c r="CA138" s="140"/>
      <c r="CB138" s="140"/>
      <c r="CC138" s="140"/>
      <c r="CD138" s="140"/>
      <c r="CE138" s="140"/>
      <c r="CF138" s="126"/>
      <c r="CH138" s="126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140"/>
      <c r="CS138" s="142"/>
    </row>
    <row r="139" spans="1:98" s="55" customFormat="1" ht="12.75" customHeight="1">
      <c r="A139" s="35" t="s">
        <v>169</v>
      </c>
      <c r="B139" s="51"/>
      <c r="C139" s="35" t="s">
        <v>103</v>
      </c>
      <c r="D139" s="44"/>
      <c r="E139" s="53">
        <v>8639494</v>
      </c>
      <c r="F139" s="53"/>
      <c r="G139" s="53">
        <v>31196154</v>
      </c>
      <c r="H139" s="53"/>
      <c r="I139" s="53">
        <v>39835648</v>
      </c>
      <c r="J139" s="53"/>
      <c r="K139" s="53">
        <f t="shared" si="28"/>
        <v>1954359</v>
      </c>
      <c r="L139" s="53"/>
      <c r="M139" s="53">
        <v>10677419</v>
      </c>
      <c r="N139" s="53"/>
      <c r="O139" s="53">
        <v>12631778</v>
      </c>
      <c r="P139" s="53"/>
      <c r="Q139" s="53">
        <v>19842363</v>
      </c>
      <c r="R139" s="53"/>
      <c r="S139" s="53">
        <v>656719</v>
      </c>
      <c r="T139" s="53"/>
      <c r="U139" s="53">
        <v>6704788</v>
      </c>
      <c r="V139" s="53"/>
      <c r="W139" s="53">
        <f t="shared" si="39"/>
        <v>27203870</v>
      </c>
      <c r="X139" s="53"/>
      <c r="Y139" s="35" t="s">
        <v>169</v>
      </c>
      <c r="AA139" s="35" t="s">
        <v>103</v>
      </c>
      <c r="AB139" s="35"/>
      <c r="AC139" s="53">
        <v>7418600</v>
      </c>
      <c r="AD139" s="53"/>
      <c r="AE139" s="53">
        <f>6406309-1437525</f>
        <v>4968784</v>
      </c>
      <c r="AF139" s="53"/>
      <c r="AG139" s="53">
        <v>1437525</v>
      </c>
      <c r="AH139" s="53"/>
      <c r="AI139" s="45">
        <f t="shared" si="30"/>
        <v>1012291</v>
      </c>
      <c r="AJ139" s="45"/>
      <c r="AK139" s="53">
        <v>651</v>
      </c>
      <c r="AL139" s="45"/>
      <c r="AM139" s="53">
        <v>0</v>
      </c>
      <c r="AN139" s="53"/>
      <c r="AO139" s="53">
        <v>28222</v>
      </c>
      <c r="AP139" s="53"/>
      <c r="AQ139" s="53">
        <v>329710</v>
      </c>
      <c r="AR139" s="53"/>
      <c r="AS139" s="45">
        <f t="shared" si="40"/>
        <v>1314430</v>
      </c>
      <c r="AT139" s="45"/>
      <c r="AU139" s="53">
        <v>0</v>
      </c>
      <c r="AV139" s="53"/>
      <c r="AW139" s="53">
        <v>0</v>
      </c>
      <c r="AX139" s="53"/>
      <c r="AY139" s="53">
        <f t="shared" si="31"/>
        <v>6685135</v>
      </c>
      <c r="AZ139" s="53"/>
      <c r="BA139" s="35" t="s">
        <v>169</v>
      </c>
      <c r="BC139" s="35" t="s">
        <v>103</v>
      </c>
      <c r="BD139" s="53"/>
      <c r="BE139" s="53">
        <v>7635000</v>
      </c>
      <c r="BF139" s="53"/>
      <c r="BG139" s="53">
        <v>0</v>
      </c>
      <c r="BH139" s="53"/>
      <c r="BI139" s="53">
        <v>0</v>
      </c>
      <c r="BJ139" s="53"/>
      <c r="BK139" s="53">
        <v>6764426</v>
      </c>
      <c r="BL139" s="53"/>
      <c r="BM139" s="53">
        <f t="shared" si="32"/>
        <v>14399426</v>
      </c>
      <c r="BN139" s="54" t="s">
        <v>347</v>
      </c>
      <c r="BR139" s="51"/>
      <c r="BS139" s="53"/>
      <c r="BT139" s="53"/>
      <c r="BU139" s="53"/>
      <c r="BV139" s="53"/>
      <c r="BW139" s="53"/>
      <c r="BX139" s="45"/>
      <c r="BY139" s="45"/>
      <c r="BZ139" s="53"/>
      <c r="CA139" s="53"/>
      <c r="CB139" s="53"/>
      <c r="CC139" s="53"/>
      <c r="CD139" s="53"/>
      <c r="CE139" s="53"/>
      <c r="CF139" s="35"/>
      <c r="CH139" s="35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4"/>
    </row>
    <row r="140" spans="1:98" s="55" customFormat="1" ht="12.75" customHeight="1">
      <c r="A140" s="35" t="s">
        <v>170</v>
      </c>
      <c r="B140" s="51"/>
      <c r="C140" s="35" t="s">
        <v>171</v>
      </c>
      <c r="D140" s="44"/>
      <c r="E140" s="53">
        <v>2817336</v>
      </c>
      <c r="F140" s="53"/>
      <c r="G140" s="53">
        <v>9522581</v>
      </c>
      <c r="H140" s="53"/>
      <c r="I140" s="53">
        <v>12339917</v>
      </c>
      <c r="J140" s="53"/>
      <c r="K140" s="53">
        <f t="shared" si="28"/>
        <v>358501</v>
      </c>
      <c r="L140" s="53"/>
      <c r="M140" s="53">
        <v>3006799</v>
      </c>
      <c r="N140" s="53"/>
      <c r="O140" s="53">
        <v>3365300</v>
      </c>
      <c r="P140" s="53"/>
      <c r="Q140" s="53">
        <v>6237048</v>
      </c>
      <c r="R140" s="53"/>
      <c r="S140" s="53">
        <v>0</v>
      </c>
      <c r="T140" s="53"/>
      <c r="U140" s="53">
        <v>2737569</v>
      </c>
      <c r="V140" s="53"/>
      <c r="W140" s="53">
        <f t="shared" si="39"/>
        <v>8974617</v>
      </c>
      <c r="X140" s="53"/>
      <c r="Y140" s="35" t="s">
        <v>170</v>
      </c>
      <c r="AA140" s="35" t="s">
        <v>171</v>
      </c>
      <c r="AB140" s="35"/>
      <c r="AC140" s="53">
        <v>1139670</v>
      </c>
      <c r="AD140" s="53"/>
      <c r="AE140" s="53">
        <f>1308712-265090</f>
        <v>1043622</v>
      </c>
      <c r="AF140" s="53"/>
      <c r="AG140" s="53">
        <v>265090</v>
      </c>
      <c r="AH140" s="53"/>
      <c r="AI140" s="45">
        <f t="shared" si="30"/>
        <v>-169042</v>
      </c>
      <c r="AJ140" s="45"/>
      <c r="AK140" s="53">
        <v>-14266</v>
      </c>
      <c r="AL140" s="45"/>
      <c r="AM140" s="53">
        <v>0</v>
      </c>
      <c r="AN140" s="53"/>
      <c r="AO140" s="53">
        <v>0</v>
      </c>
      <c r="AP140" s="53"/>
      <c r="AQ140" s="53">
        <v>0</v>
      </c>
      <c r="AR140" s="53"/>
      <c r="AS140" s="45">
        <f t="shared" si="40"/>
        <v>-183308</v>
      </c>
      <c r="AT140" s="45"/>
      <c r="AU140" s="53">
        <v>0</v>
      </c>
      <c r="AV140" s="53"/>
      <c r="AW140" s="53">
        <v>0</v>
      </c>
      <c r="AX140" s="53"/>
      <c r="AY140" s="53">
        <f t="shared" si="31"/>
        <v>2458835</v>
      </c>
      <c r="AZ140" s="53"/>
      <c r="BA140" s="35" t="s">
        <v>170</v>
      </c>
      <c r="BC140" s="35" t="s">
        <v>171</v>
      </c>
      <c r="BD140" s="53"/>
      <c r="BE140" s="53">
        <v>0</v>
      </c>
      <c r="BF140" s="53"/>
      <c r="BG140" s="53">
        <v>0</v>
      </c>
      <c r="BH140" s="53"/>
      <c r="BI140" s="53">
        <v>0</v>
      </c>
      <c r="BJ140" s="53"/>
      <c r="BK140" s="53">
        <v>0</v>
      </c>
      <c r="BL140" s="53"/>
      <c r="BM140" s="53">
        <f t="shared" si="32"/>
        <v>0</v>
      </c>
      <c r="BN140" s="54" t="s">
        <v>347</v>
      </c>
      <c r="BR140" s="51"/>
      <c r="BS140" s="53"/>
      <c r="BT140" s="53"/>
      <c r="BU140" s="53"/>
      <c r="BV140" s="53"/>
      <c r="BW140" s="53"/>
      <c r="BX140" s="45"/>
      <c r="BY140" s="45"/>
      <c r="BZ140" s="53"/>
      <c r="CA140" s="53"/>
      <c r="CB140" s="53"/>
      <c r="CC140" s="53"/>
      <c r="CD140" s="53"/>
      <c r="CE140" s="53"/>
      <c r="CF140" s="35"/>
      <c r="CH140" s="35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4"/>
    </row>
    <row r="141" spans="1:98" s="143" customFormat="1" ht="12.75" hidden="1" customHeight="1">
      <c r="A141" s="126" t="s">
        <v>172</v>
      </c>
      <c r="B141" s="124"/>
      <c r="C141" s="126" t="s">
        <v>103</v>
      </c>
      <c r="D141" s="121"/>
      <c r="E141" s="140"/>
      <c r="F141" s="140"/>
      <c r="G141" s="140"/>
      <c r="H141" s="140"/>
      <c r="I141" s="140"/>
      <c r="J141" s="140"/>
      <c r="K141" s="140">
        <f t="shared" si="28"/>
        <v>0</v>
      </c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>
        <f t="shared" si="39"/>
        <v>0</v>
      </c>
      <c r="X141" s="140"/>
      <c r="Y141" s="126" t="s">
        <v>172</v>
      </c>
      <c r="AA141" s="126" t="s">
        <v>103</v>
      </c>
      <c r="AB141" s="126"/>
      <c r="AC141" s="140"/>
      <c r="AD141" s="140"/>
      <c r="AE141" s="140"/>
      <c r="AF141" s="140"/>
      <c r="AG141" s="140"/>
      <c r="AH141" s="140"/>
      <c r="AI141" s="127">
        <f t="shared" si="30"/>
        <v>0</v>
      </c>
      <c r="AJ141" s="127"/>
      <c r="AK141" s="140"/>
      <c r="AL141" s="127"/>
      <c r="AM141" s="53">
        <v>0</v>
      </c>
      <c r="AN141" s="53"/>
      <c r="AO141" s="53">
        <v>0</v>
      </c>
      <c r="AP141" s="140"/>
      <c r="AQ141" s="140">
        <v>0</v>
      </c>
      <c r="AR141" s="140"/>
      <c r="AS141" s="45">
        <f t="shared" si="40"/>
        <v>0</v>
      </c>
      <c r="AT141" s="127"/>
      <c r="AU141" s="140">
        <v>0</v>
      </c>
      <c r="AV141" s="140"/>
      <c r="AW141" s="140">
        <v>0</v>
      </c>
      <c r="AX141" s="140"/>
      <c r="AY141" s="140">
        <f t="shared" si="31"/>
        <v>0</v>
      </c>
      <c r="AZ141" s="140"/>
      <c r="BA141" s="126" t="s">
        <v>172</v>
      </c>
      <c r="BC141" s="126" t="s">
        <v>103</v>
      </c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>
        <f t="shared" si="32"/>
        <v>0</v>
      </c>
      <c r="BN141" s="142" t="s">
        <v>347</v>
      </c>
      <c r="BR141" s="124"/>
      <c r="BS141" s="140"/>
      <c r="BT141" s="140"/>
      <c r="BU141" s="140"/>
      <c r="BV141" s="140"/>
      <c r="BW141" s="140"/>
      <c r="BX141" s="127"/>
      <c r="BY141" s="127"/>
      <c r="BZ141" s="140"/>
      <c r="CA141" s="140"/>
      <c r="CB141" s="140"/>
      <c r="CC141" s="140"/>
      <c r="CD141" s="140"/>
      <c r="CE141" s="140"/>
      <c r="CF141" s="126"/>
      <c r="CH141" s="126"/>
      <c r="CI141" s="140"/>
      <c r="CJ141" s="140"/>
      <c r="CK141" s="140"/>
      <c r="CL141" s="140"/>
      <c r="CM141" s="140"/>
      <c r="CN141" s="140"/>
      <c r="CO141" s="140"/>
      <c r="CP141" s="140"/>
      <c r="CQ141" s="140"/>
      <c r="CR141" s="140"/>
      <c r="CS141" s="142"/>
    </row>
    <row r="142" spans="1:98" s="55" customFormat="1" ht="12.75" customHeight="1">
      <c r="A142" s="35" t="s">
        <v>66</v>
      </c>
      <c r="B142" s="51"/>
      <c r="C142" s="35" t="s">
        <v>45</v>
      </c>
      <c r="D142" s="44"/>
      <c r="E142" s="53">
        <v>467381</v>
      </c>
      <c r="F142" s="53"/>
      <c r="G142" s="53">
        <v>0</v>
      </c>
      <c r="H142" s="53"/>
      <c r="I142" s="53">
        <f t="shared" ref="I142:I167" si="41">G142+E142</f>
        <v>467381</v>
      </c>
      <c r="J142" s="53"/>
      <c r="K142" s="53">
        <f t="shared" si="28"/>
        <v>91662</v>
      </c>
      <c r="L142" s="53"/>
      <c r="M142" s="53">
        <v>0</v>
      </c>
      <c r="N142" s="53"/>
      <c r="O142" s="53">
        <v>91662</v>
      </c>
      <c r="P142" s="53"/>
      <c r="Q142" s="53">
        <v>0</v>
      </c>
      <c r="R142" s="53"/>
      <c r="S142" s="53">
        <v>0</v>
      </c>
      <c r="T142" s="53"/>
      <c r="U142" s="53">
        <v>375719</v>
      </c>
      <c r="V142" s="53"/>
      <c r="W142" s="53">
        <f t="shared" ref="W142" si="42">SUM(Q142:U142)</f>
        <v>375719</v>
      </c>
      <c r="X142" s="53"/>
      <c r="Y142" s="35" t="s">
        <v>66</v>
      </c>
      <c r="AA142" s="35" t="s">
        <v>45</v>
      </c>
      <c r="AB142" s="35"/>
      <c r="AC142" s="53">
        <v>1166762</v>
      </c>
      <c r="AD142" s="53"/>
      <c r="AE142" s="53">
        <f>1098769-0</f>
        <v>1098769</v>
      </c>
      <c r="AF142" s="53"/>
      <c r="AG142" s="53">
        <v>0</v>
      </c>
      <c r="AH142" s="53"/>
      <c r="AI142" s="45">
        <f t="shared" si="30"/>
        <v>67993</v>
      </c>
      <c r="AJ142" s="45"/>
      <c r="AK142" s="53">
        <v>0</v>
      </c>
      <c r="AL142" s="45"/>
      <c r="AM142" s="53">
        <v>0</v>
      </c>
      <c r="AN142" s="53"/>
      <c r="AO142" s="53">
        <v>0</v>
      </c>
      <c r="AP142" s="53"/>
      <c r="AQ142" s="53">
        <v>0</v>
      </c>
      <c r="AR142" s="53"/>
      <c r="AS142" s="45">
        <f t="shared" si="40"/>
        <v>67993</v>
      </c>
      <c r="AT142" s="45"/>
      <c r="AU142" s="53">
        <v>0</v>
      </c>
      <c r="AV142" s="53"/>
      <c r="AW142" s="53">
        <v>0</v>
      </c>
      <c r="AX142" s="53"/>
      <c r="AY142" s="53">
        <f t="shared" si="31"/>
        <v>375719</v>
      </c>
      <c r="AZ142" s="53"/>
      <c r="BA142" s="35" t="s">
        <v>66</v>
      </c>
      <c r="BC142" s="35" t="s">
        <v>45</v>
      </c>
      <c r="BD142" s="53"/>
      <c r="BE142" s="53">
        <v>0</v>
      </c>
      <c r="BF142" s="53"/>
      <c r="BG142" s="53">
        <v>0</v>
      </c>
      <c r="BH142" s="53"/>
      <c r="BI142" s="53">
        <v>0</v>
      </c>
      <c r="BJ142" s="53"/>
      <c r="BK142" s="53">
        <v>0</v>
      </c>
      <c r="BL142" s="53"/>
      <c r="BM142" s="53">
        <f t="shared" si="32"/>
        <v>0</v>
      </c>
      <c r="BN142" s="54" t="s">
        <v>347</v>
      </c>
      <c r="BR142" s="51"/>
      <c r="BS142" s="53"/>
      <c r="BT142" s="53"/>
      <c r="BU142" s="53"/>
      <c r="BV142" s="53"/>
      <c r="BW142" s="53"/>
      <c r="BX142" s="45"/>
      <c r="BY142" s="45"/>
      <c r="BZ142" s="53"/>
      <c r="CA142" s="53"/>
      <c r="CB142" s="53"/>
      <c r="CC142" s="53"/>
      <c r="CD142" s="53"/>
      <c r="CE142" s="53"/>
      <c r="CF142" s="35"/>
      <c r="CH142" s="35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4"/>
    </row>
    <row r="143" spans="1:98" s="143" customFormat="1" ht="12.75" hidden="1" customHeight="1">
      <c r="A143" s="126" t="s">
        <v>173</v>
      </c>
      <c r="B143" s="124"/>
      <c r="C143" s="126" t="s">
        <v>66</v>
      </c>
      <c r="D143" s="121"/>
      <c r="E143" s="140"/>
      <c r="F143" s="140"/>
      <c r="G143" s="140"/>
      <c r="H143" s="140"/>
      <c r="I143" s="53">
        <f t="shared" si="41"/>
        <v>0</v>
      </c>
      <c r="J143" s="140"/>
      <c r="K143" s="140">
        <f t="shared" ref="K143:K208" si="43">O143-M143</f>
        <v>0</v>
      </c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>
        <f t="shared" ref="W143:W150" si="44">SUM(Q143:U143)</f>
        <v>0</v>
      </c>
      <c r="X143" s="140"/>
      <c r="Y143" s="126" t="s">
        <v>173</v>
      </c>
      <c r="AA143" s="126" t="s">
        <v>66</v>
      </c>
      <c r="AB143" s="126"/>
      <c r="AC143" s="140"/>
      <c r="AD143" s="140"/>
      <c r="AE143" s="140"/>
      <c r="AF143" s="140"/>
      <c r="AG143" s="140"/>
      <c r="AH143" s="140"/>
      <c r="AI143" s="127">
        <f t="shared" ref="AI143:AI208" si="45">+AC143-AE143-AG143</f>
        <v>0</v>
      </c>
      <c r="AJ143" s="127"/>
      <c r="AK143" s="140"/>
      <c r="AL143" s="127"/>
      <c r="AM143" s="53">
        <v>0</v>
      </c>
      <c r="AN143" s="53"/>
      <c r="AO143" s="53">
        <v>0</v>
      </c>
      <c r="AP143" s="140"/>
      <c r="AQ143" s="140"/>
      <c r="AR143" s="140"/>
      <c r="AS143" s="45">
        <f t="shared" si="40"/>
        <v>0</v>
      </c>
      <c r="AT143" s="127"/>
      <c r="AU143" s="140">
        <v>0</v>
      </c>
      <c r="AV143" s="140"/>
      <c r="AW143" s="140">
        <v>0</v>
      </c>
      <c r="AX143" s="140"/>
      <c r="AY143" s="140">
        <f t="shared" ref="AY143:AY208" si="46">+E143-K143</f>
        <v>0</v>
      </c>
      <c r="AZ143" s="140"/>
      <c r="BA143" s="126" t="s">
        <v>173</v>
      </c>
      <c r="BC143" s="126" t="s">
        <v>66</v>
      </c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>
        <f t="shared" ref="BM143:BM208" si="47">SUM(BE143:BK143)</f>
        <v>0</v>
      </c>
      <c r="BN143" s="142" t="s">
        <v>347</v>
      </c>
      <c r="BR143" s="124"/>
      <c r="BS143" s="140"/>
      <c r="BT143" s="140"/>
      <c r="BU143" s="140"/>
      <c r="BV143" s="140"/>
      <c r="BW143" s="140"/>
      <c r="BX143" s="127"/>
      <c r="BY143" s="127"/>
      <c r="BZ143" s="140"/>
      <c r="CA143" s="140"/>
      <c r="CB143" s="140"/>
      <c r="CC143" s="140"/>
      <c r="CD143" s="140"/>
      <c r="CE143" s="140"/>
      <c r="CF143" s="126"/>
      <c r="CH143" s="126"/>
      <c r="CI143" s="140"/>
      <c r="CJ143" s="140"/>
      <c r="CK143" s="140"/>
      <c r="CL143" s="140"/>
      <c r="CM143" s="140"/>
      <c r="CN143" s="140"/>
      <c r="CO143" s="140"/>
      <c r="CP143" s="140"/>
      <c r="CQ143" s="140"/>
      <c r="CR143" s="140"/>
      <c r="CS143" s="142"/>
    </row>
    <row r="144" spans="1:98" s="143" customFormat="1" ht="12.75" hidden="1" customHeight="1">
      <c r="A144" s="126" t="s">
        <v>174</v>
      </c>
      <c r="B144" s="124"/>
      <c r="C144" s="126" t="s">
        <v>45</v>
      </c>
      <c r="D144" s="121"/>
      <c r="E144" s="140"/>
      <c r="F144" s="140"/>
      <c r="G144" s="140"/>
      <c r="H144" s="140"/>
      <c r="I144" s="53">
        <f t="shared" si="41"/>
        <v>0</v>
      </c>
      <c r="J144" s="140"/>
      <c r="K144" s="140">
        <f t="shared" si="43"/>
        <v>0</v>
      </c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>
        <f t="shared" si="44"/>
        <v>0</v>
      </c>
      <c r="X144" s="140"/>
      <c r="Y144" s="126" t="s">
        <v>174</v>
      </c>
      <c r="AA144" s="126" t="s">
        <v>45</v>
      </c>
      <c r="AB144" s="126"/>
      <c r="AC144" s="140"/>
      <c r="AD144" s="140"/>
      <c r="AE144" s="140"/>
      <c r="AF144" s="140"/>
      <c r="AG144" s="140"/>
      <c r="AH144" s="140"/>
      <c r="AI144" s="127">
        <f t="shared" si="45"/>
        <v>0</v>
      </c>
      <c r="AJ144" s="127"/>
      <c r="AK144" s="140"/>
      <c r="AL144" s="127"/>
      <c r="AM144" s="53">
        <v>0</v>
      </c>
      <c r="AN144" s="53"/>
      <c r="AO144" s="53">
        <v>0</v>
      </c>
      <c r="AP144" s="140"/>
      <c r="AQ144" s="140">
        <v>0</v>
      </c>
      <c r="AR144" s="140"/>
      <c r="AS144" s="45">
        <f t="shared" si="40"/>
        <v>0</v>
      </c>
      <c r="AT144" s="127"/>
      <c r="AU144" s="140">
        <v>0</v>
      </c>
      <c r="AV144" s="140"/>
      <c r="AW144" s="140">
        <v>0</v>
      </c>
      <c r="AX144" s="140"/>
      <c r="AY144" s="140">
        <f t="shared" si="46"/>
        <v>0</v>
      </c>
      <c r="AZ144" s="140"/>
      <c r="BA144" s="126" t="s">
        <v>174</v>
      </c>
      <c r="BC144" s="126" t="s">
        <v>45</v>
      </c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>
        <f t="shared" si="47"/>
        <v>0</v>
      </c>
      <c r="BN144" s="142" t="s">
        <v>347</v>
      </c>
      <c r="BO144" s="143" t="s">
        <v>406</v>
      </c>
      <c r="BR144" s="124"/>
      <c r="BS144" s="140"/>
      <c r="BT144" s="140"/>
      <c r="BU144" s="140"/>
      <c r="BV144" s="140"/>
      <c r="BW144" s="140"/>
      <c r="BX144" s="127"/>
      <c r="BY144" s="127"/>
      <c r="BZ144" s="140"/>
      <c r="CA144" s="140"/>
      <c r="CB144" s="140"/>
      <c r="CC144" s="140"/>
      <c r="CD144" s="140"/>
      <c r="CE144" s="140"/>
      <c r="CF144" s="126"/>
      <c r="CH144" s="126"/>
      <c r="CI144" s="140"/>
      <c r="CJ144" s="140"/>
      <c r="CK144" s="140"/>
      <c r="CL144" s="140"/>
      <c r="CM144" s="140"/>
      <c r="CN144" s="140"/>
      <c r="CO144" s="140"/>
      <c r="CP144" s="140"/>
      <c r="CQ144" s="140"/>
      <c r="CR144" s="140"/>
      <c r="CS144" s="142"/>
    </row>
    <row r="145" spans="1:97" s="55" customFormat="1" ht="12.75" customHeight="1">
      <c r="A145" s="35" t="s">
        <v>175</v>
      </c>
      <c r="B145" s="51"/>
      <c r="C145" s="35" t="s">
        <v>176</v>
      </c>
      <c r="D145" s="44"/>
      <c r="E145" s="53">
        <v>3929962</v>
      </c>
      <c r="F145" s="53"/>
      <c r="G145" s="53">
        <v>12978462</v>
      </c>
      <c r="H145" s="53"/>
      <c r="I145" s="53">
        <f t="shared" si="41"/>
        <v>16908424</v>
      </c>
      <c r="J145" s="53"/>
      <c r="K145" s="53">
        <f t="shared" si="43"/>
        <v>597600</v>
      </c>
      <c r="L145" s="53"/>
      <c r="M145" s="53">
        <v>5310488</v>
      </c>
      <c r="N145" s="53"/>
      <c r="O145" s="53">
        <v>5908088</v>
      </c>
      <c r="P145" s="53"/>
      <c r="Q145" s="53">
        <v>7460142</v>
      </c>
      <c r="R145" s="53"/>
      <c r="S145" s="53">
        <v>0</v>
      </c>
      <c r="T145" s="53"/>
      <c r="U145" s="53">
        <v>3605747</v>
      </c>
      <c r="V145" s="53"/>
      <c r="W145" s="53">
        <f t="shared" si="44"/>
        <v>11065889</v>
      </c>
      <c r="X145" s="53"/>
      <c r="Y145" s="35" t="s">
        <v>175</v>
      </c>
      <c r="AA145" s="35" t="s">
        <v>176</v>
      </c>
      <c r="AB145" s="35"/>
      <c r="AC145" s="53">
        <v>2515147</v>
      </c>
      <c r="AD145" s="53"/>
      <c r="AE145" s="53">
        <f>2627130-540817</f>
        <v>2086313</v>
      </c>
      <c r="AF145" s="53"/>
      <c r="AG145" s="53">
        <v>540817</v>
      </c>
      <c r="AH145" s="53"/>
      <c r="AI145" s="45">
        <f t="shared" si="45"/>
        <v>-111983</v>
      </c>
      <c r="AJ145" s="45"/>
      <c r="AK145" s="53">
        <v>-226143</v>
      </c>
      <c r="AL145" s="45"/>
      <c r="AM145" s="53">
        <v>0</v>
      </c>
      <c r="AN145" s="53"/>
      <c r="AO145" s="53">
        <v>0</v>
      </c>
      <c r="AP145" s="53"/>
      <c r="AQ145" s="53">
        <v>0</v>
      </c>
      <c r="AR145" s="53"/>
      <c r="AS145" s="45">
        <f t="shared" si="40"/>
        <v>-338126</v>
      </c>
      <c r="AT145" s="45"/>
      <c r="AU145" s="53">
        <v>0</v>
      </c>
      <c r="AV145" s="53"/>
      <c r="AW145" s="53">
        <v>0</v>
      </c>
      <c r="AX145" s="53"/>
      <c r="AY145" s="53">
        <f t="shared" si="46"/>
        <v>3332362</v>
      </c>
      <c r="AZ145" s="53"/>
      <c r="BA145" s="35" t="s">
        <v>175</v>
      </c>
      <c r="BC145" s="35" t="s">
        <v>176</v>
      </c>
      <c r="BD145" s="53"/>
      <c r="BE145" s="53">
        <v>0</v>
      </c>
      <c r="BF145" s="53"/>
      <c r="BG145" s="53">
        <v>0</v>
      </c>
      <c r="BH145" s="53"/>
      <c r="BI145" s="53">
        <v>0</v>
      </c>
      <c r="BJ145" s="53"/>
      <c r="BK145" s="53">
        <v>0</v>
      </c>
      <c r="BL145" s="53"/>
      <c r="BM145" s="53">
        <f t="shared" si="47"/>
        <v>0</v>
      </c>
      <c r="BN145" s="54" t="s">
        <v>347</v>
      </c>
      <c r="BO145" s="55" t="s">
        <v>406</v>
      </c>
      <c r="BR145" s="51"/>
      <c r="BS145" s="53"/>
      <c r="BT145" s="53"/>
      <c r="BU145" s="53"/>
      <c r="BV145" s="53"/>
      <c r="BW145" s="53"/>
      <c r="BX145" s="45"/>
      <c r="BY145" s="45"/>
      <c r="BZ145" s="53"/>
      <c r="CA145" s="53"/>
      <c r="CB145" s="53"/>
      <c r="CC145" s="53"/>
      <c r="CD145" s="53"/>
      <c r="CE145" s="53"/>
      <c r="CF145" s="35"/>
      <c r="CH145" s="35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4"/>
    </row>
    <row r="146" spans="1:97" s="143" customFormat="1" ht="12.75" hidden="1" customHeight="1">
      <c r="A146" s="126" t="s">
        <v>177</v>
      </c>
      <c r="B146" s="124"/>
      <c r="C146" s="126" t="s">
        <v>13</v>
      </c>
      <c r="D146" s="121"/>
      <c r="E146" s="140"/>
      <c r="F146" s="140"/>
      <c r="G146" s="140"/>
      <c r="H146" s="140"/>
      <c r="I146" s="53">
        <f t="shared" si="41"/>
        <v>0</v>
      </c>
      <c r="J146" s="140"/>
      <c r="K146" s="140">
        <f t="shared" si="43"/>
        <v>0</v>
      </c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>
        <f t="shared" si="44"/>
        <v>0</v>
      </c>
      <c r="X146" s="140"/>
      <c r="Y146" s="126" t="s">
        <v>177</v>
      </c>
      <c r="AA146" s="126" t="s">
        <v>13</v>
      </c>
      <c r="AB146" s="126"/>
      <c r="AC146" s="140"/>
      <c r="AD146" s="140"/>
      <c r="AE146" s="140"/>
      <c r="AF146" s="140"/>
      <c r="AG146" s="140"/>
      <c r="AH146" s="140"/>
      <c r="AI146" s="127">
        <f t="shared" si="45"/>
        <v>0</v>
      </c>
      <c r="AJ146" s="127"/>
      <c r="AK146" s="140"/>
      <c r="AL146" s="127"/>
      <c r="AM146" s="53">
        <v>0</v>
      </c>
      <c r="AN146" s="53"/>
      <c r="AO146" s="53">
        <v>0</v>
      </c>
      <c r="AP146" s="140"/>
      <c r="AQ146" s="140">
        <v>0</v>
      </c>
      <c r="AR146" s="140"/>
      <c r="AS146" s="45">
        <f t="shared" si="40"/>
        <v>0</v>
      </c>
      <c r="AT146" s="127"/>
      <c r="AU146" s="140">
        <v>0</v>
      </c>
      <c r="AV146" s="140"/>
      <c r="AW146" s="140">
        <v>0</v>
      </c>
      <c r="AX146" s="140"/>
      <c r="AY146" s="140">
        <f t="shared" si="46"/>
        <v>0</v>
      </c>
      <c r="AZ146" s="140"/>
      <c r="BA146" s="126" t="s">
        <v>177</v>
      </c>
      <c r="BC146" s="126" t="s">
        <v>13</v>
      </c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0">
        <f t="shared" si="47"/>
        <v>0</v>
      </c>
      <c r="BN146" s="142" t="s">
        <v>347</v>
      </c>
      <c r="BR146" s="124"/>
      <c r="BS146" s="140"/>
      <c r="BT146" s="140"/>
      <c r="BU146" s="140"/>
      <c r="BV146" s="140"/>
      <c r="BW146" s="140"/>
      <c r="BX146" s="127"/>
      <c r="BY146" s="127"/>
      <c r="BZ146" s="140"/>
      <c r="CA146" s="140"/>
      <c r="CB146" s="140"/>
      <c r="CC146" s="140"/>
      <c r="CD146" s="140"/>
      <c r="CE146" s="140"/>
      <c r="CF146" s="126"/>
      <c r="CH146" s="126"/>
      <c r="CI146" s="140"/>
      <c r="CJ146" s="140"/>
      <c r="CK146" s="140"/>
      <c r="CL146" s="140"/>
      <c r="CM146" s="140"/>
      <c r="CN146" s="140"/>
      <c r="CO146" s="140"/>
      <c r="CP146" s="140"/>
      <c r="CQ146" s="140"/>
      <c r="CR146" s="140"/>
      <c r="CS146" s="142"/>
    </row>
    <row r="147" spans="1:97" s="55" customFormat="1" ht="12.75" customHeight="1">
      <c r="A147" s="35" t="s">
        <v>178</v>
      </c>
      <c r="B147" s="51"/>
      <c r="C147" s="35" t="s">
        <v>179</v>
      </c>
      <c r="D147" s="44"/>
      <c r="E147" s="53">
        <v>6493338</v>
      </c>
      <c r="F147" s="53"/>
      <c r="G147" s="53">
        <v>10039387</v>
      </c>
      <c r="H147" s="53"/>
      <c r="I147" s="53">
        <f t="shared" si="41"/>
        <v>16532725</v>
      </c>
      <c r="J147" s="53"/>
      <c r="K147" s="53">
        <f t="shared" si="43"/>
        <v>3346589</v>
      </c>
      <c r="L147" s="53"/>
      <c r="M147" s="53">
        <v>5910919</v>
      </c>
      <c r="N147" s="53"/>
      <c r="O147" s="53">
        <v>9257508</v>
      </c>
      <c r="P147" s="53"/>
      <c r="Q147" s="53">
        <v>2000129</v>
      </c>
      <c r="R147" s="53"/>
      <c r="S147" s="53">
        <v>0</v>
      </c>
      <c r="T147" s="53"/>
      <c r="U147" s="53">
        <v>1818118</v>
      </c>
      <c r="V147" s="53"/>
      <c r="W147" s="53">
        <f t="shared" si="44"/>
        <v>3818247</v>
      </c>
      <c r="X147" s="53"/>
      <c r="Y147" s="35" t="s">
        <v>178</v>
      </c>
      <c r="AA147" s="35" t="s">
        <v>179</v>
      </c>
      <c r="AB147" s="35"/>
      <c r="AC147" s="53">
        <v>3427831</v>
      </c>
      <c r="AD147" s="53"/>
      <c r="AE147" s="53">
        <f>2320090-390721</f>
        <v>1929369</v>
      </c>
      <c r="AF147" s="53"/>
      <c r="AG147" s="53">
        <v>390721</v>
      </c>
      <c r="AH147" s="53"/>
      <c r="AI147" s="45">
        <f t="shared" si="45"/>
        <v>1107741</v>
      </c>
      <c r="AJ147" s="45"/>
      <c r="AK147" s="53">
        <v>-166604</v>
      </c>
      <c r="AL147" s="45"/>
      <c r="AM147" s="53">
        <v>0</v>
      </c>
      <c r="AN147" s="53"/>
      <c r="AO147" s="53">
        <v>-2260946</v>
      </c>
      <c r="AP147" s="53"/>
      <c r="AQ147" s="53">
        <v>311544</v>
      </c>
      <c r="AR147" s="53"/>
      <c r="AS147" s="45">
        <f t="shared" si="40"/>
        <v>3513627</v>
      </c>
      <c r="AT147" s="45"/>
      <c r="AU147" s="53">
        <v>0</v>
      </c>
      <c r="AV147" s="53"/>
      <c r="AW147" s="53">
        <v>0</v>
      </c>
      <c r="AX147" s="53"/>
      <c r="AY147" s="53">
        <f t="shared" si="46"/>
        <v>3146749</v>
      </c>
      <c r="AZ147" s="53"/>
      <c r="BA147" s="35" t="s">
        <v>178</v>
      </c>
      <c r="BC147" s="35" t="s">
        <v>179</v>
      </c>
      <c r="BD147" s="53"/>
      <c r="BE147" s="53">
        <v>0</v>
      </c>
      <c r="BF147" s="53"/>
      <c r="BG147" s="53">
        <v>2120000</v>
      </c>
      <c r="BH147" s="53"/>
      <c r="BI147" s="53">
        <f>540530+587200</f>
        <v>1127730</v>
      </c>
      <c r="BJ147" s="53"/>
      <c r="BK147" s="53">
        <v>0</v>
      </c>
      <c r="BL147" s="53"/>
      <c r="BM147" s="53">
        <f t="shared" si="47"/>
        <v>3247730</v>
      </c>
      <c r="BN147" s="54" t="s">
        <v>347</v>
      </c>
      <c r="BR147" s="51"/>
      <c r="BS147" s="53"/>
      <c r="BT147" s="53"/>
      <c r="BU147" s="53"/>
      <c r="BV147" s="53"/>
      <c r="BW147" s="53"/>
      <c r="BX147" s="45"/>
      <c r="BY147" s="45"/>
      <c r="BZ147" s="53"/>
      <c r="CA147" s="53"/>
      <c r="CB147" s="53"/>
      <c r="CC147" s="53"/>
      <c r="CD147" s="53"/>
      <c r="CE147" s="53"/>
      <c r="CF147" s="35"/>
      <c r="CH147" s="35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4"/>
    </row>
    <row r="148" spans="1:97" s="143" customFormat="1" ht="12.75" hidden="1" customHeight="1">
      <c r="A148" s="126" t="s">
        <v>180</v>
      </c>
      <c r="B148" s="124"/>
      <c r="C148" s="126" t="s">
        <v>20</v>
      </c>
      <c r="D148" s="121"/>
      <c r="E148" s="140"/>
      <c r="F148" s="140"/>
      <c r="G148" s="140"/>
      <c r="H148" s="140"/>
      <c r="I148" s="53">
        <f t="shared" si="41"/>
        <v>0</v>
      </c>
      <c r="J148" s="140"/>
      <c r="K148" s="140">
        <f t="shared" si="43"/>
        <v>0</v>
      </c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>
        <f t="shared" si="44"/>
        <v>0</v>
      </c>
      <c r="X148" s="140"/>
      <c r="Y148" s="126" t="s">
        <v>180</v>
      </c>
      <c r="AA148" s="126" t="s">
        <v>20</v>
      </c>
      <c r="AB148" s="126"/>
      <c r="AC148" s="140"/>
      <c r="AD148" s="140"/>
      <c r="AE148" s="140"/>
      <c r="AF148" s="140"/>
      <c r="AG148" s="140"/>
      <c r="AH148" s="140"/>
      <c r="AI148" s="127">
        <f t="shared" si="45"/>
        <v>0</v>
      </c>
      <c r="AJ148" s="127"/>
      <c r="AK148" s="140"/>
      <c r="AL148" s="127"/>
      <c r="AM148" s="53">
        <v>0</v>
      </c>
      <c r="AN148" s="53"/>
      <c r="AO148" s="53">
        <v>0</v>
      </c>
      <c r="AP148" s="140"/>
      <c r="AQ148" s="140">
        <v>0</v>
      </c>
      <c r="AR148" s="140"/>
      <c r="AS148" s="45">
        <f t="shared" si="40"/>
        <v>0</v>
      </c>
      <c r="AT148" s="127"/>
      <c r="AU148" s="140">
        <v>0</v>
      </c>
      <c r="AV148" s="140"/>
      <c r="AW148" s="140">
        <v>0</v>
      </c>
      <c r="AX148" s="140"/>
      <c r="AY148" s="140">
        <f t="shared" si="46"/>
        <v>0</v>
      </c>
      <c r="AZ148" s="140"/>
      <c r="BA148" s="126" t="s">
        <v>180</v>
      </c>
      <c r="BC148" s="126" t="s">
        <v>20</v>
      </c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>
        <f t="shared" si="47"/>
        <v>0</v>
      </c>
      <c r="BN148" s="142" t="s">
        <v>347</v>
      </c>
      <c r="BR148" s="124"/>
      <c r="BS148" s="140"/>
      <c r="BT148" s="140"/>
      <c r="BU148" s="140"/>
      <c r="BV148" s="140"/>
      <c r="BW148" s="140"/>
      <c r="BX148" s="127"/>
      <c r="BY148" s="127"/>
      <c r="BZ148" s="140"/>
      <c r="CA148" s="140"/>
      <c r="CB148" s="140"/>
      <c r="CC148" s="140"/>
      <c r="CD148" s="140"/>
      <c r="CE148" s="140"/>
      <c r="CF148" s="126"/>
      <c r="CH148" s="126"/>
      <c r="CI148" s="140"/>
      <c r="CJ148" s="140"/>
      <c r="CK148" s="140"/>
      <c r="CL148" s="140"/>
      <c r="CM148" s="140"/>
      <c r="CN148" s="140"/>
      <c r="CO148" s="140"/>
      <c r="CP148" s="140"/>
      <c r="CQ148" s="140"/>
      <c r="CR148" s="140"/>
      <c r="CS148" s="142"/>
    </row>
    <row r="149" spans="1:97" s="55" customFormat="1" ht="12.75" customHeight="1">
      <c r="A149" s="35" t="s">
        <v>182</v>
      </c>
      <c r="C149" s="35" t="s">
        <v>183</v>
      </c>
      <c r="D149" s="44"/>
      <c r="E149" s="53">
        <f>622732+121724+5248</f>
        <v>749704</v>
      </c>
      <c r="F149" s="53"/>
      <c r="G149" s="53">
        <f>295879+1277895</f>
        <v>1573774</v>
      </c>
      <c r="H149" s="53"/>
      <c r="I149" s="53">
        <f t="shared" si="41"/>
        <v>2323478</v>
      </c>
      <c r="J149" s="53"/>
      <c r="K149" s="53">
        <f t="shared" si="43"/>
        <v>186894</v>
      </c>
      <c r="L149" s="53"/>
      <c r="M149" s="53">
        <f>1120015+29604</f>
        <v>1149619</v>
      </c>
      <c r="N149" s="53"/>
      <c r="O149" s="53">
        <v>1336513</v>
      </c>
      <c r="P149" s="53"/>
      <c r="Q149" s="53">
        <v>301478</v>
      </c>
      <c r="R149" s="53"/>
      <c r="S149" s="53">
        <v>0</v>
      </c>
      <c r="T149" s="53"/>
      <c r="U149" s="53">
        <v>685487</v>
      </c>
      <c r="V149" s="53"/>
      <c r="W149" s="53">
        <f t="shared" si="44"/>
        <v>986965</v>
      </c>
      <c r="X149" s="53"/>
      <c r="Y149" s="35" t="s">
        <v>182</v>
      </c>
      <c r="AA149" s="35" t="s">
        <v>183</v>
      </c>
      <c r="AB149" s="35"/>
      <c r="AC149" s="53">
        <v>824678</v>
      </c>
      <c r="AD149" s="53"/>
      <c r="AE149" s="53">
        <f>1024815-476236</f>
        <v>548579</v>
      </c>
      <c r="AF149" s="53"/>
      <c r="AG149" s="53">
        <v>476236</v>
      </c>
      <c r="AH149" s="53"/>
      <c r="AI149" s="45">
        <f t="shared" si="45"/>
        <v>-200137</v>
      </c>
      <c r="AJ149" s="45"/>
      <c r="AK149" s="53">
        <v>-38032</v>
      </c>
      <c r="AL149" s="45"/>
      <c r="AM149" s="53">
        <v>979</v>
      </c>
      <c r="AN149" s="53"/>
      <c r="AO149" s="53">
        <v>0</v>
      </c>
      <c r="AP149" s="53"/>
      <c r="AQ149" s="53">
        <v>0</v>
      </c>
      <c r="AR149" s="53"/>
      <c r="AS149" s="45">
        <f t="shared" si="40"/>
        <v>-237190</v>
      </c>
      <c r="AT149" s="45"/>
      <c r="AU149" s="53">
        <v>0</v>
      </c>
      <c r="AV149" s="53"/>
      <c r="AW149" s="53">
        <v>0</v>
      </c>
      <c r="AX149" s="53"/>
      <c r="AY149" s="53">
        <f t="shared" si="46"/>
        <v>562810</v>
      </c>
      <c r="AZ149" s="53"/>
      <c r="BA149" s="35" t="s">
        <v>182</v>
      </c>
      <c r="BC149" s="35" t="s">
        <v>183</v>
      </c>
      <c r="BD149" s="53"/>
      <c r="BE149" s="53">
        <v>0</v>
      </c>
      <c r="BF149" s="53"/>
      <c r="BG149" s="53">
        <v>0</v>
      </c>
      <c r="BH149" s="53"/>
      <c r="BI149" s="53">
        <v>1272296</v>
      </c>
      <c r="BJ149" s="53"/>
      <c r="BK149" s="53">
        <v>0</v>
      </c>
      <c r="BL149" s="53"/>
      <c r="BM149" s="53">
        <f t="shared" si="47"/>
        <v>1272296</v>
      </c>
      <c r="BN149" s="54" t="s">
        <v>347</v>
      </c>
      <c r="BR149" s="51"/>
      <c r="BS149" s="53"/>
      <c r="BT149" s="53"/>
      <c r="BU149" s="53"/>
      <c r="BV149" s="53"/>
      <c r="BW149" s="53"/>
      <c r="BX149" s="45"/>
      <c r="BY149" s="45"/>
      <c r="BZ149" s="53"/>
      <c r="CA149" s="53"/>
      <c r="CB149" s="53"/>
      <c r="CC149" s="53"/>
      <c r="CD149" s="53"/>
      <c r="CE149" s="53"/>
      <c r="CF149" s="35"/>
      <c r="CH149" s="35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4"/>
    </row>
    <row r="150" spans="1:97" s="55" customFormat="1" ht="12.75" customHeight="1">
      <c r="A150" s="35" t="s">
        <v>184</v>
      </c>
      <c r="B150" s="51"/>
      <c r="C150" s="35" t="s">
        <v>89</v>
      </c>
      <c r="D150" s="44"/>
      <c r="E150" s="53">
        <v>752132</v>
      </c>
      <c r="F150" s="53"/>
      <c r="G150" s="53">
        <v>12255921</v>
      </c>
      <c r="H150" s="53"/>
      <c r="I150" s="53">
        <f t="shared" si="41"/>
        <v>13008053</v>
      </c>
      <c r="J150" s="53"/>
      <c r="K150" s="53">
        <f t="shared" si="43"/>
        <v>740146</v>
      </c>
      <c r="L150" s="53"/>
      <c r="M150" s="53">
        <v>8282509</v>
      </c>
      <c r="N150" s="53"/>
      <c r="O150" s="53">
        <v>9022655</v>
      </c>
      <c r="P150" s="53"/>
      <c r="Q150" s="53">
        <v>4631412</v>
      </c>
      <c r="R150" s="53"/>
      <c r="S150" s="53">
        <v>0</v>
      </c>
      <c r="T150" s="53"/>
      <c r="U150" s="53">
        <v>-646014</v>
      </c>
      <c r="V150" s="53"/>
      <c r="W150" s="53">
        <f t="shared" si="44"/>
        <v>3985398</v>
      </c>
      <c r="X150" s="53"/>
      <c r="Y150" s="35" t="s">
        <v>184</v>
      </c>
      <c r="AA150" s="35" t="s">
        <v>89</v>
      </c>
      <c r="AB150" s="35"/>
      <c r="AC150" s="53">
        <v>1855153</v>
      </c>
      <c r="AD150" s="53"/>
      <c r="AE150" s="53">
        <f>1684610-477575</f>
        <v>1207035</v>
      </c>
      <c r="AF150" s="53"/>
      <c r="AG150" s="53">
        <v>477575</v>
      </c>
      <c r="AH150" s="53"/>
      <c r="AI150" s="45">
        <f t="shared" si="45"/>
        <v>170543</v>
      </c>
      <c r="AJ150" s="45"/>
      <c r="AK150" s="53">
        <v>-36280</v>
      </c>
      <c r="AL150" s="45"/>
      <c r="AM150" s="53">
        <v>0</v>
      </c>
      <c r="AN150" s="53"/>
      <c r="AO150" s="53">
        <v>0</v>
      </c>
      <c r="AP150" s="53"/>
      <c r="AQ150" s="53">
        <v>155656</v>
      </c>
      <c r="AR150" s="53"/>
      <c r="AS150" s="45">
        <f t="shared" si="40"/>
        <v>289919</v>
      </c>
      <c r="AT150" s="45"/>
      <c r="AU150" s="53">
        <v>0</v>
      </c>
      <c r="AV150" s="53"/>
      <c r="AW150" s="53">
        <v>0</v>
      </c>
      <c r="AX150" s="53"/>
      <c r="AY150" s="53">
        <f t="shared" si="46"/>
        <v>11986</v>
      </c>
      <c r="AZ150" s="53"/>
      <c r="BA150" s="35" t="s">
        <v>184</v>
      </c>
      <c r="BC150" s="35" t="s">
        <v>89</v>
      </c>
      <c r="BD150" s="53"/>
      <c r="BE150" s="53">
        <v>0</v>
      </c>
      <c r="BF150" s="53"/>
      <c r="BG150" s="53">
        <v>0</v>
      </c>
      <c r="BH150" s="53"/>
      <c r="BI150" s="53">
        <f>435591+196343</f>
        <v>631934</v>
      </c>
      <c r="BJ150" s="53"/>
      <c r="BK150" s="53">
        <v>0</v>
      </c>
      <c r="BL150" s="53"/>
      <c r="BM150" s="53">
        <f t="shared" si="47"/>
        <v>631934</v>
      </c>
      <c r="BN150" s="54" t="s">
        <v>347</v>
      </c>
      <c r="BR150" s="51"/>
      <c r="BS150" s="53"/>
      <c r="BT150" s="53"/>
      <c r="BU150" s="53"/>
      <c r="BV150" s="53"/>
      <c r="BW150" s="53"/>
      <c r="BX150" s="45"/>
      <c r="BY150" s="45"/>
      <c r="BZ150" s="53"/>
      <c r="CA150" s="53"/>
      <c r="CB150" s="53"/>
      <c r="CC150" s="53"/>
      <c r="CD150" s="53"/>
      <c r="CE150" s="53"/>
      <c r="CF150" s="35"/>
      <c r="CH150" s="35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4"/>
    </row>
    <row r="151" spans="1:97" s="55" customFormat="1" ht="12.75" customHeight="1">
      <c r="A151" s="35" t="s">
        <v>181</v>
      </c>
      <c r="B151" s="51"/>
      <c r="C151" s="35" t="s">
        <v>125</v>
      </c>
      <c r="D151" s="44"/>
      <c r="E151" s="53">
        <v>4526618</v>
      </c>
      <c r="F151" s="53"/>
      <c r="G151" s="53">
        <v>15161643</v>
      </c>
      <c r="H151" s="53"/>
      <c r="I151" s="53">
        <f t="shared" si="41"/>
        <v>19688261</v>
      </c>
      <c r="J151" s="53"/>
      <c r="K151" s="53">
        <f t="shared" si="43"/>
        <v>1318501</v>
      </c>
      <c r="L151" s="53"/>
      <c r="M151" s="53">
        <v>10887467</v>
      </c>
      <c r="N151" s="53"/>
      <c r="O151" s="53">
        <v>12205968</v>
      </c>
      <c r="P151" s="53"/>
      <c r="Q151" s="53">
        <v>3561117</v>
      </c>
      <c r="R151" s="53"/>
      <c r="S151" s="53">
        <v>0</v>
      </c>
      <c r="T151" s="53"/>
      <c r="U151" s="53">
        <v>3921176</v>
      </c>
      <c r="V151" s="53"/>
      <c r="W151" s="53">
        <f t="shared" ref="W151:W183" si="48">SUM(Q151:U151)</f>
        <v>7482293</v>
      </c>
      <c r="X151" s="53"/>
      <c r="Y151" s="35" t="s">
        <v>181</v>
      </c>
      <c r="AA151" s="35" t="s">
        <v>125</v>
      </c>
      <c r="AB151" s="35"/>
      <c r="AC151" s="53">
        <v>5880392</v>
      </c>
      <c r="AD151" s="53"/>
      <c r="AE151" s="53">
        <f>4863627-1597782</f>
        <v>3265845</v>
      </c>
      <c r="AF151" s="53"/>
      <c r="AG151" s="53">
        <v>1597782</v>
      </c>
      <c r="AH151" s="53"/>
      <c r="AI151" s="45">
        <f t="shared" si="45"/>
        <v>1016765</v>
      </c>
      <c r="AJ151" s="45"/>
      <c r="AK151" s="53">
        <v>-414626</v>
      </c>
      <c r="AL151" s="45"/>
      <c r="AM151" s="53">
        <v>101862</v>
      </c>
      <c r="AN151" s="53"/>
      <c r="AO151" s="53">
        <v>915243</v>
      </c>
      <c r="AP151" s="53"/>
      <c r="AQ151" s="53">
        <v>0</v>
      </c>
      <c r="AR151" s="53"/>
      <c r="AS151" s="45">
        <f t="shared" si="40"/>
        <v>-211242</v>
      </c>
      <c r="AT151" s="45"/>
      <c r="AU151" s="53">
        <v>0</v>
      </c>
      <c r="AV151" s="53"/>
      <c r="AW151" s="53">
        <v>0</v>
      </c>
      <c r="AX151" s="53"/>
      <c r="AY151" s="53">
        <f t="shared" si="46"/>
        <v>3208117</v>
      </c>
      <c r="AZ151" s="53"/>
      <c r="BA151" s="35" t="s">
        <v>181</v>
      </c>
      <c r="BC151" s="35" t="s">
        <v>125</v>
      </c>
      <c r="BD151" s="53"/>
      <c r="BE151" s="53">
        <v>0</v>
      </c>
      <c r="BF151" s="53"/>
      <c r="BG151" s="53">
        <v>0</v>
      </c>
      <c r="BH151" s="53"/>
      <c r="BI151" s="53">
        <f>11845846-15365-4016849</f>
        <v>7813632</v>
      </c>
      <c r="BJ151" s="53"/>
      <c r="BK151" s="53">
        <v>0</v>
      </c>
      <c r="BL151" s="53"/>
      <c r="BM151" s="53">
        <f t="shared" si="47"/>
        <v>7813632</v>
      </c>
      <c r="BN151" s="54" t="s">
        <v>347</v>
      </c>
      <c r="BR151" s="51"/>
      <c r="BS151" s="53"/>
      <c r="BT151" s="53"/>
      <c r="BU151" s="53"/>
      <c r="BV151" s="53"/>
      <c r="BW151" s="53"/>
      <c r="BX151" s="45"/>
      <c r="BY151" s="45"/>
      <c r="BZ151" s="53"/>
      <c r="CA151" s="53"/>
      <c r="CB151" s="53"/>
      <c r="CC151" s="53"/>
      <c r="CD151" s="53"/>
      <c r="CE151" s="53"/>
      <c r="CF151" s="35"/>
      <c r="CH151" s="35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4"/>
    </row>
    <row r="152" spans="1:97" s="55" customFormat="1" ht="12.75" customHeight="1">
      <c r="A152" s="35" t="s">
        <v>185</v>
      </c>
      <c r="B152" s="51"/>
      <c r="C152" s="35" t="s">
        <v>80</v>
      </c>
      <c r="D152" s="44"/>
      <c r="E152" s="53">
        <v>2834108</v>
      </c>
      <c r="F152" s="53"/>
      <c r="G152" s="53">
        <v>4164721</v>
      </c>
      <c r="H152" s="53"/>
      <c r="I152" s="53">
        <f t="shared" si="41"/>
        <v>6998829</v>
      </c>
      <c r="J152" s="53"/>
      <c r="K152" s="53">
        <f t="shared" si="43"/>
        <v>2782671</v>
      </c>
      <c r="L152" s="53"/>
      <c r="M152" s="53">
        <v>1929624</v>
      </c>
      <c r="N152" s="53"/>
      <c r="O152" s="53">
        <v>4712295</v>
      </c>
      <c r="P152" s="53"/>
      <c r="Q152" s="53">
        <v>0</v>
      </c>
      <c r="R152" s="53"/>
      <c r="S152" s="53">
        <v>0</v>
      </c>
      <c r="T152" s="53"/>
      <c r="U152" s="53">
        <v>2286536</v>
      </c>
      <c r="V152" s="53"/>
      <c r="W152" s="53">
        <f t="shared" si="48"/>
        <v>2286536</v>
      </c>
      <c r="X152" s="53"/>
      <c r="Y152" s="35" t="s">
        <v>185</v>
      </c>
      <c r="AA152" s="35" t="s">
        <v>80</v>
      </c>
      <c r="AB152" s="35"/>
      <c r="AC152" s="53">
        <v>2505843</v>
      </c>
      <c r="AD152" s="53"/>
      <c r="AE152" s="53">
        <f>2577207-238723</f>
        <v>2338484</v>
      </c>
      <c r="AF152" s="53"/>
      <c r="AG152" s="53">
        <v>238723</v>
      </c>
      <c r="AH152" s="53"/>
      <c r="AI152" s="45">
        <f t="shared" si="45"/>
        <v>-71364</v>
      </c>
      <c r="AJ152" s="45"/>
      <c r="AK152" s="53">
        <v>323384</v>
      </c>
      <c r="AL152" s="45"/>
      <c r="AM152" s="53">
        <v>0</v>
      </c>
      <c r="AN152" s="53"/>
      <c r="AO152" s="53">
        <v>0</v>
      </c>
      <c r="AP152" s="53"/>
      <c r="AQ152" s="53">
        <v>0</v>
      </c>
      <c r="AR152" s="53"/>
      <c r="AS152" s="45">
        <f t="shared" si="40"/>
        <v>252020</v>
      </c>
      <c r="AT152" s="45"/>
      <c r="AU152" s="53">
        <v>0</v>
      </c>
      <c r="AV152" s="53"/>
      <c r="AW152" s="53">
        <v>0</v>
      </c>
      <c r="AX152" s="53"/>
      <c r="AY152" s="53">
        <f t="shared" si="46"/>
        <v>51437</v>
      </c>
      <c r="AZ152" s="53"/>
      <c r="BA152" s="35" t="s">
        <v>185</v>
      </c>
      <c r="BC152" s="35" t="s">
        <v>80</v>
      </c>
      <c r="BD152" s="53"/>
      <c r="BE152" s="53">
        <v>0</v>
      </c>
      <c r="BF152" s="53"/>
      <c r="BG152" s="53">
        <v>0</v>
      </c>
      <c r="BH152" s="53"/>
      <c r="BI152" s="53">
        <v>187556</v>
      </c>
      <c r="BJ152" s="53"/>
      <c r="BK152" s="53">
        <v>0</v>
      </c>
      <c r="BL152" s="53"/>
      <c r="BM152" s="53">
        <f t="shared" si="47"/>
        <v>187556</v>
      </c>
      <c r="BN152" s="54" t="s">
        <v>347</v>
      </c>
      <c r="BR152" s="51"/>
      <c r="BS152" s="53"/>
      <c r="BT152" s="53"/>
      <c r="BU152" s="53"/>
      <c r="BV152" s="53"/>
      <c r="BW152" s="53"/>
      <c r="BX152" s="45"/>
      <c r="BY152" s="45"/>
      <c r="BZ152" s="53"/>
      <c r="CA152" s="53"/>
      <c r="CB152" s="53"/>
      <c r="CC152" s="53"/>
      <c r="CD152" s="53"/>
      <c r="CE152" s="53"/>
      <c r="CF152" s="35"/>
      <c r="CH152" s="35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4"/>
    </row>
    <row r="153" spans="1:97" s="55" customFormat="1" ht="12.75" customHeight="1">
      <c r="A153" s="35" t="s">
        <v>186</v>
      </c>
      <c r="B153" s="51"/>
      <c r="C153" s="35" t="s">
        <v>15</v>
      </c>
      <c r="D153" s="44"/>
      <c r="E153" s="53">
        <v>1005014</v>
      </c>
      <c r="F153" s="53"/>
      <c r="G153" s="53">
        <v>6289877</v>
      </c>
      <c r="H153" s="53"/>
      <c r="I153" s="53">
        <f t="shared" si="41"/>
        <v>7294891</v>
      </c>
      <c r="J153" s="53"/>
      <c r="K153" s="53">
        <f t="shared" si="43"/>
        <v>26198</v>
      </c>
      <c r="L153" s="53"/>
      <c r="M153" s="53">
        <v>0</v>
      </c>
      <c r="N153" s="53"/>
      <c r="O153" s="53">
        <v>26198</v>
      </c>
      <c r="P153" s="53"/>
      <c r="Q153" s="53">
        <v>6289877</v>
      </c>
      <c r="R153" s="53"/>
      <c r="S153" s="53">
        <v>0</v>
      </c>
      <c r="T153" s="53"/>
      <c r="U153" s="53">
        <v>978816</v>
      </c>
      <c r="V153" s="53"/>
      <c r="W153" s="53">
        <f t="shared" si="48"/>
        <v>7268693</v>
      </c>
      <c r="X153" s="53"/>
      <c r="Y153" s="35" t="s">
        <v>186</v>
      </c>
      <c r="AA153" s="35" t="s">
        <v>15</v>
      </c>
      <c r="AB153" s="35"/>
      <c r="AC153" s="53">
        <v>2167750</v>
      </c>
      <c r="AD153" s="53"/>
      <c r="AE153" s="53">
        <f>1940190-288591</f>
        <v>1651599</v>
      </c>
      <c r="AF153" s="53"/>
      <c r="AG153" s="53">
        <v>288591</v>
      </c>
      <c r="AH153" s="53"/>
      <c r="AI153" s="45">
        <f t="shared" si="45"/>
        <v>227560</v>
      </c>
      <c r="AJ153" s="45"/>
      <c r="AK153" s="53">
        <v>-4637</v>
      </c>
      <c r="AL153" s="45"/>
      <c r="AM153" s="53">
        <v>0</v>
      </c>
      <c r="AN153" s="53"/>
      <c r="AO153" s="53">
        <v>7423</v>
      </c>
      <c r="AP153" s="53"/>
      <c r="AQ153" s="53">
        <v>0</v>
      </c>
      <c r="AR153" s="53"/>
      <c r="AS153" s="45">
        <f t="shared" si="40"/>
        <v>215500</v>
      </c>
      <c r="AT153" s="45"/>
      <c r="AU153" s="53">
        <v>0</v>
      </c>
      <c r="AV153" s="53"/>
      <c r="AW153" s="53">
        <v>0</v>
      </c>
      <c r="AX153" s="53"/>
      <c r="AY153" s="53">
        <f t="shared" si="46"/>
        <v>978816</v>
      </c>
      <c r="AZ153" s="53"/>
      <c r="BA153" s="35" t="s">
        <v>186</v>
      </c>
      <c r="BC153" s="35" t="s">
        <v>15</v>
      </c>
      <c r="BD153" s="53"/>
      <c r="BE153" s="53">
        <v>0</v>
      </c>
      <c r="BF153" s="53"/>
      <c r="BG153" s="53">
        <v>0</v>
      </c>
      <c r="BH153" s="53"/>
      <c r="BI153" s="53">
        <v>0</v>
      </c>
      <c r="BJ153" s="53"/>
      <c r="BK153" s="53">
        <v>0</v>
      </c>
      <c r="BL153" s="53"/>
      <c r="BM153" s="53">
        <f t="shared" si="47"/>
        <v>0</v>
      </c>
      <c r="BN153" s="54" t="s">
        <v>347</v>
      </c>
      <c r="BR153" s="51"/>
      <c r="BS153" s="53"/>
      <c r="BT153" s="53"/>
      <c r="BU153" s="53"/>
      <c r="BV153" s="53"/>
      <c r="BW153" s="53"/>
      <c r="BX153" s="45"/>
      <c r="BY153" s="45"/>
      <c r="BZ153" s="53"/>
      <c r="CA153" s="53"/>
      <c r="CB153" s="53"/>
      <c r="CC153" s="53"/>
      <c r="CD153" s="53"/>
      <c r="CE153" s="53"/>
      <c r="CF153" s="35"/>
      <c r="CH153" s="35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4"/>
    </row>
    <row r="154" spans="1:97" s="55" customFormat="1" ht="12.75" customHeight="1">
      <c r="A154" s="35" t="s">
        <v>187</v>
      </c>
      <c r="B154" s="51"/>
      <c r="C154" s="35" t="s">
        <v>27</v>
      </c>
      <c r="D154" s="44"/>
      <c r="E154" s="53">
        <v>2371087</v>
      </c>
      <c r="F154" s="53"/>
      <c r="G154" s="53">
        <v>23268821</v>
      </c>
      <c r="H154" s="53"/>
      <c r="I154" s="53">
        <f t="shared" si="41"/>
        <v>25639908</v>
      </c>
      <c r="J154" s="53"/>
      <c r="K154" s="53">
        <f t="shared" si="43"/>
        <v>1835811</v>
      </c>
      <c r="L154" s="53"/>
      <c r="M154" s="53">
        <v>10388416</v>
      </c>
      <c r="N154" s="53"/>
      <c r="O154" s="53">
        <v>12224227</v>
      </c>
      <c r="P154" s="53"/>
      <c r="Q154" s="53">
        <v>11965026</v>
      </c>
      <c r="R154" s="53"/>
      <c r="S154" s="53">
        <v>0</v>
      </c>
      <c r="T154" s="53"/>
      <c r="U154" s="53">
        <v>1450655</v>
      </c>
      <c r="V154" s="53"/>
      <c r="W154" s="53">
        <f t="shared" si="48"/>
        <v>13415681</v>
      </c>
      <c r="X154" s="53"/>
      <c r="Y154" s="35" t="s">
        <v>187</v>
      </c>
      <c r="AA154" s="35" t="s">
        <v>27</v>
      </c>
      <c r="AB154" s="35"/>
      <c r="AC154" s="53">
        <v>6287684</v>
      </c>
      <c r="AD154" s="53"/>
      <c r="AE154" s="53">
        <f>6141506-1448634</f>
        <v>4692872</v>
      </c>
      <c r="AF154" s="53"/>
      <c r="AG154" s="53">
        <v>1448634</v>
      </c>
      <c r="AH154" s="53"/>
      <c r="AI154" s="45">
        <f t="shared" si="45"/>
        <v>146178</v>
      </c>
      <c r="AJ154" s="45"/>
      <c r="AK154" s="53">
        <v>-404512</v>
      </c>
      <c r="AL154" s="45"/>
      <c r="AM154" s="53">
        <v>40886</v>
      </c>
      <c r="AN154" s="53"/>
      <c r="AO154" s="53">
        <v>27180</v>
      </c>
      <c r="AP154" s="53"/>
      <c r="AQ154" s="53">
        <v>0</v>
      </c>
      <c r="AR154" s="53"/>
      <c r="AS154" s="45">
        <f t="shared" si="40"/>
        <v>-244628</v>
      </c>
      <c r="AT154" s="45"/>
      <c r="AU154" s="53">
        <v>0</v>
      </c>
      <c r="AV154" s="53"/>
      <c r="AW154" s="53">
        <v>0</v>
      </c>
      <c r="AX154" s="53"/>
      <c r="AY154" s="53">
        <f t="shared" si="46"/>
        <v>535276</v>
      </c>
      <c r="AZ154" s="53"/>
      <c r="BA154" s="35" t="s">
        <v>187</v>
      </c>
      <c r="BC154" s="35" t="s">
        <v>27</v>
      </c>
      <c r="BD154" s="53"/>
      <c r="BE154" s="53">
        <v>0</v>
      </c>
      <c r="BF154" s="53"/>
      <c r="BG154" s="53">
        <v>0</v>
      </c>
      <c r="BH154" s="53"/>
      <c r="BI154" s="53">
        <f>607269+912335</f>
        <v>1519604</v>
      </c>
      <c r="BJ154" s="53"/>
      <c r="BK154" s="53">
        <f>1621+598789</f>
        <v>600410</v>
      </c>
      <c r="BL154" s="53"/>
      <c r="BM154" s="53">
        <f t="shared" si="47"/>
        <v>2120014</v>
      </c>
      <c r="BN154" s="54" t="s">
        <v>347</v>
      </c>
      <c r="BR154" s="51"/>
      <c r="BS154" s="53"/>
      <c r="BT154" s="53"/>
      <c r="BU154" s="53"/>
      <c r="BV154" s="53"/>
      <c r="BW154" s="53"/>
      <c r="BX154" s="45"/>
      <c r="BY154" s="45"/>
      <c r="BZ154" s="53"/>
      <c r="CA154" s="53"/>
      <c r="CB154" s="53"/>
      <c r="CC154" s="53"/>
      <c r="CD154" s="53"/>
      <c r="CE154" s="53"/>
      <c r="CF154" s="35"/>
      <c r="CH154" s="35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4"/>
    </row>
    <row r="155" spans="1:97" s="55" customFormat="1" ht="11.25" customHeight="1">
      <c r="A155" s="35" t="s">
        <v>189</v>
      </c>
      <c r="B155" s="51"/>
      <c r="C155" s="35" t="s">
        <v>17</v>
      </c>
      <c r="D155" s="44"/>
      <c r="E155" s="53">
        <v>13586767</v>
      </c>
      <c r="F155" s="53"/>
      <c r="G155" s="53">
        <v>56963158</v>
      </c>
      <c r="H155" s="53"/>
      <c r="I155" s="53">
        <f t="shared" si="41"/>
        <v>70549925</v>
      </c>
      <c r="J155" s="53"/>
      <c r="K155" s="53">
        <f t="shared" si="43"/>
        <v>1905559</v>
      </c>
      <c r="L155" s="53"/>
      <c r="M155" s="53">
        <v>18919633</v>
      </c>
      <c r="N155" s="53"/>
      <c r="O155" s="53">
        <v>20825192</v>
      </c>
      <c r="P155" s="53"/>
      <c r="Q155" s="53">
        <v>36070074</v>
      </c>
      <c r="R155" s="53"/>
      <c r="S155" s="53">
        <v>0</v>
      </c>
      <c r="T155" s="53"/>
      <c r="U155" s="53">
        <v>13654659</v>
      </c>
      <c r="V155" s="53"/>
      <c r="W155" s="53">
        <f t="shared" si="48"/>
        <v>49724733</v>
      </c>
      <c r="X155" s="53"/>
      <c r="Y155" s="35" t="s">
        <v>189</v>
      </c>
      <c r="AA155" s="35" t="s">
        <v>17</v>
      </c>
      <c r="AB155" s="35"/>
      <c r="AC155" s="53">
        <v>4769719</v>
      </c>
      <c r="AD155" s="53"/>
      <c r="AE155" s="53">
        <f>6175276-1708411</f>
        <v>4466865</v>
      </c>
      <c r="AF155" s="53"/>
      <c r="AG155" s="53">
        <v>1708411</v>
      </c>
      <c r="AH155" s="53"/>
      <c r="AI155" s="45">
        <f t="shared" si="45"/>
        <v>-1405557</v>
      </c>
      <c r="AJ155" s="45"/>
      <c r="AK155" s="53">
        <v>-544944</v>
      </c>
      <c r="AL155" s="45"/>
      <c r="AM155" s="53">
        <v>0</v>
      </c>
      <c r="AN155" s="53"/>
      <c r="AO155" s="53">
        <v>0</v>
      </c>
      <c r="AP155" s="53"/>
      <c r="AQ155" s="53">
        <v>2392011</v>
      </c>
      <c r="AR155" s="53"/>
      <c r="AS155" s="45">
        <f t="shared" si="40"/>
        <v>441510</v>
      </c>
      <c r="AT155" s="45"/>
      <c r="AU155" s="53">
        <v>0</v>
      </c>
      <c r="AV155" s="53"/>
      <c r="AW155" s="53">
        <v>0</v>
      </c>
      <c r="AX155" s="53"/>
      <c r="AY155" s="53">
        <f t="shared" si="46"/>
        <v>11681208</v>
      </c>
      <c r="AZ155" s="53"/>
      <c r="BA155" s="35" t="s">
        <v>189</v>
      </c>
      <c r="BC155" s="35" t="s">
        <v>17</v>
      </c>
      <c r="BD155" s="53"/>
      <c r="BE155" s="53">
        <f>4520000+1065000+3370000</f>
        <v>8955000</v>
      </c>
      <c r="BF155" s="53"/>
      <c r="BG155" s="53">
        <v>0</v>
      </c>
      <c r="BH155" s="53"/>
      <c r="BI155" s="53">
        <v>0</v>
      </c>
      <c r="BJ155" s="53"/>
      <c r="BK155" s="53">
        <v>0</v>
      </c>
      <c r="BL155" s="53"/>
      <c r="BM155" s="53">
        <f t="shared" si="47"/>
        <v>8955000</v>
      </c>
      <c r="BN155" s="54" t="s">
        <v>347</v>
      </c>
      <c r="BR155" s="51"/>
      <c r="BS155" s="53"/>
      <c r="BT155" s="53"/>
      <c r="BU155" s="53"/>
      <c r="BV155" s="53"/>
      <c r="BW155" s="53"/>
      <c r="BX155" s="45"/>
      <c r="BY155" s="45"/>
      <c r="BZ155" s="53"/>
      <c r="CA155" s="53"/>
      <c r="CB155" s="53"/>
      <c r="CC155" s="53"/>
      <c r="CD155" s="53"/>
      <c r="CE155" s="53"/>
      <c r="CF155" s="35"/>
      <c r="CH155" s="35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4"/>
    </row>
    <row r="156" spans="1:97" s="55" customFormat="1" ht="12.75" hidden="1" customHeight="1">
      <c r="A156" s="35" t="s">
        <v>188</v>
      </c>
      <c r="B156" s="51"/>
      <c r="C156" s="35" t="s">
        <v>27</v>
      </c>
      <c r="D156" s="44"/>
      <c r="E156" s="53"/>
      <c r="F156" s="53"/>
      <c r="G156" s="53"/>
      <c r="H156" s="53"/>
      <c r="I156" s="53">
        <f t="shared" si="41"/>
        <v>0</v>
      </c>
      <c r="J156" s="53"/>
      <c r="K156" s="53">
        <f t="shared" si="43"/>
        <v>0</v>
      </c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>
        <f t="shared" si="48"/>
        <v>0</v>
      </c>
      <c r="X156" s="53"/>
      <c r="Y156" s="35" t="s">
        <v>188</v>
      </c>
      <c r="AA156" s="35" t="s">
        <v>27</v>
      </c>
      <c r="AB156" s="35"/>
      <c r="AC156" s="53"/>
      <c r="AD156" s="53"/>
      <c r="AE156" s="53"/>
      <c r="AF156" s="53"/>
      <c r="AG156" s="53"/>
      <c r="AH156" s="53"/>
      <c r="AI156" s="45">
        <f t="shared" si="45"/>
        <v>0</v>
      </c>
      <c r="AJ156" s="45"/>
      <c r="AK156" s="53"/>
      <c r="AL156" s="45"/>
      <c r="AM156" s="53">
        <v>0</v>
      </c>
      <c r="AN156" s="53"/>
      <c r="AO156" s="53">
        <v>0</v>
      </c>
      <c r="AP156" s="53"/>
      <c r="AQ156" s="53">
        <v>0</v>
      </c>
      <c r="AR156" s="53"/>
      <c r="AS156" s="45">
        <f t="shared" si="40"/>
        <v>0</v>
      </c>
      <c r="AT156" s="45"/>
      <c r="AU156" s="53">
        <v>0</v>
      </c>
      <c r="AV156" s="53"/>
      <c r="AW156" s="53">
        <v>0</v>
      </c>
      <c r="AX156" s="53"/>
      <c r="AY156" s="53">
        <f t="shared" si="46"/>
        <v>0</v>
      </c>
      <c r="AZ156" s="53"/>
      <c r="BA156" s="35" t="s">
        <v>188</v>
      </c>
      <c r="BC156" s="35" t="s">
        <v>27</v>
      </c>
      <c r="BD156" s="53"/>
      <c r="BE156" s="53"/>
      <c r="BF156" s="53"/>
      <c r="BG156" s="53"/>
      <c r="BH156" s="53"/>
      <c r="BI156" s="53"/>
      <c r="BJ156" s="53"/>
      <c r="BK156" s="53"/>
      <c r="BL156" s="53"/>
      <c r="BM156" s="53">
        <f t="shared" si="47"/>
        <v>0</v>
      </c>
      <c r="BN156" s="54" t="s">
        <v>347</v>
      </c>
      <c r="BR156" s="51"/>
      <c r="BS156" s="53"/>
      <c r="BT156" s="53"/>
      <c r="BU156" s="53"/>
      <c r="BV156" s="53"/>
      <c r="BW156" s="53"/>
      <c r="BX156" s="45"/>
      <c r="BY156" s="45"/>
      <c r="BZ156" s="53"/>
      <c r="CA156" s="53"/>
      <c r="CB156" s="53"/>
      <c r="CC156" s="53"/>
      <c r="CD156" s="53"/>
      <c r="CE156" s="53"/>
      <c r="CF156" s="35"/>
      <c r="CH156" s="35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4"/>
    </row>
    <row r="157" spans="1:97" s="143" customFormat="1" ht="12.75" hidden="1" customHeight="1">
      <c r="A157" s="126" t="s">
        <v>190</v>
      </c>
      <c r="B157" s="124"/>
      <c r="C157" s="126" t="s">
        <v>47</v>
      </c>
      <c r="D157" s="121"/>
      <c r="E157" s="140"/>
      <c r="F157" s="140"/>
      <c r="G157" s="140"/>
      <c r="H157" s="140"/>
      <c r="I157" s="53">
        <f t="shared" si="41"/>
        <v>0</v>
      </c>
      <c r="J157" s="140"/>
      <c r="K157" s="140">
        <f t="shared" si="43"/>
        <v>0</v>
      </c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>
        <f t="shared" si="48"/>
        <v>0</v>
      </c>
      <c r="X157" s="140"/>
      <c r="Y157" s="126" t="s">
        <v>190</v>
      </c>
      <c r="AA157" s="126" t="s">
        <v>47</v>
      </c>
      <c r="AB157" s="126"/>
      <c r="AC157" s="140"/>
      <c r="AD157" s="140"/>
      <c r="AE157" s="140"/>
      <c r="AF157" s="140"/>
      <c r="AG157" s="140"/>
      <c r="AH157" s="140"/>
      <c r="AI157" s="127">
        <f t="shared" si="45"/>
        <v>0</v>
      </c>
      <c r="AJ157" s="127"/>
      <c r="AK157" s="140"/>
      <c r="AL157" s="127"/>
      <c r="AM157" s="53">
        <v>0</v>
      </c>
      <c r="AN157" s="53"/>
      <c r="AO157" s="53">
        <v>0</v>
      </c>
      <c r="AP157" s="140"/>
      <c r="AQ157" s="140">
        <v>0</v>
      </c>
      <c r="AR157" s="140"/>
      <c r="AS157" s="45">
        <f t="shared" si="40"/>
        <v>0</v>
      </c>
      <c r="AT157" s="127"/>
      <c r="AU157" s="140">
        <v>0</v>
      </c>
      <c r="AV157" s="140"/>
      <c r="AW157" s="140">
        <v>0</v>
      </c>
      <c r="AX157" s="140"/>
      <c r="AY157" s="140">
        <f t="shared" si="46"/>
        <v>0</v>
      </c>
      <c r="AZ157" s="140"/>
      <c r="BA157" s="126" t="s">
        <v>190</v>
      </c>
      <c r="BC157" s="126" t="s">
        <v>47</v>
      </c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>
        <f t="shared" si="47"/>
        <v>0</v>
      </c>
      <c r="BN157" s="142" t="s">
        <v>347</v>
      </c>
      <c r="BR157" s="124"/>
      <c r="BS157" s="140" t="s">
        <v>450</v>
      </c>
      <c r="BT157" s="140"/>
      <c r="BU157" s="140"/>
      <c r="BV157" s="140"/>
      <c r="BW157" s="140"/>
      <c r="BX157" s="127"/>
      <c r="BY157" s="127"/>
      <c r="BZ157" s="140"/>
      <c r="CA157" s="140"/>
      <c r="CB157" s="140"/>
      <c r="CC157" s="140"/>
      <c r="CD157" s="140"/>
      <c r="CE157" s="140"/>
      <c r="CF157" s="126"/>
      <c r="CH157" s="126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2"/>
    </row>
    <row r="158" spans="1:97" s="143" customFormat="1" ht="12.75" hidden="1" customHeight="1">
      <c r="A158" s="126" t="s">
        <v>191</v>
      </c>
      <c r="B158" s="124"/>
      <c r="C158" s="126" t="s">
        <v>13</v>
      </c>
      <c r="D158" s="121"/>
      <c r="E158" s="140"/>
      <c r="F158" s="140"/>
      <c r="G158" s="140"/>
      <c r="H158" s="140"/>
      <c r="I158" s="53">
        <f t="shared" si="41"/>
        <v>0</v>
      </c>
      <c r="J158" s="140"/>
      <c r="K158" s="140">
        <f t="shared" si="43"/>
        <v>0</v>
      </c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>
        <f t="shared" si="48"/>
        <v>0</v>
      </c>
      <c r="X158" s="140"/>
      <c r="Y158" s="126" t="s">
        <v>191</v>
      </c>
      <c r="AA158" s="126" t="s">
        <v>13</v>
      </c>
      <c r="AB158" s="126"/>
      <c r="AC158" s="140"/>
      <c r="AD158" s="140"/>
      <c r="AE158" s="140"/>
      <c r="AF158" s="140"/>
      <c r="AG158" s="140"/>
      <c r="AH158" s="140"/>
      <c r="AI158" s="127">
        <f t="shared" si="45"/>
        <v>0</v>
      </c>
      <c r="AJ158" s="127"/>
      <c r="AK158" s="140"/>
      <c r="AL158" s="127"/>
      <c r="AM158" s="53">
        <v>0</v>
      </c>
      <c r="AN158" s="53"/>
      <c r="AO158" s="53">
        <v>0</v>
      </c>
      <c r="AP158" s="140"/>
      <c r="AQ158" s="140">
        <v>0</v>
      </c>
      <c r="AR158" s="140"/>
      <c r="AS158" s="45">
        <f t="shared" si="40"/>
        <v>0</v>
      </c>
      <c r="AT158" s="127"/>
      <c r="AU158" s="140">
        <v>0</v>
      </c>
      <c r="AV158" s="140"/>
      <c r="AW158" s="140">
        <v>0</v>
      </c>
      <c r="AX158" s="140"/>
      <c r="AY158" s="140">
        <f t="shared" si="46"/>
        <v>0</v>
      </c>
      <c r="AZ158" s="140"/>
      <c r="BA158" s="126" t="s">
        <v>191</v>
      </c>
      <c r="BC158" s="126" t="s">
        <v>13</v>
      </c>
      <c r="BD158" s="140"/>
      <c r="BE158" s="140"/>
      <c r="BF158" s="140"/>
      <c r="BG158" s="140"/>
      <c r="BH158" s="140"/>
      <c r="BI158" s="140"/>
      <c r="BJ158" s="140"/>
      <c r="BK158" s="140"/>
      <c r="BL158" s="140"/>
      <c r="BM158" s="140">
        <f t="shared" si="47"/>
        <v>0</v>
      </c>
      <c r="BN158" s="142" t="s">
        <v>347</v>
      </c>
      <c r="BO158" s="143" t="s">
        <v>404</v>
      </c>
      <c r="BR158" s="124"/>
      <c r="BS158" s="140"/>
      <c r="BT158" s="140"/>
      <c r="BU158" s="140"/>
      <c r="BV158" s="140"/>
      <c r="BW158" s="140"/>
      <c r="BX158" s="127"/>
      <c r="BY158" s="127"/>
      <c r="BZ158" s="140"/>
      <c r="CA158" s="140"/>
      <c r="CB158" s="140"/>
      <c r="CC158" s="140"/>
      <c r="CD158" s="140"/>
      <c r="CE158" s="140"/>
      <c r="CF158" s="126"/>
      <c r="CH158" s="126"/>
      <c r="CI158" s="140"/>
      <c r="CJ158" s="140"/>
      <c r="CK158" s="140"/>
      <c r="CL158" s="140"/>
      <c r="CM158" s="140"/>
      <c r="CN158" s="140"/>
      <c r="CO158" s="140"/>
      <c r="CP158" s="140"/>
      <c r="CQ158" s="140"/>
      <c r="CR158" s="140"/>
      <c r="CS158" s="142"/>
    </row>
    <row r="159" spans="1:97" s="55" customFormat="1" ht="12.75" customHeight="1">
      <c r="A159" s="35" t="s">
        <v>192</v>
      </c>
      <c r="C159" s="35" t="s">
        <v>38</v>
      </c>
      <c r="D159" s="44"/>
      <c r="E159" s="53">
        <v>1650263</v>
      </c>
      <c r="F159" s="53"/>
      <c r="G159" s="53">
        <v>18107008</v>
      </c>
      <c r="H159" s="53"/>
      <c r="I159" s="53">
        <f t="shared" si="41"/>
        <v>19757271</v>
      </c>
      <c r="J159" s="53"/>
      <c r="K159" s="53">
        <f t="shared" si="43"/>
        <v>784319</v>
      </c>
      <c r="L159" s="53"/>
      <c r="M159" s="53">
        <v>10205920</v>
      </c>
      <c r="N159" s="53"/>
      <c r="O159" s="53">
        <v>10990239</v>
      </c>
      <c r="P159" s="53"/>
      <c r="Q159" s="53">
        <v>7467560</v>
      </c>
      <c r="R159" s="53"/>
      <c r="S159" s="53">
        <v>0</v>
      </c>
      <c r="T159" s="53"/>
      <c r="U159" s="53">
        <v>1299572</v>
      </c>
      <c r="V159" s="53"/>
      <c r="W159" s="53">
        <f t="shared" si="48"/>
        <v>8767132</v>
      </c>
      <c r="X159" s="53"/>
      <c r="Y159" s="35" t="s">
        <v>192</v>
      </c>
      <c r="AA159" s="35" t="s">
        <v>38</v>
      </c>
      <c r="AB159" s="35"/>
      <c r="AC159" s="53">
        <v>2575814</v>
      </c>
      <c r="AD159" s="53"/>
      <c r="AE159" s="53">
        <f>2689777-820334</f>
        <v>1869443</v>
      </c>
      <c r="AF159" s="53"/>
      <c r="AG159" s="53">
        <v>820334</v>
      </c>
      <c r="AH159" s="53"/>
      <c r="AI159" s="45">
        <f t="shared" si="45"/>
        <v>-113963</v>
      </c>
      <c r="AJ159" s="45"/>
      <c r="AK159" s="53">
        <v>-288261</v>
      </c>
      <c r="AL159" s="45"/>
      <c r="AM159" s="53">
        <v>0</v>
      </c>
      <c r="AN159" s="53"/>
      <c r="AO159" s="53">
        <v>0</v>
      </c>
      <c r="AP159" s="53"/>
      <c r="AQ159" s="53">
        <v>0</v>
      </c>
      <c r="AR159" s="53"/>
      <c r="AS159" s="45">
        <f t="shared" si="40"/>
        <v>-402224</v>
      </c>
      <c r="AT159" s="45"/>
      <c r="AU159" s="53">
        <v>0</v>
      </c>
      <c r="AV159" s="53"/>
      <c r="AW159" s="53">
        <v>0</v>
      </c>
      <c r="AX159" s="53"/>
      <c r="AY159" s="53">
        <f t="shared" si="46"/>
        <v>865944</v>
      </c>
      <c r="AZ159" s="53"/>
      <c r="BA159" s="35" t="s">
        <v>192</v>
      </c>
      <c r="BC159" s="35" t="s">
        <v>38</v>
      </c>
      <c r="BD159" s="53"/>
      <c r="BE159" s="53">
        <v>0</v>
      </c>
      <c r="BF159" s="53"/>
      <c r="BG159" s="53">
        <v>0</v>
      </c>
      <c r="BH159" s="53"/>
      <c r="BI159" s="53">
        <f>11330334-324545-640887</f>
        <v>10364902</v>
      </c>
      <c r="BJ159" s="53"/>
      <c r="BK159" s="53">
        <v>0</v>
      </c>
      <c r="BL159" s="53"/>
      <c r="BM159" s="53">
        <f t="shared" si="47"/>
        <v>10364902</v>
      </c>
      <c r="BN159" s="54" t="s">
        <v>347</v>
      </c>
      <c r="BR159" s="51"/>
      <c r="BS159" s="53"/>
      <c r="BT159" s="53"/>
      <c r="BU159" s="53"/>
      <c r="BV159" s="53"/>
      <c r="BW159" s="53"/>
      <c r="BX159" s="45"/>
      <c r="BY159" s="45"/>
      <c r="BZ159" s="53"/>
      <c r="CA159" s="53"/>
      <c r="CB159" s="53"/>
      <c r="CC159" s="53"/>
      <c r="CD159" s="53"/>
      <c r="CE159" s="53"/>
      <c r="CF159" s="35"/>
      <c r="CH159" s="35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4"/>
    </row>
    <row r="160" spans="1:97" s="143" customFormat="1" ht="12.75" hidden="1" customHeight="1">
      <c r="A160" s="126" t="s">
        <v>193</v>
      </c>
      <c r="B160" s="124"/>
      <c r="C160" s="126" t="s">
        <v>45</v>
      </c>
      <c r="D160" s="121"/>
      <c r="E160" s="140"/>
      <c r="F160" s="140"/>
      <c r="G160" s="140"/>
      <c r="H160" s="140"/>
      <c r="I160" s="53">
        <f t="shared" si="41"/>
        <v>0</v>
      </c>
      <c r="J160" s="140"/>
      <c r="K160" s="140">
        <f t="shared" si="43"/>
        <v>0</v>
      </c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>
        <f t="shared" si="48"/>
        <v>0</v>
      </c>
      <c r="X160" s="140"/>
      <c r="Y160" s="126" t="s">
        <v>193</v>
      </c>
      <c r="AA160" s="126" t="s">
        <v>45</v>
      </c>
      <c r="AB160" s="126"/>
      <c r="AC160" s="140"/>
      <c r="AD160" s="140"/>
      <c r="AE160" s="140"/>
      <c r="AF160" s="140"/>
      <c r="AG160" s="140"/>
      <c r="AH160" s="140"/>
      <c r="AI160" s="127">
        <f t="shared" si="45"/>
        <v>0</v>
      </c>
      <c r="AJ160" s="127"/>
      <c r="AK160" s="140"/>
      <c r="AL160" s="127"/>
      <c r="AM160" s="53">
        <v>0</v>
      </c>
      <c r="AN160" s="53"/>
      <c r="AO160" s="53">
        <v>0</v>
      </c>
      <c r="AP160" s="140"/>
      <c r="AQ160" s="140"/>
      <c r="AR160" s="140"/>
      <c r="AS160" s="45">
        <f t="shared" si="40"/>
        <v>0</v>
      </c>
      <c r="AT160" s="127"/>
      <c r="AU160" s="140">
        <v>0</v>
      </c>
      <c r="AV160" s="140"/>
      <c r="AW160" s="140">
        <v>0</v>
      </c>
      <c r="AX160" s="140"/>
      <c r="AY160" s="140">
        <f t="shared" si="46"/>
        <v>0</v>
      </c>
      <c r="AZ160" s="140"/>
      <c r="BA160" s="126" t="s">
        <v>193</v>
      </c>
      <c r="BC160" s="126" t="s">
        <v>45</v>
      </c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>
        <f t="shared" si="47"/>
        <v>0</v>
      </c>
      <c r="BN160" s="142" t="s">
        <v>347</v>
      </c>
      <c r="BR160" s="124"/>
      <c r="BS160" s="140"/>
      <c r="BT160" s="140"/>
      <c r="BU160" s="140"/>
      <c r="BV160" s="127"/>
      <c r="BW160" s="127"/>
      <c r="BX160" s="127"/>
      <c r="BY160" s="127"/>
      <c r="BZ160" s="140"/>
      <c r="CA160" s="140"/>
      <c r="CB160" s="140"/>
      <c r="CC160" s="140"/>
      <c r="CD160" s="140"/>
      <c r="CE160" s="140"/>
      <c r="CF160" s="126"/>
      <c r="CH160" s="126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2"/>
    </row>
    <row r="161" spans="1:98" s="55" customFormat="1" ht="12.75" customHeight="1">
      <c r="A161" s="35" t="s">
        <v>194</v>
      </c>
      <c r="B161" s="51"/>
      <c r="C161" s="35" t="s">
        <v>66</v>
      </c>
      <c r="D161" s="44"/>
      <c r="E161" s="53">
        <v>562525</v>
      </c>
      <c r="F161" s="53"/>
      <c r="G161" s="53">
        <v>1053592</v>
      </c>
      <c r="H161" s="53"/>
      <c r="I161" s="53">
        <f t="shared" si="41"/>
        <v>1616117</v>
      </c>
      <c r="J161" s="53"/>
      <c r="K161" s="53">
        <f t="shared" si="43"/>
        <v>305214</v>
      </c>
      <c r="L161" s="53"/>
      <c r="M161" s="53">
        <v>183712</v>
      </c>
      <c r="N161" s="53"/>
      <c r="O161" s="53">
        <v>488926</v>
      </c>
      <c r="P161" s="53"/>
      <c r="Q161" s="53">
        <v>859651</v>
      </c>
      <c r="R161" s="53"/>
      <c r="S161" s="53">
        <v>0</v>
      </c>
      <c r="T161" s="53"/>
      <c r="U161" s="53">
        <v>267540</v>
      </c>
      <c r="V161" s="53"/>
      <c r="W161" s="53">
        <f t="shared" si="48"/>
        <v>1127191</v>
      </c>
      <c r="X161" s="53"/>
      <c r="Y161" s="35" t="s">
        <v>194</v>
      </c>
      <c r="AA161" s="35" t="s">
        <v>66</v>
      </c>
      <c r="AB161" s="35"/>
      <c r="AC161" s="53">
        <v>1526626</v>
      </c>
      <c r="AD161" s="53"/>
      <c r="AE161" s="53">
        <f>1363293-29758</f>
        <v>1333535</v>
      </c>
      <c r="AF161" s="53"/>
      <c r="AG161" s="53">
        <v>29758</v>
      </c>
      <c r="AH161" s="53"/>
      <c r="AI161" s="45">
        <f t="shared" si="45"/>
        <v>163333</v>
      </c>
      <c r="AJ161" s="45"/>
      <c r="AK161" s="53">
        <v>8281</v>
      </c>
      <c r="AL161" s="45"/>
      <c r="AM161" s="53">
        <v>0</v>
      </c>
      <c r="AN161" s="53"/>
      <c r="AO161" s="53">
        <v>0</v>
      </c>
      <c r="AP161" s="53"/>
      <c r="AQ161" s="53">
        <v>0</v>
      </c>
      <c r="AR161" s="53"/>
      <c r="AS161" s="45">
        <f t="shared" si="40"/>
        <v>171614</v>
      </c>
      <c r="AT161" s="45"/>
      <c r="AU161" s="53">
        <v>0</v>
      </c>
      <c r="AV161" s="53"/>
      <c r="AW161" s="53">
        <v>0</v>
      </c>
      <c r="AX161" s="53"/>
      <c r="AY161" s="53">
        <f t="shared" si="46"/>
        <v>257311</v>
      </c>
      <c r="AZ161" s="53"/>
      <c r="BA161" s="35" t="s">
        <v>194</v>
      </c>
      <c r="BC161" s="35" t="s">
        <v>66</v>
      </c>
      <c r="BD161" s="53"/>
      <c r="BE161" s="53">
        <v>0</v>
      </c>
      <c r="BF161" s="53"/>
      <c r="BG161" s="53">
        <v>0</v>
      </c>
      <c r="BH161" s="53"/>
      <c r="BI161" s="53">
        <v>0</v>
      </c>
      <c r="BJ161" s="53"/>
      <c r="BK161" s="53">
        <v>0</v>
      </c>
      <c r="BL161" s="53"/>
      <c r="BM161" s="53">
        <f>SUM(BE161:BK161)</f>
        <v>0</v>
      </c>
      <c r="BN161" s="54" t="s">
        <v>347</v>
      </c>
      <c r="BR161" s="51"/>
      <c r="BS161" s="53"/>
      <c r="BT161" s="53"/>
      <c r="BU161" s="53"/>
      <c r="BV161" s="53"/>
      <c r="BW161" s="53"/>
      <c r="BX161" s="45"/>
      <c r="BY161" s="45"/>
      <c r="BZ161" s="53"/>
      <c r="CA161" s="53"/>
      <c r="CB161" s="53"/>
      <c r="CC161" s="53"/>
      <c r="CD161" s="53"/>
      <c r="CE161" s="53"/>
      <c r="CF161" s="35"/>
      <c r="CH161" s="35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4"/>
    </row>
    <row r="162" spans="1:98" s="55" customFormat="1" ht="12.75" customHeight="1">
      <c r="A162" s="35" t="s">
        <v>195</v>
      </c>
      <c r="B162" s="51"/>
      <c r="C162" s="35" t="s">
        <v>17</v>
      </c>
      <c r="D162" s="44"/>
      <c r="E162" s="53">
        <v>4738835</v>
      </c>
      <c r="F162" s="53"/>
      <c r="G162" s="53">
        <v>7703277</v>
      </c>
      <c r="H162" s="53"/>
      <c r="I162" s="53">
        <f t="shared" si="41"/>
        <v>12442112</v>
      </c>
      <c r="J162" s="53"/>
      <c r="K162" s="53">
        <f t="shared" si="43"/>
        <v>428880</v>
      </c>
      <c r="L162" s="53"/>
      <c r="M162" s="53">
        <f>57830+1793449</f>
        <v>1851279</v>
      </c>
      <c r="N162" s="53"/>
      <c r="O162" s="53">
        <v>2280159</v>
      </c>
      <c r="P162" s="53"/>
      <c r="Q162" s="53">
        <v>5560798</v>
      </c>
      <c r="R162" s="53"/>
      <c r="S162" s="53">
        <v>0</v>
      </c>
      <c r="T162" s="53"/>
      <c r="U162" s="53">
        <v>4601155</v>
      </c>
      <c r="V162" s="53"/>
      <c r="W162" s="53">
        <f t="shared" si="48"/>
        <v>10161953</v>
      </c>
      <c r="X162" s="53"/>
      <c r="Y162" s="35" t="s">
        <v>195</v>
      </c>
      <c r="AA162" s="35" t="s">
        <v>17</v>
      </c>
      <c r="AB162" s="35"/>
      <c r="AC162" s="53">
        <v>2186254</v>
      </c>
      <c r="AD162" s="53"/>
      <c r="AE162" s="53">
        <f>1291975-185272</f>
        <v>1106703</v>
      </c>
      <c r="AF162" s="53"/>
      <c r="AG162" s="53">
        <v>185272</v>
      </c>
      <c r="AH162" s="53"/>
      <c r="AI162" s="45">
        <f t="shared" si="45"/>
        <v>894279</v>
      </c>
      <c r="AJ162" s="45"/>
      <c r="AK162" s="53">
        <v>-96931</v>
      </c>
      <c r="AL162" s="45"/>
      <c r="AM162" s="53">
        <v>0</v>
      </c>
      <c r="AN162" s="53"/>
      <c r="AO162" s="53">
        <v>52546</v>
      </c>
      <c r="AP162" s="53"/>
      <c r="AQ162" s="53">
        <v>0</v>
      </c>
      <c r="AR162" s="53"/>
      <c r="AS162" s="45">
        <f t="shared" si="40"/>
        <v>744802</v>
      </c>
      <c r="AT162" s="45"/>
      <c r="AU162" s="53">
        <v>0</v>
      </c>
      <c r="AV162" s="53"/>
      <c r="AW162" s="53">
        <v>0</v>
      </c>
      <c r="AX162" s="53"/>
      <c r="AY162" s="53">
        <f t="shared" si="46"/>
        <v>4309955</v>
      </c>
      <c r="AZ162" s="53"/>
      <c r="BA162" s="35" t="s">
        <v>195</v>
      </c>
      <c r="BC162" s="35" t="s">
        <v>17</v>
      </c>
      <c r="BD162" s="53"/>
      <c r="BE162" s="53">
        <v>0</v>
      </c>
      <c r="BF162" s="53"/>
      <c r="BG162" s="53">
        <v>0</v>
      </c>
      <c r="BH162" s="53"/>
      <c r="BI162" s="53">
        <v>0</v>
      </c>
      <c r="BJ162" s="53"/>
      <c r="BK162" s="53">
        <v>0</v>
      </c>
      <c r="BL162" s="53"/>
      <c r="BM162" s="53">
        <f t="shared" si="47"/>
        <v>0</v>
      </c>
      <c r="BN162" s="54" t="s">
        <v>347</v>
      </c>
      <c r="BR162" s="51"/>
      <c r="BS162" s="53"/>
      <c r="BT162" s="53"/>
      <c r="BU162" s="53"/>
      <c r="BV162" s="53"/>
      <c r="BW162" s="53"/>
      <c r="BX162" s="45"/>
      <c r="BY162" s="45"/>
      <c r="BZ162" s="53"/>
      <c r="CA162" s="53"/>
      <c r="CB162" s="53"/>
      <c r="CC162" s="53"/>
      <c r="CD162" s="53"/>
      <c r="CE162" s="53"/>
      <c r="CF162" s="35"/>
      <c r="CH162" s="35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4"/>
    </row>
    <row r="163" spans="1:98" s="143" customFormat="1" ht="12.75" hidden="1" customHeight="1">
      <c r="A163" s="126" t="s">
        <v>196</v>
      </c>
      <c r="B163" s="124"/>
      <c r="C163" s="126" t="s">
        <v>27</v>
      </c>
      <c r="D163" s="121"/>
      <c r="E163" s="140"/>
      <c r="F163" s="140"/>
      <c r="G163" s="140"/>
      <c r="H163" s="140"/>
      <c r="I163" s="53">
        <f t="shared" si="41"/>
        <v>0</v>
      </c>
      <c r="J163" s="140"/>
      <c r="K163" s="53">
        <f t="shared" si="43"/>
        <v>0</v>
      </c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>
        <f t="shared" si="48"/>
        <v>0</v>
      </c>
      <c r="X163" s="140"/>
      <c r="Y163" s="126" t="s">
        <v>196</v>
      </c>
      <c r="AA163" s="126" t="s">
        <v>27</v>
      </c>
      <c r="AB163" s="126"/>
      <c r="AC163" s="140"/>
      <c r="AD163" s="140"/>
      <c r="AE163" s="140"/>
      <c r="AF163" s="140"/>
      <c r="AG163" s="140"/>
      <c r="AH163" s="140"/>
      <c r="AI163" s="127">
        <f t="shared" si="45"/>
        <v>0</v>
      </c>
      <c r="AJ163" s="127"/>
      <c r="AK163" s="140"/>
      <c r="AL163" s="127"/>
      <c r="AM163" s="53">
        <v>0</v>
      </c>
      <c r="AN163" s="53"/>
      <c r="AO163" s="53">
        <v>0</v>
      </c>
      <c r="AP163" s="140"/>
      <c r="AQ163" s="140"/>
      <c r="AR163" s="140"/>
      <c r="AS163" s="45">
        <f t="shared" si="40"/>
        <v>0</v>
      </c>
      <c r="AT163" s="127"/>
      <c r="AU163" s="140">
        <v>0</v>
      </c>
      <c r="AV163" s="140"/>
      <c r="AW163" s="140">
        <v>0</v>
      </c>
      <c r="AX163" s="140"/>
      <c r="AY163" s="140">
        <f t="shared" si="46"/>
        <v>0</v>
      </c>
      <c r="AZ163" s="140"/>
      <c r="BA163" s="126" t="s">
        <v>196</v>
      </c>
      <c r="BC163" s="126" t="s">
        <v>27</v>
      </c>
      <c r="BD163" s="140"/>
      <c r="BE163" s="140"/>
      <c r="BF163" s="140"/>
      <c r="BG163" s="140"/>
      <c r="BH163" s="140"/>
      <c r="BI163" s="140"/>
      <c r="BJ163" s="140"/>
      <c r="BK163" s="140"/>
      <c r="BL163" s="140"/>
      <c r="BM163" s="140">
        <f t="shared" si="47"/>
        <v>0</v>
      </c>
      <c r="BN163" s="142" t="s">
        <v>347</v>
      </c>
      <c r="BR163" s="124"/>
      <c r="BS163" s="140"/>
      <c r="BT163" s="140"/>
      <c r="BU163" s="140"/>
      <c r="BV163" s="140"/>
      <c r="BW163" s="140"/>
      <c r="BX163" s="127"/>
      <c r="BY163" s="127"/>
      <c r="BZ163" s="140"/>
      <c r="CA163" s="140"/>
      <c r="CB163" s="140"/>
      <c r="CC163" s="140"/>
      <c r="CD163" s="140"/>
      <c r="CE163" s="140"/>
      <c r="CF163" s="126"/>
      <c r="CH163" s="126"/>
      <c r="CI163" s="140"/>
      <c r="CJ163" s="140"/>
      <c r="CK163" s="140"/>
      <c r="CL163" s="140"/>
      <c r="CM163" s="140"/>
      <c r="CN163" s="140"/>
      <c r="CO163" s="140"/>
      <c r="CP163" s="140"/>
      <c r="CQ163" s="140"/>
      <c r="CR163" s="140"/>
      <c r="CS163" s="142"/>
    </row>
    <row r="164" spans="1:98" s="143" customFormat="1" ht="12.75" hidden="1" customHeight="1">
      <c r="A164" s="35" t="s">
        <v>402</v>
      </c>
      <c r="B164" s="51"/>
      <c r="C164" s="35" t="s">
        <v>153</v>
      </c>
      <c r="D164" s="44"/>
      <c r="E164" s="53">
        <v>1403524</v>
      </c>
      <c r="F164" s="53"/>
      <c r="G164" s="53">
        <v>7525328</v>
      </c>
      <c r="H164" s="53"/>
      <c r="I164" s="53">
        <f t="shared" si="41"/>
        <v>8928852</v>
      </c>
      <c r="J164" s="53"/>
      <c r="K164" s="53">
        <v>167677</v>
      </c>
      <c r="L164" s="53"/>
      <c r="M164" s="53">
        <v>489730</v>
      </c>
      <c r="N164" s="53"/>
      <c r="O164" s="53">
        <v>657407</v>
      </c>
      <c r="P164" s="53"/>
      <c r="Q164" s="53">
        <v>7033661</v>
      </c>
      <c r="R164" s="53"/>
      <c r="S164" s="53">
        <v>1237784</v>
      </c>
      <c r="T164" s="53"/>
      <c r="U164" s="53">
        <v>1237784</v>
      </c>
      <c r="V164" s="53"/>
      <c r="W164" s="53">
        <f t="shared" si="48"/>
        <v>9509229</v>
      </c>
      <c r="X164" s="53"/>
      <c r="Y164" s="35" t="s">
        <v>386</v>
      </c>
      <c r="Z164" s="55"/>
      <c r="AA164" s="35" t="s">
        <v>153</v>
      </c>
      <c r="AB164" s="35"/>
      <c r="AC164" s="53">
        <v>1026557</v>
      </c>
      <c r="AD164" s="53"/>
      <c r="AE164" s="53">
        <f>1021352-220881</f>
        <v>800471</v>
      </c>
      <c r="AF164" s="53"/>
      <c r="AG164" s="53">
        <v>220881</v>
      </c>
      <c r="AH164" s="53"/>
      <c r="AI164" s="45">
        <f t="shared" si="45"/>
        <v>5205</v>
      </c>
      <c r="AJ164" s="45"/>
      <c r="AK164" s="53">
        <v>1317</v>
      </c>
      <c r="AL164" s="45"/>
      <c r="AM164" s="53">
        <v>0</v>
      </c>
      <c r="AN164" s="53"/>
      <c r="AO164" s="53">
        <v>0</v>
      </c>
      <c r="AP164" s="53"/>
      <c r="AQ164" s="53">
        <v>600948</v>
      </c>
      <c r="AR164" s="53"/>
      <c r="AS164" s="45">
        <f t="shared" si="40"/>
        <v>607470</v>
      </c>
      <c r="AT164" s="45"/>
      <c r="AU164" s="53">
        <v>0</v>
      </c>
      <c r="AV164" s="53"/>
      <c r="AW164" s="53">
        <v>0</v>
      </c>
      <c r="AX164" s="53"/>
      <c r="AY164" s="53">
        <f t="shared" si="46"/>
        <v>1235847</v>
      </c>
      <c r="AZ164" s="53"/>
      <c r="BA164" s="35" t="s">
        <v>386</v>
      </c>
      <c r="BB164" s="55"/>
      <c r="BC164" s="35" t="s">
        <v>153</v>
      </c>
      <c r="BD164" s="53"/>
      <c r="BE164" s="53">
        <v>0</v>
      </c>
      <c r="BF164" s="53"/>
      <c r="BG164" s="53">
        <v>0</v>
      </c>
      <c r="BH164" s="53"/>
      <c r="BI164" s="53">
        <v>491667</v>
      </c>
      <c r="BJ164" s="53"/>
      <c r="BK164" s="53">
        <v>0</v>
      </c>
      <c r="BL164" s="53"/>
      <c r="BM164" s="53">
        <f t="shared" si="47"/>
        <v>491667</v>
      </c>
      <c r="BN164" s="142" t="s">
        <v>347</v>
      </c>
      <c r="BO164" s="143" t="s">
        <v>404</v>
      </c>
      <c r="BR164" s="124"/>
      <c r="BS164" s="140"/>
      <c r="BT164" s="140"/>
      <c r="BU164" s="140"/>
      <c r="BV164" s="140"/>
      <c r="BW164" s="140"/>
      <c r="BX164" s="127"/>
      <c r="BY164" s="127"/>
      <c r="BZ164" s="140"/>
      <c r="CA164" s="140"/>
      <c r="CB164" s="140"/>
      <c r="CC164" s="140"/>
      <c r="CD164" s="140"/>
      <c r="CE164" s="140"/>
      <c r="CF164" s="126"/>
      <c r="CH164" s="126"/>
      <c r="CI164" s="140"/>
      <c r="CJ164" s="140"/>
      <c r="CK164" s="140"/>
      <c r="CL164" s="140"/>
      <c r="CM164" s="140"/>
      <c r="CN164" s="140"/>
      <c r="CO164" s="140"/>
      <c r="CP164" s="140"/>
      <c r="CQ164" s="140"/>
      <c r="CR164" s="140"/>
      <c r="CS164" s="142"/>
    </row>
    <row r="165" spans="1:98" s="55" customFormat="1" ht="12.75" customHeight="1">
      <c r="A165" s="35" t="s">
        <v>197</v>
      </c>
      <c r="B165" s="51"/>
      <c r="C165" s="35" t="s">
        <v>163</v>
      </c>
      <c r="D165" s="44"/>
      <c r="E165" s="53">
        <v>2743644</v>
      </c>
      <c r="F165" s="53"/>
      <c r="G165" s="53">
        <v>43054238</v>
      </c>
      <c r="H165" s="53"/>
      <c r="I165" s="53">
        <f t="shared" si="41"/>
        <v>45797882</v>
      </c>
      <c r="J165" s="53"/>
      <c r="K165" s="53">
        <f t="shared" si="43"/>
        <v>1052022</v>
      </c>
      <c r="L165" s="53"/>
      <c r="M165" s="53">
        <v>10524977</v>
      </c>
      <c r="N165" s="53"/>
      <c r="O165" s="53">
        <v>11576999</v>
      </c>
      <c r="P165" s="53"/>
      <c r="Q165" s="53">
        <v>31836576</v>
      </c>
      <c r="R165" s="53"/>
      <c r="S165" s="53">
        <v>0</v>
      </c>
      <c r="T165" s="53"/>
      <c r="U165" s="53">
        <v>2384307</v>
      </c>
      <c r="V165" s="53"/>
      <c r="W165" s="53">
        <f t="shared" si="48"/>
        <v>34220883</v>
      </c>
      <c r="X165" s="53"/>
      <c r="Y165" s="35" t="s">
        <v>197</v>
      </c>
      <c r="AA165" s="35" t="s">
        <v>163</v>
      </c>
      <c r="AB165" s="35"/>
      <c r="AC165" s="53">
        <v>3671920</v>
      </c>
      <c r="AD165" s="53"/>
      <c r="AE165" s="53">
        <f>3938116-1700796</f>
        <v>2237320</v>
      </c>
      <c r="AF165" s="53"/>
      <c r="AG165" s="53">
        <v>1700796</v>
      </c>
      <c r="AH165" s="53"/>
      <c r="AI165" s="45">
        <f t="shared" si="45"/>
        <v>-266196</v>
      </c>
      <c r="AJ165" s="45"/>
      <c r="AK165" s="53">
        <v>-491171</v>
      </c>
      <c r="AL165" s="45"/>
      <c r="AM165" s="53">
        <v>1117836</v>
      </c>
      <c r="AN165" s="53"/>
      <c r="AO165" s="53">
        <v>-235107</v>
      </c>
      <c r="AP165" s="53"/>
      <c r="AQ165" s="53">
        <v>7189</v>
      </c>
      <c r="AR165" s="53"/>
      <c r="AS165" s="45">
        <f t="shared" si="40"/>
        <v>602765</v>
      </c>
      <c r="AT165" s="45"/>
      <c r="AU165" s="53">
        <v>0</v>
      </c>
      <c r="AV165" s="53"/>
      <c r="AW165" s="53">
        <v>0</v>
      </c>
      <c r="AX165" s="53"/>
      <c r="AY165" s="53">
        <f t="shared" si="46"/>
        <v>1691622</v>
      </c>
      <c r="AZ165" s="53"/>
      <c r="BA165" s="35" t="s">
        <v>197</v>
      </c>
      <c r="BC165" s="35" t="s">
        <v>163</v>
      </c>
      <c r="BD165" s="53"/>
      <c r="BE165" s="53">
        <v>1980000</v>
      </c>
      <c r="BF165" s="53"/>
      <c r="BG165" s="53">
        <v>0</v>
      </c>
      <c r="BH165" s="53"/>
      <c r="BI165" s="53">
        <v>169217</v>
      </c>
      <c r="BJ165" s="53"/>
      <c r="BK165" s="53">
        <v>0</v>
      </c>
      <c r="BL165" s="53"/>
      <c r="BM165" s="53">
        <f t="shared" si="47"/>
        <v>2149217</v>
      </c>
      <c r="BN165" s="54" t="s">
        <v>347</v>
      </c>
      <c r="BR165" s="51"/>
      <c r="BS165" s="53"/>
      <c r="BT165" s="53"/>
      <c r="BU165" s="53"/>
      <c r="BV165" s="53"/>
      <c r="BW165" s="53"/>
      <c r="BX165" s="45"/>
      <c r="BY165" s="45"/>
      <c r="BZ165" s="53"/>
      <c r="CA165" s="53"/>
      <c r="CB165" s="53"/>
      <c r="CC165" s="53"/>
      <c r="CD165" s="53"/>
      <c r="CE165" s="53"/>
      <c r="CF165" s="35"/>
      <c r="CH165" s="35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4"/>
    </row>
    <row r="166" spans="1:98" s="55" customFormat="1" ht="12.75" customHeight="1">
      <c r="A166" s="35" t="s">
        <v>198</v>
      </c>
      <c r="B166" s="51"/>
      <c r="C166" s="35" t="s">
        <v>199</v>
      </c>
      <c r="D166" s="44"/>
      <c r="E166" s="53">
        <v>3950362</v>
      </c>
      <c r="F166" s="53"/>
      <c r="G166" s="53">
        <v>7666843</v>
      </c>
      <c r="H166" s="53"/>
      <c r="I166" s="53">
        <f t="shared" si="41"/>
        <v>11617205</v>
      </c>
      <c r="J166" s="53"/>
      <c r="K166" s="53">
        <f t="shared" si="43"/>
        <v>676732</v>
      </c>
      <c r="L166" s="53"/>
      <c r="M166" s="53">
        <v>1497133</v>
      </c>
      <c r="N166" s="53"/>
      <c r="O166" s="53">
        <v>2173865</v>
      </c>
      <c r="P166" s="53"/>
      <c r="Q166" s="53">
        <v>5777142</v>
      </c>
      <c r="R166" s="53"/>
      <c r="S166" s="53">
        <v>0</v>
      </c>
      <c r="T166" s="53"/>
      <c r="U166" s="53">
        <v>3666198</v>
      </c>
      <c r="V166" s="53"/>
      <c r="W166" s="53">
        <f t="shared" si="48"/>
        <v>9443340</v>
      </c>
      <c r="X166" s="53"/>
      <c r="Y166" s="35" t="s">
        <v>198</v>
      </c>
      <c r="AA166" s="35" t="s">
        <v>199</v>
      </c>
      <c r="AB166" s="35"/>
      <c r="AC166" s="53">
        <v>2055239</v>
      </c>
      <c r="AD166" s="53"/>
      <c r="AE166" s="53">
        <f>1999056-629181</f>
        <v>1369875</v>
      </c>
      <c r="AF166" s="53"/>
      <c r="AG166" s="53">
        <v>629181</v>
      </c>
      <c r="AH166" s="53"/>
      <c r="AI166" s="45">
        <f t="shared" si="45"/>
        <v>56183</v>
      </c>
      <c r="AJ166" s="45"/>
      <c r="AK166" s="53">
        <v>3902</v>
      </c>
      <c r="AL166" s="45"/>
      <c r="AM166" s="53">
        <v>0</v>
      </c>
      <c r="AN166" s="53"/>
      <c r="AO166" s="53">
        <v>0</v>
      </c>
      <c r="AP166" s="53"/>
      <c r="AQ166" s="53">
        <v>0</v>
      </c>
      <c r="AR166" s="53"/>
      <c r="AS166" s="45">
        <f t="shared" si="40"/>
        <v>60085</v>
      </c>
      <c r="AT166" s="45"/>
      <c r="AU166" s="53">
        <v>0</v>
      </c>
      <c r="AV166" s="53"/>
      <c r="AW166" s="53">
        <v>0</v>
      </c>
      <c r="AX166" s="53"/>
      <c r="AY166" s="53">
        <f t="shared" si="46"/>
        <v>3273630</v>
      </c>
      <c r="AZ166" s="53"/>
      <c r="BA166" s="35" t="s">
        <v>198</v>
      </c>
      <c r="BC166" s="35" t="s">
        <v>199</v>
      </c>
      <c r="BD166" s="53"/>
      <c r="BE166" s="53">
        <v>0</v>
      </c>
      <c r="BF166" s="53"/>
      <c r="BG166" s="53">
        <v>0</v>
      </c>
      <c r="BH166" s="53"/>
      <c r="BI166" s="53">
        <v>0</v>
      </c>
      <c r="BJ166" s="53"/>
      <c r="BK166" s="53">
        <v>0</v>
      </c>
      <c r="BL166" s="53"/>
      <c r="BM166" s="53">
        <f t="shared" si="47"/>
        <v>0</v>
      </c>
      <c r="BN166" s="54" t="s">
        <v>347</v>
      </c>
      <c r="BO166" s="55" t="s">
        <v>408</v>
      </c>
      <c r="BR166" s="51"/>
      <c r="BS166" s="53"/>
      <c r="BT166" s="53"/>
      <c r="BU166" s="53"/>
      <c r="BV166" s="53"/>
      <c r="BW166" s="53"/>
      <c r="BX166" s="45"/>
      <c r="BY166" s="45"/>
      <c r="BZ166" s="53"/>
      <c r="CA166" s="53"/>
      <c r="CB166" s="53"/>
      <c r="CC166" s="53"/>
      <c r="CD166" s="53"/>
      <c r="CE166" s="53"/>
      <c r="CF166" s="35"/>
      <c r="CH166" s="35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4"/>
    </row>
    <row r="167" spans="1:98" s="55" customFormat="1" ht="12.75" customHeight="1">
      <c r="A167" s="35" t="s">
        <v>200</v>
      </c>
      <c r="C167" s="35" t="s">
        <v>103</v>
      </c>
      <c r="D167" s="44"/>
      <c r="E167" s="53">
        <v>7031924</v>
      </c>
      <c r="F167" s="53"/>
      <c r="G167" s="53">
        <v>16487710</v>
      </c>
      <c r="H167" s="53"/>
      <c r="I167" s="53">
        <f t="shared" si="41"/>
        <v>23519634</v>
      </c>
      <c r="J167" s="53"/>
      <c r="K167" s="53">
        <v>529629</v>
      </c>
      <c r="L167" s="53"/>
      <c r="M167" s="53">
        <v>4747569</v>
      </c>
      <c r="N167" s="53"/>
      <c r="O167" s="53">
        <v>4747569</v>
      </c>
      <c r="P167" s="53"/>
      <c r="Q167" s="53">
        <v>11975785</v>
      </c>
      <c r="R167" s="53"/>
      <c r="S167" s="53">
        <v>619725</v>
      </c>
      <c r="T167" s="53"/>
      <c r="U167" s="53">
        <v>6176555</v>
      </c>
      <c r="V167" s="53"/>
      <c r="W167" s="53">
        <f t="shared" si="48"/>
        <v>18772065</v>
      </c>
      <c r="X167" s="53"/>
      <c r="Y167" s="35" t="s">
        <v>200</v>
      </c>
      <c r="AA167" s="35" t="s">
        <v>103</v>
      </c>
      <c r="AB167" s="35"/>
      <c r="AC167" s="53">
        <v>3042458</v>
      </c>
      <c r="AD167" s="53"/>
      <c r="AE167" s="53">
        <f>2882651-829236</f>
        <v>2053415</v>
      </c>
      <c r="AF167" s="53"/>
      <c r="AG167" s="53">
        <v>829236</v>
      </c>
      <c r="AH167" s="53"/>
      <c r="AI167" s="45">
        <f t="shared" si="45"/>
        <v>159807</v>
      </c>
      <c r="AJ167" s="45"/>
      <c r="AK167" s="53">
        <v>82385</v>
      </c>
      <c r="AL167" s="45"/>
      <c r="AM167" s="53">
        <v>0</v>
      </c>
      <c r="AN167" s="53"/>
      <c r="AO167" s="53">
        <v>0</v>
      </c>
      <c r="AP167" s="53"/>
      <c r="AQ167" s="53">
        <v>104271</v>
      </c>
      <c r="AR167" s="53"/>
      <c r="AS167" s="45">
        <f t="shared" si="40"/>
        <v>346463</v>
      </c>
      <c r="AT167" s="45"/>
      <c r="AU167" s="53">
        <v>0</v>
      </c>
      <c r="AV167" s="53"/>
      <c r="AW167" s="53">
        <v>0</v>
      </c>
      <c r="AX167" s="53"/>
      <c r="AY167" s="53">
        <f t="shared" si="46"/>
        <v>6502295</v>
      </c>
      <c r="AZ167" s="53"/>
      <c r="BA167" s="35" t="s">
        <v>200</v>
      </c>
      <c r="BC167" s="35" t="s">
        <v>103</v>
      </c>
      <c r="BD167" s="53"/>
      <c r="BE167" s="53">
        <v>0</v>
      </c>
      <c r="BF167" s="53"/>
      <c r="BG167" s="53">
        <v>0</v>
      </c>
      <c r="BH167" s="53"/>
      <c r="BI167" s="53">
        <v>4511925</v>
      </c>
      <c r="BJ167" s="53"/>
      <c r="BK167" s="53">
        <v>0</v>
      </c>
      <c r="BL167" s="53"/>
      <c r="BM167" s="53">
        <f t="shared" si="47"/>
        <v>4511925</v>
      </c>
      <c r="BN167" s="54" t="s">
        <v>347</v>
      </c>
      <c r="BR167" s="51"/>
      <c r="BS167" s="53"/>
      <c r="BT167" s="53"/>
      <c r="BU167" s="53"/>
      <c r="BV167" s="53"/>
      <c r="BW167" s="45"/>
      <c r="BX167" s="45"/>
      <c r="BY167" s="53"/>
      <c r="BZ167" s="53"/>
      <c r="CA167" s="53"/>
      <c r="CB167" s="53"/>
      <c r="CC167" s="53"/>
      <c r="CD167" s="53"/>
      <c r="CE167" s="53"/>
      <c r="CF167" s="35"/>
      <c r="CH167" s="35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4"/>
    </row>
    <row r="168" spans="1:98" s="55" customFormat="1" ht="12.75" customHeight="1">
      <c r="A168" s="35" t="s">
        <v>201</v>
      </c>
      <c r="C168" s="35" t="s">
        <v>92</v>
      </c>
      <c r="D168" s="44"/>
      <c r="E168" s="53">
        <v>3444774</v>
      </c>
      <c r="F168" s="53"/>
      <c r="G168" s="53">
        <v>8544457</v>
      </c>
      <c r="H168" s="53"/>
      <c r="I168" s="53">
        <f>G168+E168</f>
        <v>11989231</v>
      </c>
      <c r="J168" s="53"/>
      <c r="K168" s="53">
        <f t="shared" si="43"/>
        <v>1051906</v>
      </c>
      <c r="L168" s="53"/>
      <c r="M168" s="53">
        <v>573471</v>
      </c>
      <c r="N168" s="53"/>
      <c r="O168" s="53">
        <v>1625377</v>
      </c>
      <c r="P168" s="53"/>
      <c r="Q168" s="53">
        <v>7468004</v>
      </c>
      <c r="R168" s="53"/>
      <c r="S168" s="53">
        <v>0</v>
      </c>
      <c r="T168" s="53"/>
      <c r="U168" s="53">
        <v>2895850</v>
      </c>
      <c r="V168" s="53"/>
      <c r="W168" s="53">
        <f t="shared" si="48"/>
        <v>10363854</v>
      </c>
      <c r="X168" s="53"/>
      <c r="Y168" s="35" t="s">
        <v>201</v>
      </c>
      <c r="AA168" s="35" t="s">
        <v>92</v>
      </c>
      <c r="AB168" s="35"/>
      <c r="AC168" s="53">
        <v>3411315</v>
      </c>
      <c r="AD168" s="53"/>
      <c r="AE168" s="53">
        <f>3400069-447531</f>
        <v>2952538</v>
      </c>
      <c r="AF168" s="53"/>
      <c r="AG168" s="53">
        <v>447531</v>
      </c>
      <c r="AH168" s="53"/>
      <c r="AI168" s="45">
        <f t="shared" si="45"/>
        <v>11246</v>
      </c>
      <c r="AJ168" s="45"/>
      <c r="AK168" s="53">
        <v>-7464</v>
      </c>
      <c r="AL168" s="45"/>
      <c r="AM168" s="53">
        <v>0</v>
      </c>
      <c r="AN168" s="53"/>
      <c r="AO168" s="53">
        <v>0</v>
      </c>
      <c r="AP168" s="53"/>
      <c r="AQ168" s="53">
        <v>0</v>
      </c>
      <c r="AR168" s="53"/>
      <c r="AS168" s="45">
        <f t="shared" si="40"/>
        <v>3782</v>
      </c>
      <c r="AT168" s="45"/>
      <c r="AU168" s="53">
        <v>0</v>
      </c>
      <c r="AV168" s="53"/>
      <c r="AW168" s="53">
        <v>0</v>
      </c>
      <c r="AX168" s="53"/>
      <c r="AY168" s="53">
        <f t="shared" si="46"/>
        <v>2392868</v>
      </c>
      <c r="AZ168" s="53"/>
      <c r="BA168" s="35" t="s">
        <v>201</v>
      </c>
      <c r="BC168" s="35" t="s">
        <v>92</v>
      </c>
      <c r="BD168" s="53"/>
      <c r="BE168" s="53">
        <v>0</v>
      </c>
      <c r="BF168" s="53"/>
      <c r="BG168" s="53">
        <v>0</v>
      </c>
      <c r="BH168" s="53"/>
      <c r="BI168" s="53">
        <v>0</v>
      </c>
      <c r="BJ168" s="53"/>
      <c r="BK168" s="53">
        <v>0</v>
      </c>
      <c r="BL168" s="53"/>
      <c r="BM168" s="53">
        <f t="shared" si="47"/>
        <v>0</v>
      </c>
      <c r="BN168" s="54" t="s">
        <v>347</v>
      </c>
      <c r="BO168" s="35" t="s">
        <v>409</v>
      </c>
      <c r="BR168" s="51"/>
      <c r="BS168" s="53"/>
      <c r="BT168" s="53"/>
      <c r="BU168" s="53"/>
      <c r="BV168" s="53"/>
      <c r="BW168" s="53"/>
      <c r="BX168" s="45"/>
      <c r="BY168" s="45"/>
      <c r="BZ168" s="53"/>
      <c r="CA168" s="53"/>
      <c r="CB168" s="53"/>
      <c r="CC168" s="53"/>
      <c r="CD168" s="53"/>
      <c r="CE168" s="53"/>
      <c r="CF168" s="35"/>
      <c r="CH168" s="35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4"/>
      <c r="CT168" s="35"/>
    </row>
    <row r="169" spans="1:98" s="143" customFormat="1" ht="12" hidden="1" customHeight="1">
      <c r="A169" s="126" t="s">
        <v>202</v>
      </c>
      <c r="B169" s="124"/>
      <c r="C169" s="126" t="s">
        <v>27</v>
      </c>
      <c r="D169" s="121"/>
      <c r="E169" s="140"/>
      <c r="F169" s="140"/>
      <c r="G169" s="140"/>
      <c r="H169" s="140"/>
      <c r="I169" s="140"/>
      <c r="J169" s="140"/>
      <c r="K169" s="53">
        <f t="shared" si="43"/>
        <v>0</v>
      </c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>
        <f t="shared" si="48"/>
        <v>0</v>
      </c>
      <c r="X169" s="140"/>
      <c r="Y169" s="126" t="s">
        <v>202</v>
      </c>
      <c r="AA169" s="126" t="s">
        <v>27</v>
      </c>
      <c r="AB169" s="126"/>
      <c r="AC169" s="140"/>
      <c r="AD169" s="140"/>
      <c r="AE169" s="140"/>
      <c r="AF169" s="140"/>
      <c r="AG169" s="140"/>
      <c r="AH169" s="140"/>
      <c r="AI169" s="127">
        <f t="shared" si="45"/>
        <v>0</v>
      </c>
      <c r="AJ169" s="127"/>
      <c r="AK169" s="140"/>
      <c r="AL169" s="127"/>
      <c r="AM169" s="53">
        <v>0</v>
      </c>
      <c r="AN169" s="53"/>
      <c r="AO169" s="53">
        <v>0</v>
      </c>
      <c r="AP169" s="140"/>
      <c r="AQ169" s="140">
        <v>0</v>
      </c>
      <c r="AR169" s="140"/>
      <c r="AS169" s="45">
        <f t="shared" si="40"/>
        <v>0</v>
      </c>
      <c r="AT169" s="127"/>
      <c r="AU169" s="140">
        <v>0</v>
      </c>
      <c r="AV169" s="140"/>
      <c r="AW169" s="140">
        <v>0</v>
      </c>
      <c r="AX169" s="140"/>
      <c r="AY169" s="140">
        <f t="shared" si="46"/>
        <v>0</v>
      </c>
      <c r="AZ169" s="140"/>
      <c r="BA169" s="126" t="s">
        <v>202</v>
      </c>
      <c r="BC169" s="126" t="s">
        <v>27</v>
      </c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>
        <f t="shared" si="47"/>
        <v>0</v>
      </c>
      <c r="BN169" s="142" t="s">
        <v>347</v>
      </c>
      <c r="BR169" s="124"/>
      <c r="BS169" s="140"/>
      <c r="BT169" s="140"/>
      <c r="BU169" s="140"/>
      <c r="BV169" s="140"/>
      <c r="BW169" s="140"/>
      <c r="BX169" s="127"/>
      <c r="BY169" s="127"/>
      <c r="BZ169" s="140"/>
      <c r="CA169" s="140"/>
      <c r="CB169" s="140"/>
      <c r="CC169" s="140"/>
      <c r="CD169" s="140"/>
      <c r="CE169" s="140"/>
      <c r="CF169" s="126"/>
      <c r="CH169" s="126"/>
      <c r="CI169" s="140"/>
      <c r="CJ169" s="140"/>
      <c r="CK169" s="140"/>
      <c r="CL169" s="140"/>
      <c r="CM169" s="140"/>
      <c r="CN169" s="140"/>
      <c r="CO169" s="140"/>
      <c r="CP169" s="140"/>
      <c r="CQ169" s="140"/>
      <c r="CR169" s="140"/>
      <c r="CS169" s="142"/>
    </row>
    <row r="170" spans="1:98" s="143" customFormat="1" ht="12" hidden="1" customHeight="1">
      <c r="A170" s="126" t="s">
        <v>203</v>
      </c>
      <c r="B170" s="124"/>
      <c r="C170" s="126" t="s">
        <v>27</v>
      </c>
      <c r="D170" s="121"/>
      <c r="E170" s="140"/>
      <c r="F170" s="140"/>
      <c r="G170" s="140"/>
      <c r="H170" s="140"/>
      <c r="I170" s="140"/>
      <c r="J170" s="140"/>
      <c r="K170" s="53">
        <f t="shared" si="43"/>
        <v>0</v>
      </c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>
        <f t="shared" si="48"/>
        <v>0</v>
      </c>
      <c r="X170" s="140"/>
      <c r="Y170" s="126" t="s">
        <v>203</v>
      </c>
      <c r="AA170" s="126" t="s">
        <v>27</v>
      </c>
      <c r="AB170" s="126"/>
      <c r="AC170" s="140"/>
      <c r="AD170" s="140"/>
      <c r="AE170" s="140"/>
      <c r="AF170" s="140"/>
      <c r="AG170" s="140"/>
      <c r="AH170" s="140"/>
      <c r="AI170" s="127">
        <f t="shared" si="45"/>
        <v>0</v>
      </c>
      <c r="AJ170" s="127"/>
      <c r="AK170" s="140"/>
      <c r="AL170" s="127"/>
      <c r="AM170" s="53">
        <v>0</v>
      </c>
      <c r="AN170" s="53"/>
      <c r="AO170" s="53">
        <v>0</v>
      </c>
      <c r="AP170" s="140"/>
      <c r="AQ170" s="140">
        <v>0</v>
      </c>
      <c r="AR170" s="140"/>
      <c r="AS170" s="45">
        <f t="shared" si="40"/>
        <v>0</v>
      </c>
      <c r="AT170" s="127"/>
      <c r="AU170" s="140">
        <v>0</v>
      </c>
      <c r="AV170" s="140"/>
      <c r="AW170" s="140">
        <v>0</v>
      </c>
      <c r="AX170" s="140"/>
      <c r="AY170" s="140">
        <f t="shared" si="46"/>
        <v>0</v>
      </c>
      <c r="AZ170" s="140"/>
      <c r="BA170" s="126" t="s">
        <v>203</v>
      </c>
      <c r="BC170" s="126" t="s">
        <v>27</v>
      </c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>
        <f t="shared" si="47"/>
        <v>0</v>
      </c>
      <c r="BN170" s="142" t="s">
        <v>347</v>
      </c>
      <c r="BO170" s="143" t="s">
        <v>404</v>
      </c>
      <c r="BR170" s="124"/>
      <c r="BS170" s="140"/>
      <c r="BT170" s="140"/>
      <c r="BU170" s="140"/>
      <c r="BV170" s="140"/>
      <c r="BW170" s="140"/>
      <c r="BX170" s="127"/>
      <c r="BY170" s="127"/>
      <c r="BZ170" s="140"/>
      <c r="CA170" s="140"/>
      <c r="CB170" s="140"/>
      <c r="CC170" s="140"/>
      <c r="CD170" s="140"/>
      <c r="CE170" s="140"/>
      <c r="CF170" s="126"/>
      <c r="CH170" s="126"/>
      <c r="CI170" s="140"/>
      <c r="CJ170" s="140"/>
      <c r="CK170" s="140"/>
      <c r="CL170" s="140"/>
      <c r="CM170" s="140"/>
      <c r="CN170" s="140"/>
      <c r="CO170" s="140"/>
      <c r="CP170" s="140"/>
      <c r="CQ170" s="140"/>
      <c r="CR170" s="140"/>
      <c r="CS170" s="142"/>
    </row>
    <row r="171" spans="1:98" s="55" customFormat="1" ht="12.75" customHeight="1">
      <c r="A171" s="35" t="s">
        <v>204</v>
      </c>
      <c r="B171" s="51"/>
      <c r="C171" s="35" t="s">
        <v>125</v>
      </c>
      <c r="D171" s="44"/>
      <c r="E171" s="53">
        <v>2581430</v>
      </c>
      <c r="F171" s="53"/>
      <c r="G171" s="53">
        <v>2857730</v>
      </c>
      <c r="H171" s="53"/>
      <c r="I171" s="53">
        <v>5439160</v>
      </c>
      <c r="J171" s="53"/>
      <c r="K171" s="53">
        <f t="shared" si="43"/>
        <v>289036</v>
      </c>
      <c r="L171" s="53"/>
      <c r="M171" s="53">
        <v>788258</v>
      </c>
      <c r="N171" s="53"/>
      <c r="O171" s="53">
        <v>1077294</v>
      </c>
      <c r="P171" s="53"/>
      <c r="Q171" s="53">
        <v>1817287</v>
      </c>
      <c r="R171" s="53"/>
      <c r="S171" s="53">
        <v>0</v>
      </c>
      <c r="T171" s="53"/>
      <c r="U171" s="53">
        <v>2544579</v>
      </c>
      <c r="V171" s="53"/>
      <c r="W171" s="53">
        <f t="shared" si="48"/>
        <v>4361866</v>
      </c>
      <c r="X171" s="53"/>
      <c r="Y171" s="35" t="s">
        <v>204</v>
      </c>
      <c r="AA171" s="35" t="s">
        <v>125</v>
      </c>
      <c r="AB171" s="35"/>
      <c r="AC171" s="53">
        <v>857372</v>
      </c>
      <c r="AD171" s="53"/>
      <c r="AE171" s="53">
        <f>751827-166018</f>
        <v>585809</v>
      </c>
      <c r="AF171" s="53"/>
      <c r="AG171" s="53">
        <v>166018</v>
      </c>
      <c r="AH171" s="53"/>
      <c r="AI171" s="45">
        <f t="shared" si="45"/>
        <v>105545</v>
      </c>
      <c r="AJ171" s="45"/>
      <c r="AK171" s="53">
        <v>-31210</v>
      </c>
      <c r="AL171" s="45"/>
      <c r="AM171" s="53">
        <v>0</v>
      </c>
      <c r="AN171" s="53"/>
      <c r="AO171" s="53">
        <v>0</v>
      </c>
      <c r="AP171" s="53"/>
      <c r="AQ171" s="53">
        <v>216391</v>
      </c>
      <c r="AR171" s="53"/>
      <c r="AS171" s="45">
        <f t="shared" si="40"/>
        <v>290726</v>
      </c>
      <c r="AT171" s="45"/>
      <c r="AU171" s="53">
        <v>0</v>
      </c>
      <c r="AV171" s="53"/>
      <c r="AW171" s="53">
        <v>0</v>
      </c>
      <c r="AX171" s="53"/>
      <c r="AY171" s="53">
        <f t="shared" si="46"/>
        <v>2292394</v>
      </c>
      <c r="AZ171" s="53"/>
      <c r="BA171" s="35" t="s">
        <v>204</v>
      </c>
      <c r="BC171" s="35" t="s">
        <v>125</v>
      </c>
      <c r="BD171" s="53"/>
      <c r="BE171" s="53">
        <v>600000</v>
      </c>
      <c r="BF171" s="53"/>
      <c r="BG171" s="53">
        <v>0</v>
      </c>
      <c r="BH171" s="53"/>
      <c r="BI171" s="53">
        <v>440443</v>
      </c>
      <c r="BJ171" s="53"/>
      <c r="BK171" s="53">
        <v>0</v>
      </c>
      <c r="BL171" s="53"/>
      <c r="BM171" s="53">
        <f t="shared" si="47"/>
        <v>1040443</v>
      </c>
      <c r="BN171" s="54" t="s">
        <v>347</v>
      </c>
      <c r="BR171" s="51"/>
      <c r="BS171" s="53"/>
      <c r="BT171" s="53"/>
      <c r="BU171" s="53"/>
      <c r="BV171" s="53"/>
      <c r="BW171" s="53"/>
      <c r="BX171" s="45"/>
      <c r="BY171" s="45"/>
      <c r="BZ171" s="53"/>
      <c r="CA171" s="53"/>
      <c r="CB171" s="53"/>
      <c r="CC171" s="53"/>
      <c r="CD171" s="53"/>
      <c r="CE171" s="53"/>
      <c r="CF171" s="35"/>
      <c r="CH171" s="35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4"/>
    </row>
    <row r="172" spans="1:98" s="143" customFormat="1" ht="12.75" hidden="1" customHeight="1">
      <c r="A172" s="126" t="s">
        <v>205</v>
      </c>
      <c r="B172" s="124"/>
      <c r="C172" s="126" t="s">
        <v>27</v>
      </c>
      <c r="D172" s="121"/>
      <c r="E172" s="140"/>
      <c r="F172" s="140"/>
      <c r="G172" s="140"/>
      <c r="H172" s="140"/>
      <c r="I172" s="140"/>
      <c r="J172" s="140"/>
      <c r="K172" s="53">
        <f t="shared" si="43"/>
        <v>0</v>
      </c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>
        <f t="shared" si="48"/>
        <v>0</v>
      </c>
      <c r="X172" s="140"/>
      <c r="Y172" s="126" t="s">
        <v>205</v>
      </c>
      <c r="AA172" s="126" t="s">
        <v>27</v>
      </c>
      <c r="AB172" s="126"/>
      <c r="AC172" s="140"/>
      <c r="AD172" s="140"/>
      <c r="AE172" s="140"/>
      <c r="AF172" s="140"/>
      <c r="AG172" s="140"/>
      <c r="AH172" s="140"/>
      <c r="AI172" s="127">
        <f t="shared" si="45"/>
        <v>0</v>
      </c>
      <c r="AJ172" s="127"/>
      <c r="AK172" s="140"/>
      <c r="AL172" s="127"/>
      <c r="AM172" s="53">
        <v>0</v>
      </c>
      <c r="AN172" s="53"/>
      <c r="AO172" s="53">
        <v>0</v>
      </c>
      <c r="AP172" s="140"/>
      <c r="AQ172" s="140">
        <v>0</v>
      </c>
      <c r="AR172" s="140"/>
      <c r="AS172" s="45">
        <f t="shared" si="40"/>
        <v>0</v>
      </c>
      <c r="AT172" s="127"/>
      <c r="AU172" s="140">
        <v>0</v>
      </c>
      <c r="AV172" s="140"/>
      <c r="AW172" s="140">
        <v>0</v>
      </c>
      <c r="AX172" s="140"/>
      <c r="AY172" s="140">
        <f t="shared" si="46"/>
        <v>0</v>
      </c>
      <c r="AZ172" s="140"/>
      <c r="BA172" s="126" t="s">
        <v>205</v>
      </c>
      <c r="BC172" s="126" t="s">
        <v>27</v>
      </c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>
        <f t="shared" si="47"/>
        <v>0</v>
      </c>
      <c r="BN172" s="142" t="s">
        <v>347</v>
      </c>
      <c r="BR172" s="124"/>
      <c r="BS172" s="140"/>
      <c r="BT172" s="140"/>
      <c r="BU172" s="140"/>
      <c r="BV172" s="140"/>
      <c r="BW172" s="140"/>
      <c r="BX172" s="127"/>
      <c r="BY172" s="127"/>
      <c r="BZ172" s="140"/>
      <c r="CA172" s="140"/>
      <c r="CB172" s="140"/>
      <c r="CC172" s="140"/>
      <c r="CD172" s="140"/>
      <c r="CE172" s="140"/>
      <c r="CF172" s="126"/>
      <c r="CH172" s="126"/>
      <c r="CI172" s="140"/>
      <c r="CJ172" s="140"/>
      <c r="CK172" s="140"/>
      <c r="CL172" s="140"/>
      <c r="CM172" s="140"/>
      <c r="CN172" s="140"/>
      <c r="CO172" s="140"/>
      <c r="CP172" s="140"/>
      <c r="CQ172" s="140"/>
      <c r="CR172" s="140"/>
      <c r="CS172" s="142"/>
    </row>
    <row r="173" spans="1:98" s="55" customFormat="1" ht="12.75" customHeight="1">
      <c r="A173" s="35" t="s">
        <v>206</v>
      </c>
      <c r="C173" s="35" t="s">
        <v>47</v>
      </c>
      <c r="D173" s="44"/>
      <c r="E173" s="53">
        <v>7798385</v>
      </c>
      <c r="F173" s="53"/>
      <c r="G173" s="53">
        <v>41909234</v>
      </c>
      <c r="H173" s="53"/>
      <c r="I173" s="53">
        <v>49707619</v>
      </c>
      <c r="J173" s="53"/>
      <c r="K173" s="53">
        <f t="shared" si="43"/>
        <v>13732152</v>
      </c>
      <c r="L173" s="53"/>
      <c r="M173" s="53">
        <f>45548+144655+5442047</f>
        <v>5632250</v>
      </c>
      <c r="N173" s="53"/>
      <c r="O173" s="53">
        <v>19364402</v>
      </c>
      <c r="P173" s="53"/>
      <c r="Q173" s="53">
        <v>22853242</v>
      </c>
      <c r="R173" s="53"/>
      <c r="S173" s="53">
        <v>0</v>
      </c>
      <c r="T173" s="53"/>
      <c r="U173" s="53">
        <v>7489975</v>
      </c>
      <c r="V173" s="53"/>
      <c r="W173" s="53">
        <f t="shared" si="48"/>
        <v>30343217</v>
      </c>
      <c r="X173" s="53"/>
      <c r="Y173" s="35" t="s">
        <v>206</v>
      </c>
      <c r="AA173" s="35" t="s">
        <v>47</v>
      </c>
      <c r="AB173" s="35"/>
      <c r="AC173" s="53">
        <v>5045250</v>
      </c>
      <c r="AD173" s="53"/>
      <c r="AE173" s="53">
        <f>2301447-110943</f>
        <v>2190504</v>
      </c>
      <c r="AF173" s="53"/>
      <c r="AG173" s="53">
        <v>110943</v>
      </c>
      <c r="AH173" s="53"/>
      <c r="AI173" s="45">
        <f t="shared" si="45"/>
        <v>2743803</v>
      </c>
      <c r="AJ173" s="45"/>
      <c r="AK173" s="53">
        <v>-788969</v>
      </c>
      <c r="AL173" s="45"/>
      <c r="AM173" s="53">
        <v>254023</v>
      </c>
      <c r="AN173" s="53"/>
      <c r="AO173" s="53">
        <v>0</v>
      </c>
      <c r="AP173" s="53"/>
      <c r="AQ173" s="53">
        <v>146134</v>
      </c>
      <c r="AR173" s="53"/>
      <c r="AS173" s="45">
        <f t="shared" si="40"/>
        <v>2354991</v>
      </c>
      <c r="AT173" s="45"/>
      <c r="AU173" s="53">
        <v>0</v>
      </c>
      <c r="AV173" s="53"/>
      <c r="AW173" s="53">
        <v>0</v>
      </c>
      <c r="AX173" s="53"/>
      <c r="AY173" s="53">
        <f t="shared" si="46"/>
        <v>-5933767</v>
      </c>
      <c r="AZ173" s="53"/>
      <c r="BA173" s="35" t="s">
        <v>206</v>
      </c>
      <c r="BC173" s="35" t="s">
        <v>47</v>
      </c>
      <c r="BD173" s="53"/>
      <c r="BE173" s="53">
        <v>0</v>
      </c>
      <c r="BF173" s="53"/>
      <c r="BG173" s="53">
        <v>0</v>
      </c>
      <c r="BH173" s="53"/>
      <c r="BI173" s="53">
        <v>522545</v>
      </c>
      <c r="BJ173" s="53"/>
      <c r="BK173" s="53">
        <v>0</v>
      </c>
      <c r="BL173" s="53"/>
      <c r="BM173" s="53">
        <f t="shared" si="47"/>
        <v>522545</v>
      </c>
      <c r="BN173" s="54" t="s">
        <v>347</v>
      </c>
      <c r="BR173" s="51"/>
      <c r="BS173" s="53"/>
      <c r="BT173" s="53"/>
      <c r="BU173" s="53"/>
      <c r="BV173" s="53"/>
      <c r="BW173" s="53"/>
      <c r="BX173" s="45"/>
      <c r="BY173" s="45"/>
      <c r="BZ173" s="53"/>
      <c r="CA173" s="53"/>
      <c r="CB173" s="53"/>
      <c r="CC173" s="53"/>
      <c r="CD173" s="53"/>
      <c r="CE173" s="53"/>
      <c r="CF173" s="35"/>
      <c r="CH173" s="35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4"/>
    </row>
    <row r="174" spans="1:98" s="55" customFormat="1" ht="12.75" customHeight="1">
      <c r="A174" s="35"/>
      <c r="C174" s="35"/>
      <c r="D174" s="44"/>
      <c r="E174" s="53"/>
      <c r="F174" s="53"/>
      <c r="G174" s="53"/>
      <c r="H174" s="53"/>
      <c r="I174" s="53"/>
      <c r="J174" s="5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 t="s">
        <v>484</v>
      </c>
      <c r="X174" s="53"/>
      <c r="Y174" s="35"/>
      <c r="AA174" s="35"/>
      <c r="AB174" s="35"/>
      <c r="AC174" s="53"/>
      <c r="AD174" s="53"/>
      <c r="AE174" s="53"/>
      <c r="AF174" s="53"/>
      <c r="AG174" s="53"/>
      <c r="AH174" s="53"/>
      <c r="AI174" s="45"/>
      <c r="AJ174" s="45"/>
      <c r="AK174" s="53"/>
      <c r="AL174" s="45"/>
      <c r="AM174" s="53"/>
      <c r="AN174" s="53"/>
      <c r="AO174" s="53"/>
      <c r="AP174" s="53"/>
      <c r="AQ174" s="53"/>
      <c r="AR174" s="53"/>
      <c r="AS174" s="45"/>
      <c r="AT174" s="45"/>
      <c r="AU174" s="53"/>
      <c r="AV174" s="53"/>
      <c r="AW174" s="53"/>
      <c r="AX174" s="53"/>
      <c r="AY174" s="53" t="s">
        <v>484</v>
      </c>
      <c r="AZ174" s="53"/>
      <c r="BA174" s="35"/>
      <c r="BC174" s="35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 t="s">
        <v>484</v>
      </c>
      <c r="BN174" s="54"/>
      <c r="BR174" s="51"/>
      <c r="BS174" s="53"/>
      <c r="BT174" s="53"/>
      <c r="BU174" s="53"/>
      <c r="BV174" s="53"/>
      <c r="BW174" s="53"/>
      <c r="BX174" s="45"/>
      <c r="BY174" s="45"/>
      <c r="BZ174" s="53"/>
      <c r="CA174" s="53"/>
      <c r="CB174" s="53"/>
      <c r="CC174" s="53"/>
      <c r="CD174" s="53"/>
      <c r="CE174" s="53"/>
      <c r="CF174" s="35"/>
      <c r="CH174" s="35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4"/>
    </row>
    <row r="175" spans="1:98" s="90" customFormat="1" ht="12.75" customHeight="1">
      <c r="A175" s="64" t="s">
        <v>207</v>
      </c>
      <c r="B175" s="66"/>
      <c r="C175" s="64" t="s">
        <v>102</v>
      </c>
      <c r="D175" s="46"/>
      <c r="E175" s="79">
        <v>2549496</v>
      </c>
      <c r="F175" s="79"/>
      <c r="G175" s="79">
        <v>18724374</v>
      </c>
      <c r="H175" s="79"/>
      <c r="I175" s="79">
        <v>21273870</v>
      </c>
      <c r="J175" s="79"/>
      <c r="K175" s="53">
        <f t="shared" si="43"/>
        <v>1051050</v>
      </c>
      <c r="L175" s="79"/>
      <c r="M175" s="79">
        <v>6069802</v>
      </c>
      <c r="N175" s="79"/>
      <c r="O175" s="79">
        <v>7120852</v>
      </c>
      <c r="P175" s="79"/>
      <c r="Q175" s="79">
        <v>11929669</v>
      </c>
      <c r="R175" s="79"/>
      <c r="S175" s="79">
        <v>0</v>
      </c>
      <c r="T175" s="79"/>
      <c r="U175" s="79">
        <v>14971515</v>
      </c>
      <c r="V175" s="79"/>
      <c r="W175" s="79">
        <f t="shared" si="48"/>
        <v>26901184</v>
      </c>
      <c r="X175" s="79"/>
      <c r="Y175" s="64" t="s">
        <v>207</v>
      </c>
      <c r="AA175" s="64" t="s">
        <v>102</v>
      </c>
      <c r="AB175" s="64"/>
      <c r="AC175" s="79">
        <v>2238365</v>
      </c>
      <c r="AD175" s="79"/>
      <c r="AE175" s="79">
        <f>2049502-477690</f>
        <v>1571812</v>
      </c>
      <c r="AF175" s="79"/>
      <c r="AG175" s="79">
        <v>477690</v>
      </c>
      <c r="AH175" s="79"/>
      <c r="AI175" s="94">
        <f t="shared" si="45"/>
        <v>188863</v>
      </c>
      <c r="AJ175" s="94"/>
      <c r="AK175" s="79">
        <v>-220199</v>
      </c>
      <c r="AL175" s="94"/>
      <c r="AM175" s="53">
        <v>0</v>
      </c>
      <c r="AN175" s="53"/>
      <c r="AO175" s="53">
        <v>0</v>
      </c>
      <c r="AP175" s="79"/>
      <c r="AQ175" s="79">
        <v>209471</v>
      </c>
      <c r="AR175" s="79"/>
      <c r="AS175" s="45">
        <f t="shared" si="40"/>
        <v>178135</v>
      </c>
      <c r="AT175" s="94"/>
      <c r="AU175" s="79">
        <v>0</v>
      </c>
      <c r="AV175" s="79"/>
      <c r="AW175" s="79">
        <v>0</v>
      </c>
      <c r="AX175" s="79"/>
      <c r="AY175" s="79">
        <f t="shared" si="46"/>
        <v>1498446</v>
      </c>
      <c r="AZ175" s="79"/>
      <c r="BA175" s="64" t="s">
        <v>207</v>
      </c>
      <c r="BC175" s="64" t="s">
        <v>102</v>
      </c>
      <c r="BD175" s="79"/>
      <c r="BE175" s="79">
        <f>1255000+5354-136259+2115000</f>
        <v>3239095</v>
      </c>
      <c r="BF175" s="79"/>
      <c r="BG175" s="79">
        <v>0</v>
      </c>
      <c r="BH175" s="79"/>
      <c r="BI175" s="79">
        <v>0</v>
      </c>
      <c r="BJ175" s="79"/>
      <c r="BK175" s="79">
        <v>0</v>
      </c>
      <c r="BL175" s="79"/>
      <c r="BM175" s="79">
        <f t="shared" si="47"/>
        <v>3239095</v>
      </c>
      <c r="BN175" s="91"/>
      <c r="BR175" s="66"/>
      <c r="BS175" s="79"/>
      <c r="BT175" s="79"/>
      <c r="BU175" s="79"/>
      <c r="BV175" s="79"/>
      <c r="BW175" s="79"/>
      <c r="BX175" s="94"/>
      <c r="BY175" s="94"/>
      <c r="BZ175" s="79"/>
      <c r="CA175" s="79"/>
      <c r="CB175" s="79"/>
      <c r="CC175" s="79"/>
      <c r="CD175" s="79"/>
      <c r="CE175" s="79"/>
      <c r="CF175" s="64"/>
      <c r="CH175" s="64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91"/>
    </row>
    <row r="176" spans="1:98" s="55" customFormat="1" ht="12.75" customHeight="1">
      <c r="A176" s="35" t="s">
        <v>208</v>
      </c>
      <c r="B176" s="51"/>
      <c r="C176" s="35" t="s">
        <v>209</v>
      </c>
      <c r="D176" s="44"/>
      <c r="E176" s="53">
        <v>1562729</v>
      </c>
      <c r="F176" s="53"/>
      <c r="G176" s="53">
        <v>10737822</v>
      </c>
      <c r="H176" s="53"/>
      <c r="I176" s="53">
        <v>10751455</v>
      </c>
      <c r="J176" s="53"/>
      <c r="K176" s="53">
        <f t="shared" si="43"/>
        <v>1237615</v>
      </c>
      <c r="L176" s="53"/>
      <c r="M176" s="53">
        <v>1145172</v>
      </c>
      <c r="N176" s="53"/>
      <c r="O176" s="53">
        <v>2382787</v>
      </c>
      <c r="P176" s="53"/>
      <c r="Q176" s="53">
        <v>8104748</v>
      </c>
      <c r="R176" s="53"/>
      <c r="S176" s="53">
        <v>50000</v>
      </c>
      <c r="T176" s="53"/>
      <c r="U176" s="53">
        <v>631477</v>
      </c>
      <c r="V176" s="53"/>
      <c r="W176" s="53">
        <f t="shared" si="48"/>
        <v>8786225</v>
      </c>
      <c r="X176" s="53"/>
      <c r="Y176" s="35" t="s">
        <v>208</v>
      </c>
      <c r="AA176" s="35" t="s">
        <v>209</v>
      </c>
      <c r="AB176" s="35"/>
      <c r="AC176" s="53">
        <v>3089398</v>
      </c>
      <c r="AD176" s="53"/>
      <c r="AE176" s="53">
        <f>2720060-942733</f>
        <v>1777327</v>
      </c>
      <c r="AF176" s="53"/>
      <c r="AG176" s="53">
        <v>942733</v>
      </c>
      <c r="AH176" s="53"/>
      <c r="AI176" s="45">
        <f t="shared" si="45"/>
        <v>369338</v>
      </c>
      <c r="AJ176" s="45"/>
      <c r="AK176" s="53">
        <v>-98568</v>
      </c>
      <c r="AL176" s="45"/>
      <c r="AM176" s="53">
        <v>0</v>
      </c>
      <c r="AN176" s="53"/>
      <c r="AO176" s="53">
        <v>0</v>
      </c>
      <c r="AP176" s="53"/>
      <c r="AQ176" s="53">
        <v>0</v>
      </c>
      <c r="AR176" s="53"/>
      <c r="AS176" s="45">
        <f t="shared" si="40"/>
        <v>270770</v>
      </c>
      <c r="AT176" s="45"/>
      <c r="AU176" s="53">
        <v>0</v>
      </c>
      <c r="AV176" s="53"/>
      <c r="AW176" s="53">
        <v>0</v>
      </c>
      <c r="AX176" s="53"/>
      <c r="AY176" s="53">
        <f t="shared" si="46"/>
        <v>325114</v>
      </c>
      <c r="AZ176" s="53"/>
      <c r="BA176" s="35" t="s">
        <v>208</v>
      </c>
      <c r="BC176" s="35" t="s">
        <v>209</v>
      </c>
      <c r="BD176" s="53"/>
      <c r="BE176" s="53">
        <v>0</v>
      </c>
      <c r="BF176" s="53"/>
      <c r="BG176" s="53">
        <v>0</v>
      </c>
      <c r="BH176" s="53"/>
      <c r="BI176" s="53">
        <v>0</v>
      </c>
      <c r="BJ176" s="53"/>
      <c r="BK176" s="53">
        <v>0</v>
      </c>
      <c r="BL176" s="53"/>
      <c r="BM176" s="53">
        <f t="shared" si="47"/>
        <v>0</v>
      </c>
      <c r="BN176" s="54" t="s">
        <v>347</v>
      </c>
      <c r="BR176" s="51"/>
      <c r="BS176" s="53"/>
      <c r="BT176" s="53"/>
      <c r="BU176" s="53"/>
      <c r="BV176" s="53"/>
      <c r="BW176" s="45"/>
      <c r="BX176" s="45"/>
      <c r="BY176" s="53"/>
      <c r="BZ176" s="53"/>
      <c r="CA176" s="53"/>
      <c r="CB176" s="53"/>
      <c r="CC176" s="53"/>
      <c r="CD176" s="53"/>
      <c r="CE176" s="53"/>
      <c r="CF176" s="35"/>
      <c r="CH176" s="35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4"/>
    </row>
    <row r="177" spans="1:99" s="55" customFormat="1" ht="12.75" customHeight="1">
      <c r="A177" s="46" t="s">
        <v>210</v>
      </c>
      <c r="B177" s="90"/>
      <c r="C177" s="46" t="s">
        <v>211</v>
      </c>
      <c r="D177" s="46"/>
      <c r="E177" s="53">
        <v>1766016</v>
      </c>
      <c r="F177" s="53"/>
      <c r="G177" s="53">
        <v>15689180</v>
      </c>
      <c r="H177" s="53"/>
      <c r="I177" s="53">
        <v>17455196</v>
      </c>
      <c r="J177" s="53"/>
      <c r="K177" s="53">
        <f t="shared" si="43"/>
        <v>1154880</v>
      </c>
      <c r="L177" s="53"/>
      <c r="M177" s="53">
        <v>9765284</v>
      </c>
      <c r="N177" s="53"/>
      <c r="O177" s="53">
        <v>10920164</v>
      </c>
      <c r="P177" s="53"/>
      <c r="Q177" s="53">
        <v>5785271</v>
      </c>
      <c r="R177" s="53"/>
      <c r="S177" s="53">
        <v>0</v>
      </c>
      <c r="T177" s="53"/>
      <c r="U177" s="53">
        <v>749761</v>
      </c>
      <c r="V177" s="53"/>
      <c r="W177" s="53">
        <f t="shared" si="48"/>
        <v>6535032</v>
      </c>
      <c r="X177" s="79"/>
      <c r="Y177" s="46" t="s">
        <v>210</v>
      </c>
      <c r="Z177" s="90"/>
      <c r="AA177" s="46" t="s">
        <v>211</v>
      </c>
      <c r="AB177" s="46"/>
      <c r="AC177" s="53">
        <v>2455082</v>
      </c>
      <c r="AD177" s="53"/>
      <c r="AE177" s="53">
        <f>2375020-250989</f>
        <v>2124031</v>
      </c>
      <c r="AF177" s="53"/>
      <c r="AG177" s="53">
        <v>250989</v>
      </c>
      <c r="AH177" s="53"/>
      <c r="AI177" s="45">
        <f t="shared" si="45"/>
        <v>80062</v>
      </c>
      <c r="AJ177" s="45"/>
      <c r="AK177" s="53">
        <v>-308729</v>
      </c>
      <c r="AL177" s="45"/>
      <c r="AM177" s="53">
        <v>794</v>
      </c>
      <c r="AN177" s="53"/>
      <c r="AO177" s="53">
        <v>0</v>
      </c>
      <c r="AP177" s="53"/>
      <c r="AQ177" s="53">
        <v>907509</v>
      </c>
      <c r="AR177" s="53"/>
      <c r="AS177" s="45">
        <f t="shared" si="40"/>
        <v>679636</v>
      </c>
      <c r="AT177" s="45"/>
      <c r="AU177" s="53">
        <v>0</v>
      </c>
      <c r="AV177" s="53"/>
      <c r="AW177" s="53">
        <v>0</v>
      </c>
      <c r="AX177" s="53"/>
      <c r="AY177" s="53">
        <f t="shared" si="46"/>
        <v>611136</v>
      </c>
      <c r="AZ177" s="79"/>
      <c r="BA177" s="46" t="s">
        <v>210</v>
      </c>
      <c r="BB177" s="90"/>
      <c r="BC177" s="46" t="s">
        <v>211</v>
      </c>
      <c r="BD177" s="79"/>
      <c r="BE177" s="53">
        <v>0</v>
      </c>
      <c r="BF177" s="53"/>
      <c r="BG177" s="53">
        <v>0</v>
      </c>
      <c r="BH177" s="53"/>
      <c r="BI177" s="53">
        <v>0</v>
      </c>
      <c r="BJ177" s="53"/>
      <c r="BK177" s="53">
        <v>0</v>
      </c>
      <c r="BL177" s="53"/>
      <c r="BM177" s="53">
        <f t="shared" si="47"/>
        <v>0</v>
      </c>
      <c r="BN177" s="54" t="s">
        <v>347</v>
      </c>
      <c r="BO177" s="35"/>
      <c r="BP177" s="35"/>
      <c r="BR177" s="51"/>
      <c r="BS177" s="53"/>
      <c r="BT177" s="53"/>
      <c r="BU177" s="53"/>
      <c r="BV177" s="53"/>
      <c r="BW177" s="45"/>
      <c r="BX177" s="45"/>
      <c r="BY177" s="53"/>
      <c r="BZ177" s="53"/>
      <c r="CA177" s="53"/>
      <c r="CB177" s="53"/>
      <c r="CC177" s="53"/>
      <c r="CD177" s="53"/>
      <c r="CE177" s="53"/>
      <c r="CF177" s="35"/>
      <c r="CH177" s="35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4"/>
      <c r="CT177" s="35"/>
      <c r="CU177" s="35"/>
    </row>
    <row r="178" spans="1:99" s="55" customFormat="1" ht="12.75" customHeight="1">
      <c r="A178" s="44" t="s">
        <v>212</v>
      </c>
      <c r="B178" s="51"/>
      <c r="C178" s="44" t="s">
        <v>213</v>
      </c>
      <c r="D178" s="44"/>
      <c r="E178" s="53">
        <v>2069325</v>
      </c>
      <c r="F178" s="53"/>
      <c r="G178" s="53">
        <v>2930446</v>
      </c>
      <c r="H178" s="53"/>
      <c r="I178" s="53">
        <v>4999771</v>
      </c>
      <c r="J178" s="53"/>
      <c r="K178" s="53">
        <f t="shared" si="43"/>
        <v>430124</v>
      </c>
      <c r="L178" s="53"/>
      <c r="M178" s="53">
        <v>2872087</v>
      </c>
      <c r="N178" s="53"/>
      <c r="O178" s="53">
        <v>3302211</v>
      </c>
      <c r="P178" s="53"/>
      <c r="Q178" s="53">
        <v>1332639</v>
      </c>
      <c r="R178" s="53"/>
      <c r="S178" s="53">
        <v>0</v>
      </c>
      <c r="T178" s="53"/>
      <c r="U178" s="53">
        <v>364921</v>
      </c>
      <c r="V178" s="53"/>
      <c r="W178" s="53">
        <f t="shared" si="48"/>
        <v>1697560</v>
      </c>
      <c r="X178" s="53"/>
      <c r="Y178" s="44" t="s">
        <v>212</v>
      </c>
      <c r="AA178" s="44" t="s">
        <v>213</v>
      </c>
      <c r="AB178" s="44"/>
      <c r="AC178" s="53">
        <v>2631084</v>
      </c>
      <c r="AD178" s="53"/>
      <c r="AE178" s="53">
        <f>2824461-148312</f>
        <v>2676149</v>
      </c>
      <c r="AF178" s="53"/>
      <c r="AG178" s="53">
        <v>148312</v>
      </c>
      <c r="AH178" s="53"/>
      <c r="AI178" s="45">
        <f t="shared" si="45"/>
        <v>-193377</v>
      </c>
      <c r="AJ178" s="45"/>
      <c r="AK178" s="53">
        <v>171756</v>
      </c>
      <c r="AL178" s="45"/>
      <c r="AM178" s="53">
        <v>0</v>
      </c>
      <c r="AN178" s="53"/>
      <c r="AO178" s="53">
        <v>0</v>
      </c>
      <c r="AP178" s="53"/>
      <c r="AQ178" s="53">
        <v>136100</v>
      </c>
      <c r="AR178" s="53"/>
      <c r="AS178" s="45">
        <f t="shared" si="40"/>
        <v>114479</v>
      </c>
      <c r="AT178" s="45"/>
      <c r="AU178" s="53">
        <v>0</v>
      </c>
      <c r="AV178" s="53"/>
      <c r="AW178" s="53">
        <v>0</v>
      </c>
      <c r="AX178" s="53"/>
      <c r="AY178" s="53">
        <f t="shared" si="46"/>
        <v>1639201</v>
      </c>
      <c r="AZ178" s="53"/>
      <c r="BA178" s="44" t="s">
        <v>212</v>
      </c>
      <c r="BC178" s="44" t="s">
        <v>213</v>
      </c>
      <c r="BD178" s="53"/>
      <c r="BE178" s="53">
        <v>0</v>
      </c>
      <c r="BF178" s="53"/>
      <c r="BG178" s="53">
        <v>0</v>
      </c>
      <c r="BH178" s="53"/>
      <c r="BI178" s="53">
        <v>913377</v>
      </c>
      <c r="BJ178" s="53"/>
      <c r="BK178" s="53">
        <v>0</v>
      </c>
      <c r="BL178" s="53"/>
      <c r="BM178" s="53">
        <f t="shared" si="47"/>
        <v>913377</v>
      </c>
      <c r="BN178" s="54" t="s">
        <v>347</v>
      </c>
      <c r="BO178" s="55" t="s">
        <v>404</v>
      </c>
      <c r="BR178" s="51"/>
      <c r="BS178" s="53"/>
      <c r="BT178" s="53"/>
      <c r="BU178" s="53"/>
      <c r="BV178" s="53"/>
      <c r="BW178" s="53"/>
      <c r="BX178" s="45"/>
      <c r="BY178" s="45"/>
      <c r="BZ178" s="53"/>
      <c r="CA178" s="53"/>
      <c r="CB178" s="53"/>
      <c r="CC178" s="53"/>
      <c r="CD178" s="53"/>
      <c r="CE178" s="53"/>
      <c r="CF178" s="35"/>
      <c r="CH178" s="35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4"/>
    </row>
    <row r="179" spans="1:99" s="143" customFormat="1" ht="12.75" hidden="1" customHeight="1">
      <c r="A179" s="121" t="s">
        <v>214</v>
      </c>
      <c r="B179" s="124"/>
      <c r="C179" s="121" t="s">
        <v>86</v>
      </c>
      <c r="D179" s="121"/>
      <c r="E179" s="140"/>
      <c r="F179" s="140"/>
      <c r="G179" s="140"/>
      <c r="H179" s="140"/>
      <c r="I179" s="140"/>
      <c r="J179" s="140"/>
      <c r="K179" s="53">
        <f t="shared" si="43"/>
        <v>0</v>
      </c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>
        <f t="shared" si="48"/>
        <v>0</v>
      </c>
      <c r="X179" s="140"/>
      <c r="Y179" s="121" t="s">
        <v>214</v>
      </c>
      <c r="AA179" s="121" t="s">
        <v>86</v>
      </c>
      <c r="AB179" s="121"/>
      <c r="AC179" s="140"/>
      <c r="AD179" s="140"/>
      <c r="AE179" s="140"/>
      <c r="AF179" s="140"/>
      <c r="AG179" s="140"/>
      <c r="AH179" s="140"/>
      <c r="AI179" s="127">
        <f t="shared" si="45"/>
        <v>0</v>
      </c>
      <c r="AJ179" s="127"/>
      <c r="AK179" s="140"/>
      <c r="AL179" s="127"/>
      <c r="AM179" s="53">
        <v>0</v>
      </c>
      <c r="AN179" s="53"/>
      <c r="AO179" s="53">
        <v>0</v>
      </c>
      <c r="AP179" s="140"/>
      <c r="AQ179" s="140">
        <v>0</v>
      </c>
      <c r="AR179" s="140"/>
      <c r="AS179" s="45">
        <f t="shared" si="40"/>
        <v>0</v>
      </c>
      <c r="AT179" s="127"/>
      <c r="AU179" s="140">
        <v>0</v>
      </c>
      <c r="AV179" s="140"/>
      <c r="AW179" s="140">
        <v>0</v>
      </c>
      <c r="AX179" s="140"/>
      <c r="AY179" s="140">
        <f t="shared" si="46"/>
        <v>0</v>
      </c>
      <c r="AZ179" s="140"/>
      <c r="BA179" s="121" t="s">
        <v>214</v>
      </c>
      <c r="BC179" s="121" t="s">
        <v>86</v>
      </c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>
        <f t="shared" si="47"/>
        <v>0</v>
      </c>
      <c r="BN179" s="142" t="s">
        <v>347</v>
      </c>
      <c r="BO179" s="143" t="s">
        <v>404</v>
      </c>
      <c r="BR179" s="124"/>
      <c r="BS179" s="140"/>
      <c r="BT179" s="140"/>
      <c r="BU179" s="140"/>
      <c r="BV179" s="140"/>
      <c r="BW179" s="140"/>
      <c r="BX179" s="127"/>
      <c r="BY179" s="127"/>
      <c r="BZ179" s="140"/>
      <c r="CA179" s="140"/>
      <c r="CB179" s="140"/>
      <c r="CC179" s="140"/>
      <c r="CD179" s="140"/>
      <c r="CE179" s="140"/>
      <c r="CF179" s="126"/>
      <c r="CH179" s="126"/>
      <c r="CI179" s="140"/>
      <c r="CJ179" s="140"/>
      <c r="CK179" s="140"/>
      <c r="CL179" s="140"/>
      <c r="CM179" s="140"/>
      <c r="CN179" s="140"/>
      <c r="CO179" s="140"/>
      <c r="CP179" s="140"/>
      <c r="CQ179" s="140"/>
      <c r="CR179" s="140"/>
      <c r="CS179" s="142"/>
    </row>
    <row r="180" spans="1:99" s="55" customFormat="1" ht="12.75" customHeight="1">
      <c r="A180" s="35" t="s">
        <v>215</v>
      </c>
      <c r="C180" s="35" t="s">
        <v>22</v>
      </c>
      <c r="D180" s="44"/>
      <c r="E180" s="53">
        <v>6367498</v>
      </c>
      <c r="F180" s="53"/>
      <c r="G180" s="53">
        <v>15225738</v>
      </c>
      <c r="H180" s="53"/>
      <c r="I180" s="53">
        <v>21593236</v>
      </c>
      <c r="J180" s="53"/>
      <c r="K180" s="53">
        <f t="shared" si="43"/>
        <v>0</v>
      </c>
      <c r="L180" s="53"/>
      <c r="M180" s="53">
        <v>17798696</v>
      </c>
      <c r="N180" s="53"/>
      <c r="O180" s="53">
        <v>17798696</v>
      </c>
      <c r="P180" s="53"/>
      <c r="Q180" s="53">
        <v>2528204</v>
      </c>
      <c r="R180" s="53"/>
      <c r="S180" s="53">
        <v>0</v>
      </c>
      <c r="T180" s="53"/>
      <c r="U180" s="53">
        <v>1266336</v>
      </c>
      <c r="V180" s="53"/>
      <c r="W180" s="53">
        <f t="shared" si="48"/>
        <v>3794540</v>
      </c>
      <c r="X180" s="53"/>
      <c r="Y180" s="35" t="s">
        <v>215</v>
      </c>
      <c r="AA180" s="35" t="s">
        <v>22</v>
      </c>
      <c r="AB180" s="35"/>
      <c r="AC180" s="53">
        <v>3135844</v>
      </c>
      <c r="AD180" s="53"/>
      <c r="AE180" s="53">
        <f>2524084-566285</f>
        <v>1957799</v>
      </c>
      <c r="AF180" s="53"/>
      <c r="AG180" s="53">
        <v>566285</v>
      </c>
      <c r="AH180" s="53"/>
      <c r="AI180" s="45">
        <f t="shared" si="45"/>
        <v>611760</v>
      </c>
      <c r="AJ180" s="45"/>
      <c r="AK180" s="53">
        <v>-525633</v>
      </c>
      <c r="AL180" s="45"/>
      <c r="AM180" s="53">
        <v>413080</v>
      </c>
      <c r="AN180" s="53"/>
      <c r="AO180" s="53">
        <v>0</v>
      </c>
      <c r="AP180" s="53"/>
      <c r="AQ180" s="53">
        <v>0</v>
      </c>
      <c r="AR180" s="53"/>
      <c r="AS180" s="45">
        <f t="shared" si="40"/>
        <v>499207</v>
      </c>
      <c r="AT180" s="45"/>
      <c r="AU180" s="53">
        <v>0</v>
      </c>
      <c r="AV180" s="53"/>
      <c r="AW180" s="53">
        <v>0</v>
      </c>
      <c r="AX180" s="53"/>
      <c r="AY180" s="53">
        <f t="shared" si="46"/>
        <v>6367498</v>
      </c>
      <c r="AZ180" s="53"/>
      <c r="BA180" s="35" t="s">
        <v>215</v>
      </c>
      <c r="BC180" s="35" t="s">
        <v>22</v>
      </c>
      <c r="BD180" s="53"/>
      <c r="BE180" s="53">
        <v>0</v>
      </c>
      <c r="BF180" s="53"/>
      <c r="BG180" s="53">
        <v>0</v>
      </c>
      <c r="BH180" s="53"/>
      <c r="BI180" s="53">
        <v>13959980</v>
      </c>
      <c r="BJ180" s="53"/>
      <c r="BK180" s="53">
        <f>55044+455217</f>
        <v>510261</v>
      </c>
      <c r="BL180" s="53"/>
      <c r="BM180" s="53">
        <f t="shared" si="47"/>
        <v>14470241</v>
      </c>
      <c r="BN180" s="54" t="s">
        <v>347</v>
      </c>
      <c r="BR180" s="51"/>
      <c r="BS180" s="53"/>
      <c r="BT180" s="53"/>
      <c r="BU180" s="53"/>
      <c r="BV180" s="53"/>
      <c r="BW180" s="53"/>
      <c r="BX180" s="45"/>
      <c r="BY180" s="45"/>
      <c r="BZ180" s="53"/>
      <c r="CA180" s="53"/>
      <c r="CB180" s="53"/>
      <c r="CC180" s="53"/>
      <c r="CD180" s="53"/>
      <c r="CE180" s="53"/>
      <c r="CF180" s="35"/>
      <c r="CH180" s="35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4"/>
    </row>
    <row r="181" spans="1:99" s="143" customFormat="1" ht="12.75" hidden="1" customHeight="1">
      <c r="A181" s="126" t="s">
        <v>216</v>
      </c>
      <c r="B181" s="124"/>
      <c r="C181" s="126" t="s">
        <v>45</v>
      </c>
      <c r="D181" s="121"/>
      <c r="E181" s="140"/>
      <c r="F181" s="140"/>
      <c r="G181" s="140"/>
      <c r="H181" s="140"/>
      <c r="I181" s="140"/>
      <c r="J181" s="140"/>
      <c r="K181" s="53">
        <f t="shared" si="43"/>
        <v>0</v>
      </c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>
        <f t="shared" si="48"/>
        <v>0</v>
      </c>
      <c r="X181" s="140"/>
      <c r="Y181" s="126" t="s">
        <v>216</v>
      </c>
      <c r="AA181" s="126" t="s">
        <v>45</v>
      </c>
      <c r="AB181" s="126"/>
      <c r="AC181" s="140"/>
      <c r="AD181" s="140"/>
      <c r="AE181" s="140"/>
      <c r="AF181" s="140"/>
      <c r="AG181" s="140"/>
      <c r="AH181" s="140"/>
      <c r="AI181" s="127">
        <f t="shared" si="45"/>
        <v>0</v>
      </c>
      <c r="AJ181" s="127"/>
      <c r="AK181" s="140"/>
      <c r="AL181" s="127"/>
      <c r="AM181" s="53">
        <v>0</v>
      </c>
      <c r="AN181" s="53"/>
      <c r="AO181" s="53">
        <v>0</v>
      </c>
      <c r="AP181" s="140"/>
      <c r="AQ181" s="140"/>
      <c r="AR181" s="140"/>
      <c r="AS181" s="45">
        <f t="shared" si="40"/>
        <v>0</v>
      </c>
      <c r="AT181" s="127"/>
      <c r="AU181" s="140">
        <v>0</v>
      </c>
      <c r="AV181" s="140"/>
      <c r="AW181" s="140">
        <v>0</v>
      </c>
      <c r="AX181" s="140"/>
      <c r="AY181" s="140">
        <f t="shared" si="46"/>
        <v>0</v>
      </c>
      <c r="AZ181" s="140"/>
      <c r="BA181" s="126" t="s">
        <v>216</v>
      </c>
      <c r="BC181" s="126" t="s">
        <v>45</v>
      </c>
      <c r="BD181" s="140"/>
      <c r="BE181" s="140"/>
      <c r="BF181" s="140"/>
      <c r="BG181" s="140"/>
      <c r="BH181" s="140"/>
      <c r="BI181" s="140"/>
      <c r="BJ181" s="140"/>
      <c r="BK181" s="140"/>
      <c r="BL181" s="140"/>
      <c r="BM181" s="140">
        <f t="shared" si="47"/>
        <v>0</v>
      </c>
      <c r="BN181" s="142" t="s">
        <v>347</v>
      </c>
      <c r="BR181" s="124"/>
      <c r="BS181" s="140"/>
      <c r="BT181" s="140"/>
      <c r="BU181" s="140"/>
      <c r="BV181" s="140"/>
      <c r="BW181" s="140"/>
      <c r="BX181" s="127"/>
      <c r="BY181" s="127"/>
      <c r="BZ181" s="140"/>
      <c r="CA181" s="140"/>
      <c r="CB181" s="140"/>
      <c r="CC181" s="140"/>
      <c r="CD181" s="140"/>
      <c r="CE181" s="140"/>
      <c r="CF181" s="126"/>
      <c r="CH181" s="126"/>
      <c r="CI181" s="140"/>
      <c r="CJ181" s="140"/>
      <c r="CK181" s="140"/>
      <c r="CL181" s="140"/>
      <c r="CM181" s="140"/>
      <c r="CN181" s="140"/>
      <c r="CO181" s="140"/>
      <c r="CP181" s="140"/>
      <c r="CQ181" s="140"/>
      <c r="CR181" s="140"/>
      <c r="CS181" s="142"/>
    </row>
    <row r="182" spans="1:99" s="55" customFormat="1" ht="12.75" customHeight="1">
      <c r="A182" s="35" t="s">
        <v>217</v>
      </c>
      <c r="B182" s="51"/>
      <c r="C182" s="35" t="s">
        <v>43</v>
      </c>
      <c r="D182" s="44"/>
      <c r="E182" s="53">
        <v>4941547</v>
      </c>
      <c r="F182" s="53"/>
      <c r="G182" s="53">
        <v>34044742</v>
      </c>
      <c r="H182" s="53"/>
      <c r="I182" s="53">
        <v>38986289</v>
      </c>
      <c r="J182" s="53"/>
      <c r="K182" s="53">
        <f t="shared" si="43"/>
        <v>1083497</v>
      </c>
      <c r="L182" s="53"/>
      <c r="M182" s="53">
        <v>1791594</v>
      </c>
      <c r="N182" s="53"/>
      <c r="O182" s="53">
        <v>2875091</v>
      </c>
      <c r="P182" s="53"/>
      <c r="Q182" s="53">
        <v>31964431</v>
      </c>
      <c r="R182" s="53"/>
      <c r="S182" s="53">
        <v>0</v>
      </c>
      <c r="T182" s="53"/>
      <c r="U182" s="53">
        <v>4146767</v>
      </c>
      <c r="V182" s="53"/>
      <c r="W182" s="53">
        <f t="shared" si="48"/>
        <v>36111198</v>
      </c>
      <c r="X182" s="53"/>
      <c r="Y182" s="35" t="s">
        <v>217</v>
      </c>
      <c r="AA182" s="35" t="s">
        <v>43</v>
      </c>
      <c r="AB182" s="35"/>
      <c r="AC182" s="53">
        <v>4840368</v>
      </c>
      <c r="AD182" s="53"/>
      <c r="AE182" s="53">
        <f>5857234-929351</f>
        <v>4927883</v>
      </c>
      <c r="AF182" s="53"/>
      <c r="AG182" s="53">
        <v>929351</v>
      </c>
      <c r="AH182" s="53"/>
      <c r="AI182" s="45">
        <f t="shared" si="45"/>
        <v>-1016866</v>
      </c>
      <c r="AJ182" s="45"/>
      <c r="AK182" s="53">
        <v>-97559</v>
      </c>
      <c r="AL182" s="45"/>
      <c r="AM182" s="53">
        <v>0</v>
      </c>
      <c r="AN182" s="53"/>
      <c r="AO182" s="53">
        <v>0</v>
      </c>
      <c r="AP182" s="53"/>
      <c r="AQ182" s="53">
        <f>105532-215661</f>
        <v>-110129</v>
      </c>
      <c r="AR182" s="53"/>
      <c r="AS182" s="45">
        <f t="shared" si="40"/>
        <v>-1224554</v>
      </c>
      <c r="AT182" s="45"/>
      <c r="AU182" s="53">
        <v>0</v>
      </c>
      <c r="AV182" s="53"/>
      <c r="AW182" s="53">
        <v>0</v>
      </c>
      <c r="AX182" s="53"/>
      <c r="AY182" s="53">
        <f t="shared" si="46"/>
        <v>3858050</v>
      </c>
      <c r="AZ182" s="53"/>
      <c r="BA182" s="35" t="s">
        <v>217</v>
      </c>
      <c r="BC182" s="35" t="s">
        <v>43</v>
      </c>
      <c r="BD182" s="53"/>
      <c r="BE182" s="53">
        <f>460410-7205+594000+773000+459000</f>
        <v>2279205</v>
      </c>
      <c r="BF182" s="53"/>
      <c r="BG182" s="53">
        <v>0</v>
      </c>
      <c r="BH182" s="53"/>
      <c r="BI182" s="53">
        <v>664868</v>
      </c>
      <c r="BJ182" s="53"/>
      <c r="BK182" s="53">
        <v>0</v>
      </c>
      <c r="BL182" s="53"/>
      <c r="BM182" s="53">
        <f t="shared" si="47"/>
        <v>2944073</v>
      </c>
      <c r="BN182" s="54" t="s">
        <v>347</v>
      </c>
      <c r="BR182" s="65"/>
      <c r="BS182" s="53"/>
      <c r="BT182" s="53"/>
      <c r="BU182" s="53"/>
      <c r="BV182" s="53"/>
      <c r="BW182" s="53"/>
      <c r="BX182" s="45"/>
      <c r="BY182" s="45"/>
      <c r="BZ182" s="53"/>
      <c r="CA182" s="53"/>
      <c r="CB182" s="53"/>
      <c r="CC182" s="53"/>
      <c r="CD182" s="53"/>
      <c r="CE182" s="53"/>
      <c r="CF182" s="35"/>
      <c r="CH182" s="35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4"/>
    </row>
    <row r="183" spans="1:99" s="143" customFormat="1" ht="12.75" hidden="1" customHeight="1">
      <c r="A183" s="126" t="s">
        <v>218</v>
      </c>
      <c r="B183" s="124"/>
      <c r="C183" s="126" t="s">
        <v>27</v>
      </c>
      <c r="D183" s="121"/>
      <c r="E183" s="140"/>
      <c r="F183" s="140"/>
      <c r="G183" s="140"/>
      <c r="H183" s="140"/>
      <c r="I183" s="140"/>
      <c r="J183" s="140"/>
      <c r="K183" s="140">
        <f t="shared" si="43"/>
        <v>0</v>
      </c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>
        <f t="shared" si="48"/>
        <v>0</v>
      </c>
      <c r="X183" s="140"/>
      <c r="Y183" s="126" t="s">
        <v>218</v>
      </c>
      <c r="AA183" s="126" t="s">
        <v>27</v>
      </c>
      <c r="AB183" s="126"/>
      <c r="AC183" s="140"/>
      <c r="AD183" s="140"/>
      <c r="AE183" s="140"/>
      <c r="AF183" s="140"/>
      <c r="AG183" s="140"/>
      <c r="AH183" s="140"/>
      <c r="AI183" s="127">
        <f t="shared" si="45"/>
        <v>0</v>
      </c>
      <c r="AJ183" s="127"/>
      <c r="AK183" s="140"/>
      <c r="AL183" s="127"/>
      <c r="AM183" s="53">
        <v>0</v>
      </c>
      <c r="AN183" s="53"/>
      <c r="AO183" s="53">
        <v>0</v>
      </c>
      <c r="AP183" s="140"/>
      <c r="AQ183" s="140">
        <v>0</v>
      </c>
      <c r="AR183" s="140"/>
      <c r="AS183" s="45">
        <f t="shared" si="40"/>
        <v>0</v>
      </c>
      <c r="AT183" s="127"/>
      <c r="AU183" s="140">
        <v>0</v>
      </c>
      <c r="AV183" s="140"/>
      <c r="AW183" s="140">
        <v>0</v>
      </c>
      <c r="AX183" s="140"/>
      <c r="AY183" s="140">
        <f t="shared" si="46"/>
        <v>0</v>
      </c>
      <c r="AZ183" s="140"/>
      <c r="BA183" s="126" t="s">
        <v>218</v>
      </c>
      <c r="BC183" s="126" t="s">
        <v>27</v>
      </c>
      <c r="BD183" s="140"/>
      <c r="BE183" s="140"/>
      <c r="BF183" s="140"/>
      <c r="BG183" s="140"/>
      <c r="BH183" s="140"/>
      <c r="BI183" s="140"/>
      <c r="BJ183" s="140"/>
      <c r="BK183" s="140"/>
      <c r="BL183" s="140"/>
      <c r="BM183" s="140">
        <f t="shared" si="47"/>
        <v>0</v>
      </c>
      <c r="BN183" s="142" t="s">
        <v>347</v>
      </c>
      <c r="BR183" s="124"/>
      <c r="BS183" s="140"/>
      <c r="BT183" s="140"/>
      <c r="BU183" s="140"/>
      <c r="BV183" s="140"/>
      <c r="BW183" s="140"/>
      <c r="BX183" s="127"/>
      <c r="BY183" s="127"/>
      <c r="BZ183" s="140"/>
      <c r="CA183" s="140"/>
      <c r="CB183" s="140"/>
      <c r="CC183" s="140"/>
      <c r="CD183" s="140"/>
      <c r="CE183" s="140"/>
      <c r="CF183" s="126"/>
      <c r="CH183" s="126"/>
      <c r="CI183" s="140"/>
      <c r="CJ183" s="140"/>
      <c r="CK183" s="140"/>
      <c r="CL183" s="140"/>
      <c r="CM183" s="140"/>
      <c r="CN183" s="140"/>
      <c r="CO183" s="140"/>
      <c r="CP183" s="140"/>
      <c r="CQ183" s="140"/>
      <c r="CR183" s="140"/>
      <c r="CS183" s="142"/>
    </row>
    <row r="184" spans="1:99" s="55" customFormat="1" ht="12.75" customHeight="1">
      <c r="A184" s="35" t="s">
        <v>219</v>
      </c>
      <c r="B184" s="51"/>
      <c r="C184" s="35" t="s">
        <v>199</v>
      </c>
      <c r="D184" s="44"/>
      <c r="E184" s="53">
        <v>964001</v>
      </c>
      <c r="F184" s="53"/>
      <c r="G184" s="53">
        <v>6842651</v>
      </c>
      <c r="H184" s="53"/>
      <c r="I184" s="53">
        <v>7806652</v>
      </c>
      <c r="J184" s="53"/>
      <c r="K184" s="53">
        <f t="shared" si="43"/>
        <v>293674</v>
      </c>
      <c r="L184" s="53"/>
      <c r="M184" s="53">
        <v>1917106</v>
      </c>
      <c r="N184" s="53"/>
      <c r="O184" s="53">
        <v>2210780</v>
      </c>
      <c r="P184" s="53"/>
      <c r="Q184" s="53">
        <v>4696095</v>
      </c>
      <c r="R184" s="53"/>
      <c r="S184" s="53">
        <v>0</v>
      </c>
      <c r="T184" s="53"/>
      <c r="U184" s="53">
        <v>899777</v>
      </c>
      <c r="V184" s="53"/>
      <c r="W184" s="53">
        <f t="shared" ref="W184:W209" si="49">SUM(Q184:U184)</f>
        <v>5595872</v>
      </c>
      <c r="X184" s="53"/>
      <c r="Y184" s="35" t="s">
        <v>219</v>
      </c>
      <c r="AA184" s="35" t="s">
        <v>199</v>
      </c>
      <c r="AB184" s="35"/>
      <c r="AC184" s="53">
        <v>1220258</v>
      </c>
      <c r="AD184" s="53"/>
      <c r="AE184" s="53">
        <f>877964-218246</f>
        <v>659718</v>
      </c>
      <c r="AF184" s="53"/>
      <c r="AG184" s="53">
        <v>218246</v>
      </c>
      <c r="AH184" s="53"/>
      <c r="AI184" s="45">
        <f t="shared" si="45"/>
        <v>342294</v>
      </c>
      <c r="AJ184" s="45"/>
      <c r="AK184" s="53">
        <v>-117410</v>
      </c>
      <c r="AL184" s="45"/>
      <c r="AM184" s="53">
        <v>0</v>
      </c>
      <c r="AN184" s="53"/>
      <c r="AO184" s="53">
        <v>0</v>
      </c>
      <c r="AP184" s="53"/>
      <c r="AQ184" s="53">
        <v>0</v>
      </c>
      <c r="AR184" s="53"/>
      <c r="AS184" s="45">
        <f t="shared" si="40"/>
        <v>224884</v>
      </c>
      <c r="AT184" s="45"/>
      <c r="AU184" s="53">
        <v>0</v>
      </c>
      <c r="AV184" s="53"/>
      <c r="AW184" s="53">
        <v>0</v>
      </c>
      <c r="AX184" s="53"/>
      <c r="AY184" s="53">
        <f t="shared" si="46"/>
        <v>670327</v>
      </c>
      <c r="AZ184" s="53"/>
      <c r="BA184" s="35" t="s">
        <v>219</v>
      </c>
      <c r="BC184" s="35" t="s">
        <v>199</v>
      </c>
      <c r="BD184" s="53"/>
      <c r="BE184" s="53">
        <v>0</v>
      </c>
      <c r="BF184" s="53"/>
      <c r="BG184" s="53">
        <v>0</v>
      </c>
      <c r="BH184" s="53"/>
      <c r="BI184" s="53">
        <v>0</v>
      </c>
      <c r="BJ184" s="53"/>
      <c r="BK184" s="53">
        <v>0</v>
      </c>
      <c r="BL184" s="53"/>
      <c r="BM184" s="53">
        <f t="shared" si="47"/>
        <v>0</v>
      </c>
      <c r="BN184" s="54" t="s">
        <v>347</v>
      </c>
      <c r="BR184" s="51"/>
      <c r="BS184" s="53"/>
      <c r="BT184" s="53"/>
      <c r="BU184" s="53"/>
      <c r="BV184" s="53"/>
      <c r="BW184" s="53"/>
      <c r="BX184" s="45"/>
      <c r="BY184" s="45"/>
      <c r="BZ184" s="53"/>
      <c r="CA184" s="53"/>
      <c r="CB184" s="53"/>
      <c r="CC184" s="53"/>
      <c r="CD184" s="53"/>
      <c r="CE184" s="53"/>
      <c r="CF184" s="35"/>
      <c r="CH184" s="35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4"/>
    </row>
    <row r="185" spans="1:99" s="143" customFormat="1" ht="13.5" hidden="1" customHeight="1">
      <c r="A185" s="126" t="s">
        <v>220</v>
      </c>
      <c r="B185" s="124"/>
      <c r="C185" s="126" t="s">
        <v>66</v>
      </c>
      <c r="D185" s="121"/>
      <c r="E185" s="140"/>
      <c r="F185" s="140"/>
      <c r="G185" s="140"/>
      <c r="H185" s="140"/>
      <c r="I185" s="140"/>
      <c r="J185" s="140"/>
      <c r="K185" s="140">
        <f t="shared" si="43"/>
        <v>0</v>
      </c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>
        <f t="shared" si="49"/>
        <v>0</v>
      </c>
      <c r="X185" s="140"/>
      <c r="Y185" s="126" t="s">
        <v>220</v>
      </c>
      <c r="AA185" s="126" t="s">
        <v>66</v>
      </c>
      <c r="AB185" s="126"/>
      <c r="AC185" s="140"/>
      <c r="AD185" s="140"/>
      <c r="AE185" s="140"/>
      <c r="AF185" s="140"/>
      <c r="AG185" s="140"/>
      <c r="AH185" s="140"/>
      <c r="AI185" s="127">
        <f t="shared" si="45"/>
        <v>0</v>
      </c>
      <c r="AJ185" s="127"/>
      <c r="AK185" s="140"/>
      <c r="AL185" s="127"/>
      <c r="AM185" s="53">
        <v>0</v>
      </c>
      <c r="AN185" s="53"/>
      <c r="AO185" s="53">
        <v>0</v>
      </c>
      <c r="AP185" s="140"/>
      <c r="AQ185" s="140">
        <v>0</v>
      </c>
      <c r="AR185" s="140"/>
      <c r="AS185" s="45">
        <f t="shared" si="40"/>
        <v>0</v>
      </c>
      <c r="AT185" s="127"/>
      <c r="AU185" s="140">
        <v>0</v>
      </c>
      <c r="AV185" s="140"/>
      <c r="AW185" s="140">
        <v>0</v>
      </c>
      <c r="AX185" s="140"/>
      <c r="AY185" s="140">
        <f t="shared" si="46"/>
        <v>0</v>
      </c>
      <c r="AZ185" s="140"/>
      <c r="BA185" s="126" t="s">
        <v>220</v>
      </c>
      <c r="BC185" s="126" t="s">
        <v>66</v>
      </c>
      <c r="BD185" s="140"/>
      <c r="BE185" s="140"/>
      <c r="BF185" s="140"/>
      <c r="BG185" s="140"/>
      <c r="BH185" s="140"/>
      <c r="BI185" s="140"/>
      <c r="BJ185" s="140"/>
      <c r="BK185" s="140"/>
      <c r="BL185" s="140"/>
      <c r="BM185" s="140">
        <f t="shared" si="47"/>
        <v>0</v>
      </c>
      <c r="BN185" s="142" t="s">
        <v>347</v>
      </c>
      <c r="BR185" s="124"/>
      <c r="BS185" s="140"/>
      <c r="BT185" s="140"/>
      <c r="BU185" s="140"/>
      <c r="BV185" s="140"/>
      <c r="BW185" s="127"/>
      <c r="BX185" s="127"/>
      <c r="BY185" s="140"/>
      <c r="BZ185" s="140"/>
      <c r="CA185" s="140"/>
      <c r="CB185" s="140"/>
      <c r="CC185" s="140"/>
      <c r="CD185" s="140"/>
      <c r="CE185" s="140"/>
      <c r="CF185" s="126"/>
      <c r="CH185" s="126"/>
      <c r="CI185" s="140"/>
      <c r="CJ185" s="140"/>
      <c r="CK185" s="140"/>
      <c r="CL185" s="140"/>
      <c r="CM185" s="140"/>
      <c r="CN185" s="140"/>
      <c r="CO185" s="140"/>
      <c r="CP185" s="140"/>
      <c r="CQ185" s="140"/>
      <c r="CR185" s="140"/>
      <c r="CS185" s="142"/>
    </row>
    <row r="186" spans="1:99" s="55" customFormat="1" ht="12.75" customHeight="1">
      <c r="A186" s="35" t="s">
        <v>221</v>
      </c>
      <c r="C186" s="35" t="s">
        <v>27</v>
      </c>
      <c r="D186" s="44"/>
      <c r="E186" s="53">
        <v>909198</v>
      </c>
      <c r="F186" s="53"/>
      <c r="G186" s="53">
        <v>23372650</v>
      </c>
      <c r="H186" s="53"/>
      <c r="I186" s="53">
        <v>24281848</v>
      </c>
      <c r="J186" s="53"/>
      <c r="K186" s="53">
        <f t="shared" si="43"/>
        <v>94382</v>
      </c>
      <c r="L186" s="53"/>
      <c r="M186" s="53">
        <v>335103</v>
      </c>
      <c r="N186" s="53"/>
      <c r="O186" s="53">
        <v>429485</v>
      </c>
      <c r="P186" s="53"/>
      <c r="Q186" s="53">
        <v>17184178</v>
      </c>
      <c r="R186" s="53"/>
      <c r="S186" s="53">
        <v>0</v>
      </c>
      <c r="T186" s="53"/>
      <c r="U186" s="53">
        <v>6668185</v>
      </c>
      <c r="V186" s="53"/>
      <c r="W186" s="53">
        <f t="shared" si="49"/>
        <v>23852363</v>
      </c>
      <c r="X186" s="53"/>
      <c r="Y186" s="35" t="s">
        <v>221</v>
      </c>
      <c r="AA186" s="35" t="s">
        <v>27</v>
      </c>
      <c r="AB186" s="35"/>
      <c r="AC186" s="53">
        <v>2012434</v>
      </c>
      <c r="AD186" s="53"/>
      <c r="AE186" s="53">
        <f>2116802-305472</f>
        <v>1811330</v>
      </c>
      <c r="AF186" s="53"/>
      <c r="AG186" s="53">
        <v>305472</v>
      </c>
      <c r="AH186" s="53"/>
      <c r="AI186" s="45">
        <f t="shared" si="45"/>
        <v>-104368</v>
      </c>
      <c r="AJ186" s="45"/>
      <c r="AK186" s="53">
        <v>-191275</v>
      </c>
      <c r="AL186" s="45"/>
      <c r="AM186" s="53">
        <v>0</v>
      </c>
      <c r="AN186" s="53"/>
      <c r="AO186" s="53">
        <v>0</v>
      </c>
      <c r="AP186" s="53"/>
      <c r="AQ186" s="53">
        <v>195846</v>
      </c>
      <c r="AR186" s="53"/>
      <c r="AS186" s="45">
        <f t="shared" si="40"/>
        <v>-99797</v>
      </c>
      <c r="AT186" s="45"/>
      <c r="AU186" s="53">
        <v>0</v>
      </c>
      <c r="AV186" s="53"/>
      <c r="AW186" s="53">
        <v>0</v>
      </c>
      <c r="AX186" s="53"/>
      <c r="AY186" s="53">
        <f t="shared" si="46"/>
        <v>814816</v>
      </c>
      <c r="AZ186" s="53"/>
      <c r="BA186" s="35" t="s">
        <v>221</v>
      </c>
      <c r="BC186" s="35" t="s">
        <v>27</v>
      </c>
      <c r="BD186" s="53"/>
      <c r="BE186" s="53">
        <v>0</v>
      </c>
      <c r="BF186" s="53"/>
      <c r="BG186" s="53">
        <v>0</v>
      </c>
      <c r="BH186" s="53"/>
      <c r="BI186" s="53">
        <v>247210</v>
      </c>
      <c r="BJ186" s="53"/>
      <c r="BK186" s="53">
        <v>115781</v>
      </c>
      <c r="BL186" s="53"/>
      <c r="BM186" s="53">
        <f t="shared" si="47"/>
        <v>362991</v>
      </c>
      <c r="BN186" s="54" t="s">
        <v>347</v>
      </c>
      <c r="BR186" s="51"/>
      <c r="BS186" s="53"/>
      <c r="BT186" s="53"/>
      <c r="BU186" s="53"/>
      <c r="BV186" s="53"/>
      <c r="BW186" s="53"/>
      <c r="BX186" s="45"/>
      <c r="BY186" s="45"/>
      <c r="BZ186" s="53"/>
      <c r="CA186" s="53"/>
      <c r="CB186" s="53"/>
      <c r="CC186" s="53"/>
      <c r="CD186" s="53"/>
      <c r="CE186" s="53"/>
      <c r="CF186" s="35"/>
      <c r="CH186" s="35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4"/>
    </row>
    <row r="187" spans="1:99" s="55" customFormat="1" ht="12.75" customHeight="1">
      <c r="A187" s="35" t="s">
        <v>222</v>
      </c>
      <c r="B187" s="51"/>
      <c r="C187" s="35" t="s">
        <v>47</v>
      </c>
      <c r="D187" s="44"/>
      <c r="E187" s="53">
        <v>638624</v>
      </c>
      <c r="F187" s="53"/>
      <c r="G187" s="53">
        <v>4734916</v>
      </c>
      <c r="H187" s="53"/>
      <c r="I187" s="53">
        <v>5373540</v>
      </c>
      <c r="J187" s="53"/>
      <c r="K187" s="53">
        <f t="shared" si="43"/>
        <v>527682</v>
      </c>
      <c r="L187" s="53"/>
      <c r="M187" s="53">
        <v>2234567</v>
      </c>
      <c r="N187" s="53"/>
      <c r="O187" s="53">
        <v>2762249</v>
      </c>
      <c r="P187" s="53"/>
      <c r="Q187" s="53">
        <v>2221132</v>
      </c>
      <c r="R187" s="53"/>
      <c r="S187" s="53">
        <v>0</v>
      </c>
      <c r="T187" s="53"/>
      <c r="U187" s="53">
        <v>390159</v>
      </c>
      <c r="V187" s="53"/>
      <c r="W187" s="53">
        <f t="shared" si="49"/>
        <v>2611291</v>
      </c>
      <c r="X187" s="53"/>
      <c r="Y187" s="35" t="s">
        <v>222</v>
      </c>
      <c r="AA187" s="35" t="s">
        <v>47</v>
      </c>
      <c r="AB187" s="35"/>
      <c r="AC187" s="53">
        <v>536242</v>
      </c>
      <c r="AD187" s="53"/>
      <c r="AE187" s="53">
        <f>355959-125083</f>
        <v>230876</v>
      </c>
      <c r="AF187" s="53"/>
      <c r="AG187" s="53">
        <v>125083</v>
      </c>
      <c r="AH187" s="53"/>
      <c r="AI187" s="45">
        <f t="shared" si="45"/>
        <v>180283</v>
      </c>
      <c r="AJ187" s="45"/>
      <c r="AK187" s="53">
        <v>-117692</v>
      </c>
      <c r="AL187" s="45"/>
      <c r="AM187" s="53">
        <v>80000</v>
      </c>
      <c r="AN187" s="53"/>
      <c r="AO187" s="53">
        <v>0</v>
      </c>
      <c r="AP187" s="53"/>
      <c r="AQ187" s="53">
        <v>630000</v>
      </c>
      <c r="AR187" s="53"/>
      <c r="AS187" s="45">
        <f t="shared" si="40"/>
        <v>772591</v>
      </c>
      <c r="AT187" s="45"/>
      <c r="AU187" s="53">
        <v>0</v>
      </c>
      <c r="AV187" s="53"/>
      <c r="AW187" s="53">
        <v>0</v>
      </c>
      <c r="AX187" s="53"/>
      <c r="AY187" s="53">
        <f t="shared" si="46"/>
        <v>110942</v>
      </c>
      <c r="AZ187" s="53"/>
      <c r="BA187" s="35" t="s">
        <v>222</v>
      </c>
      <c r="BC187" s="35" t="s">
        <v>47</v>
      </c>
      <c r="BD187" s="53"/>
      <c r="BE187" s="53">
        <v>0</v>
      </c>
      <c r="BF187" s="53"/>
      <c r="BG187" s="53">
        <v>0</v>
      </c>
      <c r="BH187" s="53"/>
      <c r="BI187" s="53">
        <v>0</v>
      </c>
      <c r="BJ187" s="53"/>
      <c r="BK187" s="53">
        <v>0</v>
      </c>
      <c r="BL187" s="53"/>
      <c r="BM187" s="53">
        <f t="shared" si="47"/>
        <v>0</v>
      </c>
      <c r="BN187" s="54" t="s">
        <v>347</v>
      </c>
      <c r="BR187" s="51"/>
      <c r="BS187" s="53"/>
      <c r="BT187" s="53"/>
      <c r="BU187" s="53"/>
      <c r="BV187" s="53"/>
      <c r="BW187" s="53"/>
      <c r="BX187" s="45"/>
      <c r="BY187" s="45"/>
      <c r="BZ187" s="53"/>
      <c r="CA187" s="53"/>
      <c r="CB187" s="53"/>
      <c r="CC187" s="53"/>
      <c r="CD187" s="53"/>
      <c r="CE187" s="53"/>
      <c r="CF187" s="35"/>
      <c r="CH187" s="35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4"/>
    </row>
    <row r="188" spans="1:99" s="55" customFormat="1" ht="12.75" customHeight="1">
      <c r="A188" s="35" t="s">
        <v>223</v>
      </c>
      <c r="B188" s="51"/>
      <c r="C188" s="35" t="s">
        <v>94</v>
      </c>
      <c r="D188" s="44"/>
      <c r="E188" s="53">
        <v>11979450</v>
      </c>
      <c r="F188" s="53"/>
      <c r="G188" s="53">
        <v>9026333</v>
      </c>
      <c r="H188" s="53"/>
      <c r="I188" s="53">
        <v>21005783</v>
      </c>
      <c r="J188" s="53"/>
      <c r="K188" s="53">
        <f t="shared" si="43"/>
        <v>66666</v>
      </c>
      <c r="L188" s="53"/>
      <c r="M188" s="53">
        <v>73599</v>
      </c>
      <c r="N188" s="53"/>
      <c r="O188" s="53">
        <v>140265</v>
      </c>
      <c r="P188" s="53"/>
      <c r="Q188" s="53">
        <v>9026334</v>
      </c>
      <c r="R188" s="53"/>
      <c r="S188" s="53">
        <v>0</v>
      </c>
      <c r="T188" s="53"/>
      <c r="U188" s="53">
        <v>11839184</v>
      </c>
      <c r="V188" s="53"/>
      <c r="W188" s="53">
        <f t="shared" si="49"/>
        <v>20865518</v>
      </c>
      <c r="X188" s="53"/>
      <c r="Y188" s="35" t="s">
        <v>223</v>
      </c>
      <c r="AA188" s="35" t="s">
        <v>94</v>
      </c>
      <c r="AB188" s="35"/>
      <c r="AC188" s="53">
        <v>2334675</v>
      </c>
      <c r="AD188" s="53"/>
      <c r="AE188" s="53">
        <f>2007170-382527</f>
        <v>1624643</v>
      </c>
      <c r="AF188" s="53"/>
      <c r="AG188" s="53">
        <v>382527</v>
      </c>
      <c r="AH188" s="53"/>
      <c r="AI188" s="45">
        <f t="shared" si="45"/>
        <v>327505</v>
      </c>
      <c r="AJ188" s="45"/>
      <c r="AK188" s="53">
        <v>33718</v>
      </c>
      <c r="AL188" s="45"/>
      <c r="AM188" s="53">
        <v>432556</v>
      </c>
      <c r="AN188" s="53"/>
      <c r="AO188" s="53">
        <v>0</v>
      </c>
      <c r="AP188" s="53"/>
      <c r="AQ188" s="53">
        <v>0</v>
      </c>
      <c r="AR188" s="53"/>
      <c r="AS188" s="45">
        <f t="shared" si="40"/>
        <v>793779</v>
      </c>
      <c r="AT188" s="45"/>
      <c r="AU188" s="53">
        <v>0</v>
      </c>
      <c r="AV188" s="53"/>
      <c r="AW188" s="53">
        <v>0</v>
      </c>
      <c r="AX188" s="53"/>
      <c r="AY188" s="53">
        <f t="shared" si="46"/>
        <v>11912784</v>
      </c>
      <c r="AZ188" s="53"/>
      <c r="BA188" s="35" t="s">
        <v>223</v>
      </c>
      <c r="BC188" s="35" t="s">
        <v>94</v>
      </c>
      <c r="BD188" s="53"/>
      <c r="BE188" s="53">
        <v>0</v>
      </c>
      <c r="BF188" s="53"/>
      <c r="BG188" s="53">
        <v>0</v>
      </c>
      <c r="BH188" s="53"/>
      <c r="BI188" s="53">
        <v>0</v>
      </c>
      <c r="BJ188" s="53"/>
      <c r="BK188" s="53">
        <v>0</v>
      </c>
      <c r="BL188" s="53"/>
      <c r="BM188" s="53">
        <f t="shared" si="47"/>
        <v>0</v>
      </c>
      <c r="BN188" s="54" t="s">
        <v>347</v>
      </c>
      <c r="BR188" s="51"/>
      <c r="BS188" s="53"/>
      <c r="BT188" s="53"/>
      <c r="BU188" s="53"/>
      <c r="BV188" s="53"/>
      <c r="BW188" s="53"/>
      <c r="BX188" s="45"/>
      <c r="BY188" s="45"/>
      <c r="BZ188" s="53"/>
      <c r="CA188" s="53"/>
      <c r="CB188" s="53"/>
      <c r="CC188" s="53"/>
      <c r="CD188" s="53"/>
      <c r="CE188" s="53"/>
      <c r="CF188" s="35"/>
      <c r="CH188" s="35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4"/>
    </row>
    <row r="189" spans="1:99" s="55" customFormat="1" ht="12.75" customHeight="1">
      <c r="A189" s="35" t="s">
        <v>76</v>
      </c>
      <c r="B189" s="51"/>
      <c r="C189" s="35" t="s">
        <v>132</v>
      </c>
      <c r="D189" s="44"/>
      <c r="E189" s="53">
        <v>13030738</v>
      </c>
      <c r="F189" s="53"/>
      <c r="G189" s="53">
        <v>33288351</v>
      </c>
      <c r="H189" s="53"/>
      <c r="I189" s="53">
        <v>46319089</v>
      </c>
      <c r="J189" s="53"/>
      <c r="K189" s="53">
        <f t="shared" si="43"/>
        <v>2248858</v>
      </c>
      <c r="L189" s="53"/>
      <c r="M189" s="53">
        <v>38595078</v>
      </c>
      <c r="N189" s="53"/>
      <c r="O189" s="53">
        <v>40843936</v>
      </c>
      <c r="P189" s="53"/>
      <c r="Q189" s="53">
        <v>10073921</v>
      </c>
      <c r="R189" s="53"/>
      <c r="S189" s="53">
        <v>0</v>
      </c>
      <c r="T189" s="53"/>
      <c r="U189" s="53">
        <v>12320173</v>
      </c>
      <c r="V189" s="53"/>
      <c r="W189" s="53">
        <f t="shared" si="49"/>
        <v>22394094</v>
      </c>
      <c r="X189" s="53"/>
      <c r="Y189" s="35" t="s">
        <v>76</v>
      </c>
      <c r="AA189" s="35" t="s">
        <v>132</v>
      </c>
      <c r="AB189" s="35"/>
      <c r="AC189" s="53">
        <v>6879298</v>
      </c>
      <c r="AD189" s="53"/>
      <c r="AE189" s="53">
        <f>5276170-735694</f>
        <v>4540476</v>
      </c>
      <c r="AF189" s="53"/>
      <c r="AG189" s="53">
        <v>735694</v>
      </c>
      <c r="AH189" s="53"/>
      <c r="AI189" s="45">
        <f t="shared" si="45"/>
        <v>1603128</v>
      </c>
      <c r="AJ189" s="45"/>
      <c r="AK189" s="53">
        <v>-1156905</v>
      </c>
      <c r="AL189" s="45"/>
      <c r="AM189" s="53">
        <v>0</v>
      </c>
      <c r="AN189" s="53"/>
      <c r="AO189" s="53">
        <v>227290</v>
      </c>
      <c r="AP189" s="53"/>
      <c r="AQ189" s="53">
        <v>178083</v>
      </c>
      <c r="AR189" s="53"/>
      <c r="AS189" s="45">
        <f t="shared" si="40"/>
        <v>397016</v>
      </c>
      <c r="AT189" s="45"/>
      <c r="AU189" s="53">
        <v>0</v>
      </c>
      <c r="AV189" s="53"/>
      <c r="AW189" s="53">
        <v>0</v>
      </c>
      <c r="AX189" s="53"/>
      <c r="AY189" s="53">
        <f t="shared" si="46"/>
        <v>10781880</v>
      </c>
      <c r="AZ189" s="53"/>
      <c r="BA189" s="35" t="s">
        <v>76</v>
      </c>
      <c r="BC189" s="35" t="s">
        <v>132</v>
      </c>
      <c r="BD189" s="53"/>
      <c r="BE189" s="53">
        <v>0</v>
      </c>
      <c r="BF189" s="53"/>
      <c r="BG189" s="53">
        <v>0</v>
      </c>
      <c r="BH189" s="53"/>
      <c r="BI189" s="53">
        <v>21332075</v>
      </c>
      <c r="BJ189" s="53"/>
      <c r="BK189" s="53">
        <v>0</v>
      </c>
      <c r="BL189" s="53"/>
      <c r="BM189" s="53">
        <f t="shared" si="47"/>
        <v>21332075</v>
      </c>
      <c r="BN189" s="54" t="s">
        <v>347</v>
      </c>
      <c r="BR189" s="51"/>
      <c r="BS189" s="53"/>
      <c r="BT189" s="53"/>
      <c r="BU189" s="53"/>
      <c r="BV189" s="53"/>
      <c r="BW189" s="53"/>
      <c r="BX189" s="45"/>
      <c r="BY189" s="45"/>
      <c r="BZ189" s="53"/>
      <c r="CA189" s="53"/>
      <c r="CB189" s="53"/>
      <c r="CC189" s="53"/>
      <c r="CD189" s="53"/>
      <c r="CE189" s="53"/>
      <c r="CF189" s="35"/>
      <c r="CH189" s="35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4"/>
    </row>
    <row r="190" spans="1:99" s="143" customFormat="1" ht="12.75" hidden="1" customHeight="1">
      <c r="A190" s="126" t="s">
        <v>224</v>
      </c>
      <c r="C190" s="126" t="s">
        <v>27</v>
      </c>
      <c r="D190" s="121"/>
      <c r="E190" s="140"/>
      <c r="F190" s="140"/>
      <c r="G190" s="140"/>
      <c r="H190" s="140"/>
      <c r="I190" s="140"/>
      <c r="J190" s="140"/>
      <c r="K190" s="140">
        <f t="shared" si="43"/>
        <v>0</v>
      </c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  <c r="W190" s="140">
        <f t="shared" si="49"/>
        <v>0</v>
      </c>
      <c r="X190" s="140"/>
      <c r="Y190" s="126" t="s">
        <v>224</v>
      </c>
      <c r="AA190" s="126" t="s">
        <v>27</v>
      </c>
      <c r="AB190" s="126"/>
      <c r="AC190" s="140"/>
      <c r="AD190" s="140"/>
      <c r="AE190" s="140"/>
      <c r="AF190" s="140"/>
      <c r="AG190" s="140"/>
      <c r="AH190" s="140"/>
      <c r="AI190" s="127">
        <f t="shared" si="45"/>
        <v>0</v>
      </c>
      <c r="AJ190" s="127"/>
      <c r="AK190" s="140"/>
      <c r="AL190" s="127"/>
      <c r="AM190" s="53">
        <v>0</v>
      </c>
      <c r="AN190" s="53"/>
      <c r="AO190" s="53">
        <v>0</v>
      </c>
      <c r="AP190" s="140"/>
      <c r="AQ190" s="140">
        <v>0</v>
      </c>
      <c r="AR190" s="140"/>
      <c r="AS190" s="45">
        <f t="shared" si="40"/>
        <v>0</v>
      </c>
      <c r="AT190" s="127"/>
      <c r="AU190" s="140">
        <v>0</v>
      </c>
      <c r="AV190" s="140"/>
      <c r="AW190" s="140">
        <v>0</v>
      </c>
      <c r="AX190" s="140"/>
      <c r="AY190" s="140">
        <f t="shared" si="46"/>
        <v>0</v>
      </c>
      <c r="AZ190" s="140"/>
      <c r="BA190" s="126" t="s">
        <v>224</v>
      </c>
      <c r="BC190" s="126" t="s">
        <v>27</v>
      </c>
      <c r="BD190" s="140"/>
      <c r="BE190" s="140"/>
      <c r="BF190" s="140"/>
      <c r="BG190" s="140"/>
      <c r="BH190" s="140"/>
      <c r="BI190" s="140"/>
      <c r="BJ190" s="140"/>
      <c r="BK190" s="140"/>
      <c r="BL190" s="140"/>
      <c r="BM190" s="140">
        <f t="shared" si="47"/>
        <v>0</v>
      </c>
      <c r="BN190" s="142" t="s">
        <v>347</v>
      </c>
      <c r="BR190" s="124"/>
      <c r="BS190" s="140"/>
      <c r="BT190" s="140"/>
      <c r="BU190" s="140"/>
      <c r="BV190" s="140"/>
      <c r="BW190" s="140"/>
      <c r="BX190" s="127"/>
      <c r="BY190" s="127"/>
      <c r="BZ190" s="140"/>
      <c r="CA190" s="140"/>
      <c r="CB190" s="140"/>
      <c r="CC190" s="140"/>
      <c r="CD190" s="140"/>
      <c r="CE190" s="140"/>
      <c r="CF190" s="126"/>
      <c r="CH190" s="126"/>
      <c r="CI190" s="140"/>
      <c r="CJ190" s="140"/>
      <c r="CK190" s="140"/>
      <c r="CL190" s="140"/>
      <c r="CM190" s="140"/>
      <c r="CN190" s="140"/>
      <c r="CO190" s="140"/>
      <c r="CP190" s="140"/>
      <c r="CQ190" s="140"/>
      <c r="CR190" s="140"/>
      <c r="CS190" s="142"/>
    </row>
    <row r="191" spans="1:99" s="133" customFormat="1" ht="12.75" hidden="1" customHeight="1">
      <c r="A191" s="126" t="s">
        <v>225</v>
      </c>
      <c r="B191" s="124"/>
      <c r="C191" s="126" t="s">
        <v>27</v>
      </c>
      <c r="D191" s="121"/>
      <c r="E191" s="140"/>
      <c r="F191" s="140"/>
      <c r="G191" s="140"/>
      <c r="H191" s="140"/>
      <c r="I191" s="140"/>
      <c r="J191" s="140"/>
      <c r="K191" s="140">
        <f t="shared" si="43"/>
        <v>0</v>
      </c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  <c r="W191" s="140">
        <f t="shared" si="49"/>
        <v>0</v>
      </c>
      <c r="X191" s="140"/>
      <c r="Y191" s="126" t="s">
        <v>225</v>
      </c>
      <c r="Z191" s="143"/>
      <c r="AA191" s="126" t="s">
        <v>27</v>
      </c>
      <c r="AB191" s="126"/>
      <c r="AC191" s="140"/>
      <c r="AD191" s="140"/>
      <c r="AE191" s="140"/>
      <c r="AF191" s="140"/>
      <c r="AG191" s="140"/>
      <c r="AH191" s="140"/>
      <c r="AI191" s="127">
        <f t="shared" si="45"/>
        <v>0</v>
      </c>
      <c r="AJ191" s="127"/>
      <c r="AK191" s="140"/>
      <c r="AL191" s="127"/>
      <c r="AM191" s="53">
        <v>0</v>
      </c>
      <c r="AN191" s="53"/>
      <c r="AO191" s="53">
        <v>0</v>
      </c>
      <c r="AP191" s="140"/>
      <c r="AQ191" s="140">
        <v>0</v>
      </c>
      <c r="AR191" s="140"/>
      <c r="AS191" s="45">
        <f t="shared" si="40"/>
        <v>0</v>
      </c>
      <c r="AT191" s="127"/>
      <c r="AU191" s="140">
        <v>0</v>
      </c>
      <c r="AV191" s="140"/>
      <c r="AW191" s="140">
        <v>0</v>
      </c>
      <c r="AX191" s="140"/>
      <c r="AY191" s="140">
        <f t="shared" si="46"/>
        <v>0</v>
      </c>
      <c r="AZ191" s="140"/>
      <c r="BA191" s="126" t="s">
        <v>225</v>
      </c>
      <c r="BB191" s="143"/>
      <c r="BC191" s="126" t="s">
        <v>27</v>
      </c>
      <c r="BD191" s="140"/>
      <c r="BE191" s="140"/>
      <c r="BF191" s="140"/>
      <c r="BG191" s="140"/>
      <c r="BH191" s="140"/>
      <c r="BI191" s="140"/>
      <c r="BJ191" s="140"/>
      <c r="BK191" s="140"/>
      <c r="BL191" s="140"/>
      <c r="BM191" s="140">
        <f t="shared" si="47"/>
        <v>0</v>
      </c>
      <c r="BN191" s="141" t="s">
        <v>347</v>
      </c>
      <c r="BR191" s="139"/>
      <c r="BS191" s="137"/>
      <c r="BT191" s="137"/>
      <c r="BU191" s="137"/>
      <c r="BV191" s="137"/>
      <c r="BW191" s="137"/>
      <c r="BX191" s="128"/>
      <c r="BY191" s="128"/>
      <c r="BZ191" s="137"/>
      <c r="CA191" s="137"/>
      <c r="CB191" s="137"/>
      <c r="CC191" s="137"/>
      <c r="CD191" s="137"/>
      <c r="CE191" s="137"/>
      <c r="CF191" s="123"/>
      <c r="CH191" s="123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41"/>
    </row>
    <row r="192" spans="1:99" s="133" customFormat="1" ht="12.75" hidden="1" customHeight="1">
      <c r="A192" s="126" t="s">
        <v>226</v>
      </c>
      <c r="B192" s="124"/>
      <c r="C192" s="126" t="s">
        <v>45</v>
      </c>
      <c r="D192" s="121"/>
      <c r="E192" s="140"/>
      <c r="F192" s="140"/>
      <c r="G192" s="140"/>
      <c r="H192" s="140"/>
      <c r="I192" s="140"/>
      <c r="J192" s="140"/>
      <c r="K192" s="140">
        <f t="shared" si="43"/>
        <v>0</v>
      </c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  <c r="W192" s="140">
        <f t="shared" si="49"/>
        <v>0</v>
      </c>
      <c r="X192" s="140"/>
      <c r="Y192" s="126" t="s">
        <v>226</v>
      </c>
      <c r="Z192" s="143"/>
      <c r="AA192" s="126" t="s">
        <v>45</v>
      </c>
      <c r="AB192" s="126"/>
      <c r="AC192" s="140"/>
      <c r="AD192" s="140"/>
      <c r="AE192" s="140"/>
      <c r="AF192" s="140"/>
      <c r="AG192" s="140"/>
      <c r="AH192" s="140"/>
      <c r="AI192" s="127">
        <f t="shared" si="45"/>
        <v>0</v>
      </c>
      <c r="AJ192" s="127"/>
      <c r="AK192" s="140"/>
      <c r="AL192" s="127"/>
      <c r="AM192" s="53">
        <v>0</v>
      </c>
      <c r="AN192" s="53"/>
      <c r="AO192" s="53">
        <v>0</v>
      </c>
      <c r="AP192" s="140"/>
      <c r="AQ192" s="140">
        <v>0</v>
      </c>
      <c r="AR192" s="140"/>
      <c r="AS192" s="45">
        <f t="shared" si="40"/>
        <v>0</v>
      </c>
      <c r="AT192" s="127"/>
      <c r="AU192" s="140">
        <v>0</v>
      </c>
      <c r="AV192" s="140"/>
      <c r="AW192" s="140">
        <v>0</v>
      </c>
      <c r="AX192" s="140"/>
      <c r="AY192" s="140">
        <f t="shared" si="46"/>
        <v>0</v>
      </c>
      <c r="AZ192" s="140"/>
      <c r="BA192" s="126" t="s">
        <v>226</v>
      </c>
      <c r="BB192" s="143"/>
      <c r="BC192" s="126" t="s">
        <v>45</v>
      </c>
      <c r="BD192" s="140"/>
      <c r="BE192" s="140"/>
      <c r="BF192" s="140"/>
      <c r="BG192" s="140"/>
      <c r="BH192" s="140"/>
      <c r="BI192" s="140"/>
      <c r="BJ192" s="140"/>
      <c r="BK192" s="140"/>
      <c r="BL192" s="140"/>
      <c r="BM192" s="140">
        <f t="shared" si="47"/>
        <v>0</v>
      </c>
      <c r="BN192" s="141"/>
      <c r="BR192" s="139"/>
      <c r="BS192" s="137"/>
      <c r="BT192" s="137"/>
      <c r="BU192" s="137"/>
      <c r="BV192" s="137"/>
      <c r="BW192" s="137"/>
      <c r="BX192" s="128"/>
      <c r="BY192" s="128"/>
      <c r="BZ192" s="137"/>
      <c r="CA192" s="137"/>
      <c r="CB192" s="137"/>
      <c r="CC192" s="137"/>
      <c r="CD192" s="137"/>
      <c r="CE192" s="137"/>
      <c r="CF192" s="123"/>
      <c r="CH192" s="123"/>
      <c r="CI192" s="137"/>
      <c r="CJ192" s="137"/>
      <c r="CK192" s="137"/>
      <c r="CL192" s="137"/>
      <c r="CM192" s="137"/>
      <c r="CN192" s="137"/>
      <c r="CO192" s="137"/>
      <c r="CP192" s="137"/>
      <c r="CQ192" s="137"/>
      <c r="CR192" s="137"/>
      <c r="CS192" s="141"/>
    </row>
    <row r="193" spans="1:108" s="55" customFormat="1" ht="12.75" customHeight="1">
      <c r="A193" s="35" t="s">
        <v>227</v>
      </c>
      <c r="C193" s="35" t="s">
        <v>17</v>
      </c>
      <c r="D193" s="44"/>
      <c r="E193" s="53">
        <f>266313+114337+600</f>
        <v>381250</v>
      </c>
      <c r="F193" s="53"/>
      <c r="G193" s="53">
        <f>62753+718998</f>
        <v>781751</v>
      </c>
      <c r="H193" s="53"/>
      <c r="I193" s="53">
        <v>1163001</v>
      </c>
      <c r="J193" s="53"/>
      <c r="K193" s="53">
        <f t="shared" si="43"/>
        <v>117584</v>
      </c>
      <c r="L193" s="53"/>
      <c r="M193" s="53">
        <v>81888</v>
      </c>
      <c r="N193" s="53"/>
      <c r="O193" s="53">
        <v>199472</v>
      </c>
      <c r="P193" s="53"/>
      <c r="Q193" s="53">
        <v>667175</v>
      </c>
      <c r="R193" s="53"/>
      <c r="S193" s="53">
        <v>0</v>
      </c>
      <c r="T193" s="53"/>
      <c r="U193" s="53">
        <v>296354</v>
      </c>
      <c r="V193" s="53"/>
      <c r="W193" s="53">
        <f t="shared" si="49"/>
        <v>963529</v>
      </c>
      <c r="X193" s="53"/>
      <c r="Y193" s="35" t="s">
        <v>227</v>
      </c>
      <c r="AA193" s="35" t="s">
        <v>17</v>
      </c>
      <c r="AB193" s="35"/>
      <c r="AC193" s="53">
        <v>953605</v>
      </c>
      <c r="AD193" s="53"/>
      <c r="AE193" s="53">
        <f>852210-100016</f>
        <v>752194</v>
      </c>
      <c r="AF193" s="53"/>
      <c r="AG193" s="53">
        <v>100016</v>
      </c>
      <c r="AH193" s="53"/>
      <c r="AI193" s="45">
        <f t="shared" si="45"/>
        <v>101395</v>
      </c>
      <c r="AJ193" s="45"/>
      <c r="AK193" s="53">
        <v>-610</v>
      </c>
      <c r="AL193" s="45"/>
      <c r="AM193" s="53">
        <v>0</v>
      </c>
      <c r="AN193" s="53"/>
      <c r="AO193" s="53">
        <v>0</v>
      </c>
      <c r="AP193" s="53"/>
      <c r="AQ193" s="53">
        <v>0</v>
      </c>
      <c r="AR193" s="53"/>
      <c r="AS193" s="45">
        <f t="shared" si="40"/>
        <v>100785</v>
      </c>
      <c r="AT193" s="45"/>
      <c r="AU193" s="53">
        <v>0</v>
      </c>
      <c r="AV193" s="53"/>
      <c r="AW193" s="53">
        <v>0</v>
      </c>
      <c r="AX193" s="53"/>
      <c r="AY193" s="53">
        <f t="shared" si="46"/>
        <v>263666</v>
      </c>
      <c r="AZ193" s="53"/>
      <c r="BA193" s="35" t="s">
        <v>227</v>
      </c>
      <c r="BC193" s="35" t="s">
        <v>17</v>
      </c>
      <c r="BD193" s="53"/>
      <c r="BE193" s="53">
        <v>0</v>
      </c>
      <c r="BF193" s="53"/>
      <c r="BG193" s="53">
        <v>0</v>
      </c>
      <c r="BH193" s="53"/>
      <c r="BI193" s="53">
        <v>0</v>
      </c>
      <c r="BJ193" s="53"/>
      <c r="BK193" s="53">
        <v>0</v>
      </c>
      <c r="BL193" s="53"/>
      <c r="BM193" s="53">
        <f t="shared" si="47"/>
        <v>0</v>
      </c>
      <c r="BN193" s="54" t="s">
        <v>347</v>
      </c>
      <c r="BR193" s="65"/>
      <c r="BS193" s="53"/>
      <c r="BT193" s="53"/>
      <c r="BU193" s="53"/>
      <c r="BV193" s="53"/>
      <c r="BW193" s="53"/>
      <c r="BX193" s="45"/>
      <c r="BY193" s="45"/>
      <c r="BZ193" s="53"/>
      <c r="CA193" s="53"/>
      <c r="CB193" s="53"/>
      <c r="CC193" s="53"/>
      <c r="CD193" s="53"/>
      <c r="CE193" s="53"/>
      <c r="CF193" s="35"/>
      <c r="CH193" s="35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4"/>
    </row>
    <row r="194" spans="1:108" s="55" customFormat="1" ht="12.75" customHeight="1">
      <c r="A194" s="35" t="s">
        <v>228</v>
      </c>
      <c r="B194" s="51"/>
      <c r="C194" s="35" t="s">
        <v>153</v>
      </c>
      <c r="D194" s="44"/>
      <c r="E194" s="53">
        <v>906052</v>
      </c>
      <c r="F194" s="53"/>
      <c r="G194" s="53">
        <v>8044409</v>
      </c>
      <c r="H194" s="53"/>
      <c r="I194" s="53">
        <v>8950461</v>
      </c>
      <c r="J194" s="53"/>
      <c r="K194" s="53">
        <f t="shared" si="43"/>
        <v>1243108</v>
      </c>
      <c r="L194" s="53"/>
      <c r="M194" s="53">
        <v>265362</v>
      </c>
      <c r="N194" s="53"/>
      <c r="O194" s="53">
        <v>1508470</v>
      </c>
      <c r="P194" s="53"/>
      <c r="Q194" s="53">
        <v>6690917</v>
      </c>
      <c r="R194" s="53"/>
      <c r="S194" s="53">
        <v>0</v>
      </c>
      <c r="T194" s="53"/>
      <c r="U194" s="53">
        <v>751074</v>
      </c>
      <c r="V194" s="53"/>
      <c r="W194" s="53">
        <f t="shared" si="49"/>
        <v>7441991</v>
      </c>
      <c r="X194" s="53"/>
      <c r="Y194" s="35" t="s">
        <v>228</v>
      </c>
      <c r="AA194" s="35" t="s">
        <v>153</v>
      </c>
      <c r="AB194" s="35"/>
      <c r="AC194" s="53">
        <v>1310046</v>
      </c>
      <c r="AD194" s="53"/>
      <c r="AE194" s="53">
        <f>1450056-350635</f>
        <v>1099421</v>
      </c>
      <c r="AF194" s="53"/>
      <c r="AG194" s="53">
        <v>350635</v>
      </c>
      <c r="AH194" s="53"/>
      <c r="AI194" s="45">
        <f t="shared" si="45"/>
        <v>-140010</v>
      </c>
      <c r="AJ194" s="45"/>
      <c r="AK194" s="53">
        <v>-7698</v>
      </c>
      <c r="AL194" s="45"/>
      <c r="AM194" s="53">
        <v>0</v>
      </c>
      <c r="AN194" s="53"/>
      <c r="AO194" s="53">
        <v>0</v>
      </c>
      <c r="AP194" s="53"/>
      <c r="AQ194" s="53">
        <v>1376774</v>
      </c>
      <c r="AR194" s="53"/>
      <c r="AS194" s="45">
        <f t="shared" si="40"/>
        <v>1229066</v>
      </c>
      <c r="AT194" s="45"/>
      <c r="AU194" s="53">
        <v>0</v>
      </c>
      <c r="AV194" s="53"/>
      <c r="AW194" s="53">
        <v>0</v>
      </c>
      <c r="AX194" s="53"/>
      <c r="AY194" s="53">
        <f t="shared" si="46"/>
        <v>-337056</v>
      </c>
      <c r="AZ194" s="53"/>
      <c r="BA194" s="35" t="s">
        <v>228</v>
      </c>
      <c r="BC194" s="35" t="s">
        <v>153</v>
      </c>
      <c r="BD194" s="53"/>
      <c r="BE194" s="53">
        <v>0</v>
      </c>
      <c r="BF194" s="53"/>
      <c r="BG194" s="53">
        <v>0</v>
      </c>
      <c r="BH194" s="53"/>
      <c r="BI194" s="53">
        <v>0</v>
      </c>
      <c r="BJ194" s="53"/>
      <c r="BK194" s="53">
        <v>0</v>
      </c>
      <c r="BL194" s="53"/>
      <c r="BM194" s="53">
        <f t="shared" si="47"/>
        <v>0</v>
      </c>
      <c r="BN194" s="54" t="s">
        <v>347</v>
      </c>
      <c r="BO194" s="55" t="s">
        <v>404</v>
      </c>
      <c r="BR194" s="51"/>
      <c r="BS194" s="53"/>
      <c r="BT194" s="53"/>
      <c r="BU194" s="53"/>
      <c r="BV194" s="53"/>
      <c r="BW194" s="53"/>
      <c r="BX194" s="45"/>
      <c r="BY194" s="45"/>
      <c r="BZ194" s="53"/>
      <c r="CA194" s="53"/>
      <c r="CB194" s="53"/>
      <c r="CC194" s="53"/>
      <c r="CD194" s="53"/>
      <c r="CE194" s="53"/>
      <c r="CF194" s="35"/>
      <c r="CH194" s="35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4"/>
    </row>
    <row r="195" spans="1:108" s="55" customFormat="1" ht="12.75" customHeight="1">
      <c r="A195" s="35" t="s">
        <v>229</v>
      </c>
      <c r="B195" s="51"/>
      <c r="C195" s="35" t="s">
        <v>228</v>
      </c>
      <c r="D195" s="44"/>
      <c r="E195" s="53">
        <v>2321193</v>
      </c>
      <c r="F195" s="53"/>
      <c r="G195" s="53">
        <v>20656192</v>
      </c>
      <c r="H195" s="53"/>
      <c r="I195" s="53">
        <v>22977383</v>
      </c>
      <c r="J195" s="53"/>
      <c r="K195" s="53">
        <f t="shared" si="43"/>
        <v>500643</v>
      </c>
      <c r="L195" s="53"/>
      <c r="M195" s="53">
        <v>6230025</v>
      </c>
      <c r="N195" s="53"/>
      <c r="O195" s="53">
        <v>6730668</v>
      </c>
      <c r="P195" s="53"/>
      <c r="Q195" s="53">
        <v>14171192</v>
      </c>
      <c r="R195" s="53"/>
      <c r="S195" s="53">
        <v>0</v>
      </c>
      <c r="T195" s="53"/>
      <c r="U195" s="53">
        <v>2075525</v>
      </c>
      <c r="V195" s="53"/>
      <c r="W195" s="53">
        <f t="shared" si="49"/>
        <v>16246717</v>
      </c>
      <c r="X195" s="53"/>
      <c r="Y195" s="35" t="s">
        <v>229</v>
      </c>
      <c r="AA195" s="35" t="s">
        <v>228</v>
      </c>
      <c r="AB195" s="35"/>
      <c r="AC195" s="53">
        <v>4058115</v>
      </c>
      <c r="AD195" s="53"/>
      <c r="AE195" s="53">
        <f>3510516-913382</f>
        <v>2597134</v>
      </c>
      <c r="AF195" s="53"/>
      <c r="AG195" s="53">
        <v>913382</v>
      </c>
      <c r="AH195" s="53"/>
      <c r="AI195" s="45">
        <f t="shared" si="45"/>
        <v>547599</v>
      </c>
      <c r="AJ195" s="45"/>
      <c r="AK195" s="53">
        <v>-196111</v>
      </c>
      <c r="AL195" s="45"/>
      <c r="AM195" s="53">
        <v>3588</v>
      </c>
      <c r="AN195" s="53"/>
      <c r="AO195" s="53">
        <v>14000</v>
      </c>
      <c r="AP195" s="53"/>
      <c r="AQ195" s="53">
        <v>115311</v>
      </c>
      <c r="AR195" s="53"/>
      <c r="AS195" s="45">
        <f t="shared" si="40"/>
        <v>456387</v>
      </c>
      <c r="AT195" s="45"/>
      <c r="AU195" s="53">
        <v>0</v>
      </c>
      <c r="AV195" s="53"/>
      <c r="AW195" s="53">
        <v>0</v>
      </c>
      <c r="AX195" s="53"/>
      <c r="AY195" s="53">
        <f t="shared" si="46"/>
        <v>1820550</v>
      </c>
      <c r="AZ195" s="53"/>
      <c r="BA195" s="35" t="s">
        <v>229</v>
      </c>
      <c r="BC195" s="35" t="s">
        <v>228</v>
      </c>
      <c r="BD195" s="53"/>
      <c r="BE195" s="53">
        <v>0</v>
      </c>
      <c r="BF195" s="53"/>
      <c r="BG195" s="53">
        <v>0</v>
      </c>
      <c r="BH195" s="53"/>
      <c r="BI195" s="53">
        <v>0</v>
      </c>
      <c r="BJ195" s="53"/>
      <c r="BK195" s="53">
        <v>0</v>
      </c>
      <c r="BL195" s="53"/>
      <c r="BM195" s="53">
        <f t="shared" si="47"/>
        <v>0</v>
      </c>
      <c r="BN195" s="54" t="s">
        <v>347</v>
      </c>
      <c r="BO195" s="35" t="s">
        <v>404</v>
      </c>
      <c r="BP195" s="35"/>
      <c r="BQ195" s="35"/>
      <c r="BR195" s="51"/>
      <c r="BS195" s="53"/>
      <c r="BT195" s="53"/>
      <c r="BU195" s="53"/>
      <c r="BV195" s="53"/>
      <c r="BW195" s="53"/>
      <c r="BX195" s="45"/>
      <c r="BY195" s="45"/>
      <c r="BZ195" s="53"/>
      <c r="CA195" s="53"/>
      <c r="CB195" s="53"/>
      <c r="CC195" s="53"/>
      <c r="CD195" s="53"/>
      <c r="CE195" s="53"/>
      <c r="CF195" s="35"/>
      <c r="CH195" s="35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4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</row>
    <row r="196" spans="1:108" s="143" customFormat="1" ht="12.75" hidden="1" customHeight="1">
      <c r="A196" s="126" t="s">
        <v>230</v>
      </c>
      <c r="B196" s="124"/>
      <c r="C196" s="126" t="s">
        <v>45</v>
      </c>
      <c r="D196" s="121"/>
      <c r="E196" s="140"/>
      <c r="F196" s="140"/>
      <c r="G196" s="140"/>
      <c r="H196" s="140"/>
      <c r="I196" s="140"/>
      <c r="J196" s="140"/>
      <c r="K196" s="140">
        <f t="shared" si="43"/>
        <v>0</v>
      </c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  <c r="W196" s="140">
        <f t="shared" si="49"/>
        <v>0</v>
      </c>
      <c r="X196" s="140"/>
      <c r="Y196" s="126" t="s">
        <v>230</v>
      </c>
      <c r="AA196" s="126" t="s">
        <v>45</v>
      </c>
      <c r="AB196" s="126"/>
      <c r="AC196" s="140"/>
      <c r="AD196" s="140"/>
      <c r="AE196" s="140"/>
      <c r="AF196" s="140"/>
      <c r="AG196" s="140"/>
      <c r="AH196" s="140"/>
      <c r="AI196" s="127">
        <f t="shared" si="45"/>
        <v>0</v>
      </c>
      <c r="AJ196" s="127"/>
      <c r="AK196" s="140"/>
      <c r="AL196" s="127"/>
      <c r="AM196" s="53">
        <v>0</v>
      </c>
      <c r="AN196" s="53"/>
      <c r="AO196" s="53">
        <v>0</v>
      </c>
      <c r="AP196" s="140"/>
      <c r="AQ196" s="140"/>
      <c r="AR196" s="140"/>
      <c r="AS196" s="45">
        <f t="shared" si="40"/>
        <v>0</v>
      </c>
      <c r="AT196" s="127"/>
      <c r="AU196" s="140">
        <v>0</v>
      </c>
      <c r="AV196" s="140"/>
      <c r="AW196" s="140">
        <v>0</v>
      </c>
      <c r="AX196" s="140"/>
      <c r="AY196" s="140">
        <f t="shared" si="46"/>
        <v>0</v>
      </c>
      <c r="AZ196" s="140"/>
      <c r="BA196" s="126" t="s">
        <v>230</v>
      </c>
      <c r="BC196" s="126" t="s">
        <v>45</v>
      </c>
      <c r="BD196" s="140"/>
      <c r="BE196" s="140"/>
      <c r="BF196" s="140"/>
      <c r="BG196" s="140"/>
      <c r="BH196" s="140"/>
      <c r="BI196" s="140"/>
      <c r="BJ196" s="140"/>
      <c r="BK196" s="140"/>
      <c r="BL196" s="140"/>
      <c r="BM196" s="140">
        <f t="shared" si="47"/>
        <v>0</v>
      </c>
      <c r="BN196" s="142" t="s">
        <v>347</v>
      </c>
      <c r="BR196" s="124"/>
      <c r="BS196" s="140"/>
      <c r="BT196" s="140"/>
      <c r="BU196" s="140"/>
      <c r="BV196" s="140"/>
      <c r="BW196" s="140"/>
      <c r="BX196" s="127"/>
      <c r="BY196" s="127"/>
      <c r="BZ196" s="140"/>
      <c r="CA196" s="140"/>
      <c r="CB196" s="140"/>
      <c r="CC196" s="140"/>
      <c r="CD196" s="140"/>
      <c r="CE196" s="140"/>
      <c r="CF196" s="126"/>
      <c r="CH196" s="126"/>
      <c r="CI196" s="140"/>
      <c r="CJ196" s="140"/>
      <c r="CK196" s="140"/>
      <c r="CL196" s="140"/>
      <c r="CM196" s="140"/>
      <c r="CN196" s="140"/>
      <c r="CO196" s="140"/>
      <c r="CP196" s="140"/>
      <c r="CQ196" s="140"/>
      <c r="CR196" s="140"/>
      <c r="CS196" s="142"/>
    </row>
    <row r="197" spans="1:108" s="143" customFormat="1" ht="12.75" hidden="1" customHeight="1">
      <c r="A197" s="126" t="s">
        <v>231</v>
      </c>
      <c r="B197" s="124"/>
      <c r="C197" s="126" t="s">
        <v>27</v>
      </c>
      <c r="D197" s="121"/>
      <c r="E197" s="140"/>
      <c r="F197" s="140"/>
      <c r="G197" s="140"/>
      <c r="H197" s="140"/>
      <c r="I197" s="140"/>
      <c r="J197" s="140"/>
      <c r="K197" s="140">
        <f t="shared" si="43"/>
        <v>0</v>
      </c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  <c r="W197" s="140">
        <f t="shared" si="49"/>
        <v>0</v>
      </c>
      <c r="X197" s="140"/>
      <c r="Y197" s="126" t="s">
        <v>231</v>
      </c>
      <c r="AA197" s="126" t="s">
        <v>27</v>
      </c>
      <c r="AB197" s="126"/>
      <c r="AC197" s="140"/>
      <c r="AD197" s="140"/>
      <c r="AE197" s="140"/>
      <c r="AF197" s="140"/>
      <c r="AG197" s="140"/>
      <c r="AH197" s="140"/>
      <c r="AI197" s="127">
        <f t="shared" si="45"/>
        <v>0</v>
      </c>
      <c r="AJ197" s="127"/>
      <c r="AK197" s="140"/>
      <c r="AL197" s="127"/>
      <c r="AM197" s="53">
        <v>0</v>
      </c>
      <c r="AN197" s="53"/>
      <c r="AO197" s="53">
        <v>0</v>
      </c>
      <c r="AP197" s="140"/>
      <c r="AQ197" s="140">
        <v>0</v>
      </c>
      <c r="AR197" s="140"/>
      <c r="AS197" s="45">
        <f t="shared" si="40"/>
        <v>0</v>
      </c>
      <c r="AT197" s="127"/>
      <c r="AU197" s="140">
        <v>0</v>
      </c>
      <c r="AV197" s="140"/>
      <c r="AW197" s="140">
        <v>0</v>
      </c>
      <c r="AX197" s="140"/>
      <c r="AY197" s="140">
        <f t="shared" si="46"/>
        <v>0</v>
      </c>
      <c r="AZ197" s="140"/>
      <c r="BA197" s="126" t="s">
        <v>231</v>
      </c>
      <c r="BC197" s="126" t="s">
        <v>27</v>
      </c>
      <c r="BD197" s="140"/>
      <c r="BE197" s="140"/>
      <c r="BF197" s="140"/>
      <c r="BG197" s="140"/>
      <c r="BH197" s="140"/>
      <c r="BI197" s="140"/>
      <c r="BJ197" s="140"/>
      <c r="BK197" s="140"/>
      <c r="BL197" s="140"/>
      <c r="BM197" s="140">
        <f t="shared" si="47"/>
        <v>0</v>
      </c>
      <c r="BN197" s="142" t="s">
        <v>347</v>
      </c>
      <c r="BR197" s="124"/>
      <c r="BS197" s="140"/>
      <c r="BT197" s="140"/>
      <c r="BU197" s="140"/>
      <c r="BV197" s="140"/>
      <c r="BW197" s="127"/>
      <c r="BX197" s="127"/>
      <c r="BY197" s="140"/>
      <c r="BZ197" s="140"/>
      <c r="CA197" s="140"/>
      <c r="CB197" s="140"/>
      <c r="CC197" s="140"/>
      <c r="CD197" s="140"/>
      <c r="CE197" s="140"/>
      <c r="CF197" s="126"/>
      <c r="CH197" s="126"/>
      <c r="CI197" s="140"/>
      <c r="CJ197" s="140"/>
      <c r="CK197" s="140"/>
      <c r="CL197" s="140"/>
      <c r="CM197" s="140"/>
      <c r="CN197" s="140"/>
      <c r="CO197" s="140"/>
      <c r="CP197" s="140"/>
      <c r="CQ197" s="140"/>
      <c r="CR197" s="140"/>
      <c r="CS197" s="142"/>
    </row>
    <row r="198" spans="1:108" s="143" customFormat="1" ht="12.75" hidden="1" customHeight="1">
      <c r="A198" s="126" t="s">
        <v>232</v>
      </c>
      <c r="B198" s="124"/>
      <c r="C198" s="126" t="s">
        <v>27</v>
      </c>
      <c r="D198" s="121"/>
      <c r="E198" s="140"/>
      <c r="F198" s="140"/>
      <c r="G198" s="140"/>
      <c r="H198" s="140"/>
      <c r="I198" s="140"/>
      <c r="J198" s="140"/>
      <c r="K198" s="140">
        <f t="shared" si="43"/>
        <v>0</v>
      </c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  <c r="W198" s="140">
        <f t="shared" si="49"/>
        <v>0</v>
      </c>
      <c r="X198" s="140"/>
      <c r="Y198" s="126" t="s">
        <v>232</v>
      </c>
      <c r="AA198" s="126" t="s">
        <v>27</v>
      </c>
      <c r="AB198" s="126"/>
      <c r="AC198" s="140"/>
      <c r="AD198" s="140"/>
      <c r="AE198" s="140"/>
      <c r="AF198" s="140"/>
      <c r="AG198" s="140"/>
      <c r="AH198" s="140"/>
      <c r="AI198" s="127">
        <f t="shared" si="45"/>
        <v>0</v>
      </c>
      <c r="AJ198" s="127"/>
      <c r="AK198" s="140"/>
      <c r="AL198" s="127"/>
      <c r="AM198" s="53">
        <v>0</v>
      </c>
      <c r="AN198" s="53"/>
      <c r="AO198" s="53">
        <v>0</v>
      </c>
      <c r="AP198" s="140"/>
      <c r="AQ198" s="140">
        <v>0</v>
      </c>
      <c r="AR198" s="140"/>
      <c r="AS198" s="45">
        <f t="shared" si="40"/>
        <v>0</v>
      </c>
      <c r="AT198" s="127"/>
      <c r="AU198" s="140">
        <v>0</v>
      </c>
      <c r="AV198" s="140"/>
      <c r="AW198" s="140">
        <v>0</v>
      </c>
      <c r="AX198" s="140"/>
      <c r="AY198" s="140">
        <f t="shared" si="46"/>
        <v>0</v>
      </c>
      <c r="AZ198" s="140"/>
      <c r="BA198" s="126" t="s">
        <v>232</v>
      </c>
      <c r="BC198" s="126" t="s">
        <v>27</v>
      </c>
      <c r="BD198" s="140"/>
      <c r="BE198" s="140"/>
      <c r="BF198" s="140"/>
      <c r="BG198" s="140"/>
      <c r="BH198" s="140"/>
      <c r="BI198" s="140"/>
      <c r="BJ198" s="140"/>
      <c r="BK198" s="140"/>
      <c r="BL198" s="140"/>
      <c r="BM198" s="140">
        <f t="shared" si="47"/>
        <v>0</v>
      </c>
      <c r="BN198" s="142" t="s">
        <v>347</v>
      </c>
      <c r="BR198" s="124"/>
      <c r="BS198" s="140"/>
      <c r="BT198" s="140"/>
      <c r="BU198" s="140"/>
      <c r="BV198" s="140"/>
      <c r="BW198" s="140"/>
      <c r="BX198" s="127"/>
      <c r="BY198" s="127"/>
      <c r="BZ198" s="140"/>
      <c r="CA198" s="140"/>
      <c r="CB198" s="140"/>
      <c r="CC198" s="140"/>
      <c r="CD198" s="140"/>
      <c r="CE198" s="140"/>
      <c r="CF198" s="126"/>
      <c r="CH198" s="126"/>
      <c r="CI198" s="140"/>
      <c r="CJ198" s="140"/>
      <c r="CK198" s="140"/>
      <c r="CL198" s="140"/>
      <c r="CM198" s="140"/>
      <c r="CN198" s="140"/>
      <c r="CO198" s="140"/>
      <c r="CP198" s="140"/>
      <c r="CQ198" s="140"/>
      <c r="CR198" s="140"/>
      <c r="CS198" s="142"/>
    </row>
    <row r="199" spans="1:108" s="55" customFormat="1" ht="12.75" customHeight="1">
      <c r="A199" s="35" t="s">
        <v>233</v>
      </c>
      <c r="B199" s="51"/>
      <c r="C199" s="35" t="s">
        <v>111</v>
      </c>
      <c r="D199" s="44"/>
      <c r="E199" s="53">
        <v>3809551</v>
      </c>
      <c r="F199" s="53"/>
      <c r="G199" s="53">
        <v>38400277</v>
      </c>
      <c r="H199" s="53"/>
      <c r="I199" s="53">
        <v>42209828</v>
      </c>
      <c r="J199" s="53"/>
      <c r="K199" s="53">
        <f t="shared" si="43"/>
        <v>885538</v>
      </c>
      <c r="L199" s="53"/>
      <c r="M199" s="53">
        <v>19114893</v>
      </c>
      <c r="N199" s="53"/>
      <c r="O199" s="53">
        <v>20000431</v>
      </c>
      <c r="P199" s="53"/>
      <c r="Q199" s="53">
        <v>16355551</v>
      </c>
      <c r="R199" s="53"/>
      <c r="S199" s="53">
        <v>2195181</v>
      </c>
      <c r="T199" s="53"/>
      <c r="U199" s="53">
        <v>3658665</v>
      </c>
      <c r="V199" s="53"/>
      <c r="W199" s="53">
        <f t="shared" si="49"/>
        <v>22209397</v>
      </c>
      <c r="X199" s="53"/>
      <c r="Y199" s="35" t="s">
        <v>233</v>
      </c>
      <c r="AA199" s="35" t="s">
        <v>111</v>
      </c>
      <c r="AB199" s="35"/>
      <c r="AC199" s="53">
        <v>2494398</v>
      </c>
      <c r="AD199" s="53"/>
      <c r="AE199" s="53">
        <f>2327210-643676</f>
        <v>1683534</v>
      </c>
      <c r="AF199" s="53"/>
      <c r="AG199" s="53">
        <v>643676</v>
      </c>
      <c r="AH199" s="53"/>
      <c r="AI199" s="45">
        <f t="shared" si="45"/>
        <v>167188</v>
      </c>
      <c r="AJ199" s="45"/>
      <c r="AK199" s="53">
        <v>-912442</v>
      </c>
      <c r="AL199" s="45"/>
      <c r="AM199" s="53">
        <v>1000000</v>
      </c>
      <c r="AN199" s="53"/>
      <c r="AO199" s="53">
        <v>0</v>
      </c>
      <c r="AP199" s="53"/>
      <c r="AQ199" s="53">
        <f>236719+99129</f>
        <v>335848</v>
      </c>
      <c r="AR199" s="53"/>
      <c r="AS199" s="45">
        <f t="shared" si="40"/>
        <v>590594</v>
      </c>
      <c r="AT199" s="45"/>
      <c r="AU199" s="53">
        <v>0</v>
      </c>
      <c r="AV199" s="53"/>
      <c r="AW199" s="53">
        <v>0</v>
      </c>
      <c r="AX199" s="53"/>
      <c r="AY199" s="53">
        <f t="shared" si="46"/>
        <v>2924013</v>
      </c>
      <c r="AZ199" s="53"/>
      <c r="BA199" s="35" t="s">
        <v>233</v>
      </c>
      <c r="BC199" s="35" t="s">
        <v>111</v>
      </c>
      <c r="BD199" s="53"/>
      <c r="BE199" s="53">
        <v>13522197</v>
      </c>
      <c r="BF199" s="53"/>
      <c r="BG199" s="53">
        <v>22298880</v>
      </c>
      <c r="BH199" s="53"/>
      <c r="BI199" s="53">
        <v>0</v>
      </c>
      <c r="BJ199" s="53"/>
      <c r="BK199" s="53">
        <f>84181+340600</f>
        <v>424781</v>
      </c>
      <c r="BL199" s="53"/>
      <c r="BM199" s="53">
        <f t="shared" si="47"/>
        <v>36245858</v>
      </c>
      <c r="BN199" s="54" t="s">
        <v>347</v>
      </c>
      <c r="BR199" s="51"/>
      <c r="BS199" s="53"/>
      <c r="BT199" s="53"/>
      <c r="BU199" s="53"/>
      <c r="BV199" s="53"/>
      <c r="BW199" s="53"/>
      <c r="BX199" s="45"/>
      <c r="BY199" s="45"/>
      <c r="BZ199" s="53"/>
      <c r="CA199" s="53"/>
      <c r="CB199" s="53"/>
      <c r="CC199" s="53"/>
      <c r="CD199" s="53"/>
      <c r="CE199" s="53"/>
      <c r="CF199" s="35"/>
      <c r="CH199" s="35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4"/>
    </row>
    <row r="200" spans="1:108" s="143" customFormat="1" ht="12.75" hidden="1" customHeight="1">
      <c r="A200" s="126" t="s">
        <v>234</v>
      </c>
      <c r="B200" s="124"/>
      <c r="C200" s="126" t="s">
        <v>45</v>
      </c>
      <c r="D200" s="121"/>
      <c r="E200" s="140"/>
      <c r="F200" s="140"/>
      <c r="G200" s="140"/>
      <c r="H200" s="140"/>
      <c r="I200" s="140"/>
      <c r="J200" s="140"/>
      <c r="K200" s="140">
        <f t="shared" si="43"/>
        <v>0</v>
      </c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  <c r="W200" s="140">
        <f t="shared" si="49"/>
        <v>0</v>
      </c>
      <c r="X200" s="140"/>
      <c r="Y200" s="126" t="s">
        <v>234</v>
      </c>
      <c r="AA200" s="126" t="s">
        <v>45</v>
      </c>
      <c r="AB200" s="126"/>
      <c r="AC200" s="140"/>
      <c r="AD200" s="140"/>
      <c r="AE200" s="140"/>
      <c r="AF200" s="140"/>
      <c r="AG200" s="140"/>
      <c r="AH200" s="140"/>
      <c r="AI200" s="127">
        <f t="shared" si="45"/>
        <v>0</v>
      </c>
      <c r="AJ200" s="127"/>
      <c r="AK200" s="140"/>
      <c r="AL200" s="127"/>
      <c r="AM200" s="53">
        <v>0</v>
      </c>
      <c r="AN200" s="53"/>
      <c r="AO200" s="53">
        <v>0</v>
      </c>
      <c r="AP200" s="140"/>
      <c r="AQ200" s="140">
        <v>0</v>
      </c>
      <c r="AR200" s="140"/>
      <c r="AS200" s="45">
        <f t="shared" si="40"/>
        <v>0</v>
      </c>
      <c r="AT200" s="127"/>
      <c r="AU200" s="140">
        <v>0</v>
      </c>
      <c r="AV200" s="140"/>
      <c r="AW200" s="140">
        <v>0</v>
      </c>
      <c r="AX200" s="140"/>
      <c r="AY200" s="140">
        <f t="shared" si="46"/>
        <v>0</v>
      </c>
      <c r="AZ200" s="140"/>
      <c r="BA200" s="126" t="s">
        <v>234</v>
      </c>
      <c r="BC200" s="126" t="s">
        <v>45</v>
      </c>
      <c r="BD200" s="140"/>
      <c r="BE200" s="140"/>
      <c r="BF200" s="140"/>
      <c r="BG200" s="140"/>
      <c r="BH200" s="140"/>
      <c r="BI200" s="140"/>
      <c r="BJ200" s="140"/>
      <c r="BK200" s="140"/>
      <c r="BL200" s="140"/>
      <c r="BM200" s="140">
        <f t="shared" si="47"/>
        <v>0</v>
      </c>
      <c r="BN200" s="142" t="s">
        <v>347</v>
      </c>
      <c r="BR200" s="124"/>
      <c r="BS200" s="140"/>
      <c r="BT200" s="140"/>
      <c r="BU200" s="140"/>
      <c r="BV200" s="140"/>
      <c r="BW200" s="127"/>
      <c r="BX200" s="127"/>
      <c r="BY200" s="140"/>
      <c r="BZ200" s="140"/>
      <c r="CA200" s="140"/>
      <c r="CB200" s="140"/>
      <c r="CC200" s="140"/>
      <c r="CD200" s="140"/>
      <c r="CE200" s="140"/>
      <c r="CF200" s="126"/>
      <c r="CH200" s="126"/>
      <c r="CI200" s="140"/>
      <c r="CJ200" s="140"/>
      <c r="CK200" s="140"/>
      <c r="CL200" s="140"/>
      <c r="CM200" s="140"/>
      <c r="CN200" s="140"/>
      <c r="CO200" s="140"/>
      <c r="CP200" s="140"/>
      <c r="CQ200" s="140"/>
      <c r="CR200" s="140"/>
      <c r="CS200" s="142"/>
    </row>
    <row r="201" spans="1:108" s="55" customFormat="1" ht="12.75" customHeight="1">
      <c r="A201" s="35" t="s">
        <v>235</v>
      </c>
      <c r="B201" s="51"/>
      <c r="C201" s="35" t="s">
        <v>183</v>
      </c>
      <c r="D201" s="44"/>
      <c r="E201" s="53">
        <v>13488567</v>
      </c>
      <c r="F201" s="53"/>
      <c r="G201" s="53">
        <v>41335347</v>
      </c>
      <c r="H201" s="53"/>
      <c r="I201" s="53">
        <v>54823914</v>
      </c>
      <c r="J201" s="53"/>
      <c r="K201" s="53">
        <f t="shared" si="43"/>
        <v>3144246</v>
      </c>
      <c r="L201" s="53"/>
      <c r="M201" s="53">
        <v>16364337</v>
      </c>
      <c r="N201" s="53"/>
      <c r="O201" s="53">
        <v>19508583</v>
      </c>
      <c r="P201" s="53"/>
      <c r="Q201" s="53">
        <v>23009539</v>
      </c>
      <c r="R201" s="53"/>
      <c r="S201" s="53">
        <v>0</v>
      </c>
      <c r="T201" s="53"/>
      <c r="U201" s="53">
        <v>12305792</v>
      </c>
      <c r="V201" s="53"/>
      <c r="W201" s="53">
        <f t="shared" si="49"/>
        <v>35315331</v>
      </c>
      <c r="X201" s="53"/>
      <c r="Y201" s="35" t="s">
        <v>235</v>
      </c>
      <c r="AA201" s="35" t="s">
        <v>183</v>
      </c>
      <c r="AB201" s="35"/>
      <c r="AC201" s="53">
        <v>10750290</v>
      </c>
      <c r="AD201" s="53"/>
      <c r="AE201" s="53">
        <f>8766319-2887725</f>
        <v>5878594</v>
      </c>
      <c r="AF201" s="53"/>
      <c r="AG201" s="53">
        <v>2887725</v>
      </c>
      <c r="AH201" s="53"/>
      <c r="AI201" s="45">
        <f t="shared" si="45"/>
        <v>1983971</v>
      </c>
      <c r="AJ201" s="45"/>
      <c r="AK201" s="53">
        <v>62399</v>
      </c>
      <c r="AL201" s="45"/>
      <c r="AM201" s="53">
        <v>0</v>
      </c>
      <c r="AN201" s="53"/>
      <c r="AO201" s="53">
        <v>142415</v>
      </c>
      <c r="AP201" s="53"/>
      <c r="AQ201" s="53">
        <v>665634</v>
      </c>
      <c r="AR201" s="53"/>
      <c r="AS201" s="45">
        <f t="shared" ref="AS201:AS209" si="50">+AI201+AK201+AM201-AO201+AQ201</f>
        <v>2569589</v>
      </c>
      <c r="AT201" s="45"/>
      <c r="AU201" s="53">
        <v>0</v>
      </c>
      <c r="AV201" s="53"/>
      <c r="AW201" s="53">
        <v>0</v>
      </c>
      <c r="AX201" s="53"/>
      <c r="AY201" s="53">
        <f t="shared" si="46"/>
        <v>10344321</v>
      </c>
      <c r="AZ201" s="53"/>
      <c r="BA201" s="35" t="s">
        <v>235</v>
      </c>
      <c r="BC201" s="35" t="s">
        <v>183</v>
      </c>
      <c r="BD201" s="53"/>
      <c r="BE201" s="53">
        <v>11713</v>
      </c>
      <c r="BF201" s="53"/>
      <c r="BG201" s="53">
        <v>0</v>
      </c>
      <c r="BH201" s="53"/>
      <c r="BI201" s="53">
        <f>2726+1421+2625</f>
        <v>6772</v>
      </c>
      <c r="BJ201" s="53"/>
      <c r="BK201" s="53">
        <f>890-235</f>
        <v>655</v>
      </c>
      <c r="BL201" s="53"/>
      <c r="BM201" s="53">
        <f t="shared" si="47"/>
        <v>19140</v>
      </c>
      <c r="BN201" s="54" t="s">
        <v>347</v>
      </c>
      <c r="BO201" s="55" t="s">
        <v>404</v>
      </c>
      <c r="BR201" s="51"/>
      <c r="BS201" s="53"/>
      <c r="BT201" s="53"/>
      <c r="BU201" s="53"/>
      <c r="BV201" s="53"/>
      <c r="BW201" s="53"/>
      <c r="BX201" s="45"/>
      <c r="BY201" s="45"/>
      <c r="BZ201" s="53"/>
      <c r="CA201" s="53"/>
      <c r="CB201" s="53"/>
      <c r="CC201" s="53"/>
      <c r="CD201" s="53"/>
      <c r="CE201" s="53"/>
      <c r="CF201" s="35"/>
      <c r="CH201" s="35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4"/>
    </row>
    <row r="202" spans="1:108" s="143" customFormat="1" ht="12.75" hidden="1" customHeight="1">
      <c r="A202" s="126" t="s">
        <v>236</v>
      </c>
      <c r="B202" s="124"/>
      <c r="C202" s="126" t="s">
        <v>45</v>
      </c>
      <c r="D202" s="121"/>
      <c r="E202" s="140"/>
      <c r="F202" s="140"/>
      <c r="G202" s="140"/>
      <c r="H202" s="140"/>
      <c r="I202" s="140"/>
      <c r="J202" s="140"/>
      <c r="K202" s="140">
        <f t="shared" si="43"/>
        <v>0</v>
      </c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  <c r="W202" s="140">
        <f t="shared" si="49"/>
        <v>0</v>
      </c>
      <c r="X202" s="140"/>
      <c r="Y202" s="126" t="s">
        <v>236</v>
      </c>
      <c r="AA202" s="126" t="s">
        <v>45</v>
      </c>
      <c r="AB202" s="126"/>
      <c r="AC202" s="140"/>
      <c r="AD202" s="140"/>
      <c r="AE202" s="140"/>
      <c r="AF202" s="140"/>
      <c r="AG202" s="140"/>
      <c r="AH202" s="140"/>
      <c r="AI202" s="127">
        <f t="shared" si="45"/>
        <v>0</v>
      </c>
      <c r="AJ202" s="127"/>
      <c r="AK202" s="140"/>
      <c r="AL202" s="127"/>
      <c r="AM202" s="53">
        <v>0</v>
      </c>
      <c r="AN202" s="53"/>
      <c r="AO202" s="53">
        <v>0</v>
      </c>
      <c r="AP202" s="140"/>
      <c r="AQ202" s="140">
        <v>0</v>
      </c>
      <c r="AR202" s="140"/>
      <c r="AS202" s="45">
        <f t="shared" si="50"/>
        <v>0</v>
      </c>
      <c r="AT202" s="127"/>
      <c r="AU202" s="140">
        <v>0</v>
      </c>
      <c r="AV202" s="140"/>
      <c r="AW202" s="140">
        <v>0</v>
      </c>
      <c r="AX202" s="140"/>
      <c r="AY202" s="140">
        <f t="shared" si="46"/>
        <v>0</v>
      </c>
      <c r="AZ202" s="140"/>
      <c r="BA202" s="126" t="s">
        <v>236</v>
      </c>
      <c r="BC202" s="126" t="s">
        <v>45</v>
      </c>
      <c r="BD202" s="140"/>
      <c r="BE202" s="140"/>
      <c r="BF202" s="140"/>
      <c r="BG202" s="140"/>
      <c r="BH202" s="140"/>
      <c r="BI202" s="140"/>
      <c r="BJ202" s="140"/>
      <c r="BK202" s="140"/>
      <c r="BL202" s="140"/>
      <c r="BM202" s="140">
        <f t="shared" si="47"/>
        <v>0</v>
      </c>
      <c r="BN202" s="142" t="s">
        <v>347</v>
      </c>
      <c r="BR202" s="124"/>
      <c r="BS202" s="140"/>
      <c r="BT202" s="140"/>
      <c r="BU202" s="140"/>
      <c r="BV202" s="140"/>
      <c r="BW202" s="140"/>
      <c r="BX202" s="127"/>
      <c r="BY202" s="127"/>
      <c r="BZ202" s="140"/>
      <c r="CA202" s="140"/>
      <c r="CB202" s="140"/>
      <c r="CC202" s="140"/>
      <c r="CD202" s="140"/>
      <c r="CE202" s="140"/>
      <c r="CF202" s="126"/>
      <c r="CH202" s="126"/>
      <c r="CI202" s="140"/>
      <c r="CJ202" s="140"/>
      <c r="CK202" s="140"/>
      <c r="CL202" s="140"/>
      <c r="CM202" s="140"/>
      <c r="CN202" s="140"/>
      <c r="CO202" s="140"/>
      <c r="CP202" s="140"/>
      <c r="CQ202" s="140"/>
      <c r="CR202" s="140"/>
      <c r="CS202" s="142"/>
    </row>
    <row r="203" spans="1:108" s="55" customFormat="1" ht="12.75" customHeight="1">
      <c r="A203" s="35" t="s">
        <v>237</v>
      </c>
      <c r="B203" s="51"/>
      <c r="C203" s="35" t="s">
        <v>33</v>
      </c>
      <c r="D203" s="44"/>
      <c r="E203" s="53">
        <v>500505</v>
      </c>
      <c r="F203" s="53"/>
      <c r="G203" s="53">
        <v>2684275</v>
      </c>
      <c r="H203" s="53"/>
      <c r="I203" s="53">
        <v>3184325</v>
      </c>
      <c r="J203" s="53"/>
      <c r="K203" s="53">
        <f t="shared" si="43"/>
        <v>136162</v>
      </c>
      <c r="L203" s="53"/>
      <c r="M203" s="53">
        <v>814614</v>
      </c>
      <c r="N203" s="53"/>
      <c r="O203" s="53">
        <v>950776</v>
      </c>
      <c r="P203" s="53"/>
      <c r="Q203" s="53">
        <v>1776797</v>
      </c>
      <c r="R203" s="53"/>
      <c r="S203" s="53">
        <v>0</v>
      </c>
      <c r="T203" s="53"/>
      <c r="U203" s="53">
        <v>456752</v>
      </c>
      <c r="V203" s="53"/>
      <c r="W203" s="53">
        <f t="shared" si="49"/>
        <v>2233549</v>
      </c>
      <c r="X203" s="53"/>
      <c r="Y203" s="35" t="s">
        <v>237</v>
      </c>
      <c r="AA203" s="35" t="s">
        <v>33</v>
      </c>
      <c r="AB203" s="35"/>
      <c r="AC203" s="53">
        <v>788790</v>
      </c>
      <c r="AD203" s="53"/>
      <c r="AE203" s="53">
        <f>986775-362524</f>
        <v>624251</v>
      </c>
      <c r="AF203" s="53"/>
      <c r="AG203" s="53">
        <v>362524</v>
      </c>
      <c r="AH203" s="53"/>
      <c r="AI203" s="45">
        <f t="shared" si="45"/>
        <v>-197985</v>
      </c>
      <c r="AJ203" s="45"/>
      <c r="AK203" s="53">
        <v>-33316</v>
      </c>
      <c r="AL203" s="45"/>
      <c r="AM203" s="53">
        <v>64028</v>
      </c>
      <c r="AN203" s="53"/>
      <c r="AO203" s="53">
        <v>0</v>
      </c>
      <c r="AP203" s="53"/>
      <c r="AQ203" s="53">
        <v>0</v>
      </c>
      <c r="AR203" s="53"/>
      <c r="AS203" s="45">
        <f t="shared" si="50"/>
        <v>-167273</v>
      </c>
      <c r="AT203" s="45"/>
      <c r="AU203" s="53">
        <v>0</v>
      </c>
      <c r="AV203" s="53"/>
      <c r="AW203" s="53">
        <v>0</v>
      </c>
      <c r="AX203" s="53"/>
      <c r="AY203" s="53">
        <f t="shared" si="46"/>
        <v>364343</v>
      </c>
      <c r="AZ203" s="53"/>
      <c r="BA203" s="35" t="s">
        <v>237</v>
      </c>
      <c r="BC203" s="35" t="s">
        <v>33</v>
      </c>
      <c r="BD203" s="53"/>
      <c r="BE203" s="53">
        <v>0</v>
      </c>
      <c r="BF203" s="53"/>
      <c r="BG203" s="53">
        <v>0</v>
      </c>
      <c r="BH203" s="53"/>
      <c r="BI203" s="53">
        <v>0</v>
      </c>
      <c r="BJ203" s="53"/>
      <c r="BK203" s="53">
        <v>123657</v>
      </c>
      <c r="BL203" s="53"/>
      <c r="BM203" s="53">
        <f t="shared" si="47"/>
        <v>123657</v>
      </c>
      <c r="BN203" s="54" t="s">
        <v>347</v>
      </c>
      <c r="BR203" s="51"/>
      <c r="BS203" s="53"/>
      <c r="BT203" s="53"/>
      <c r="BU203" s="53"/>
      <c r="BV203" s="53"/>
      <c r="BW203" s="53"/>
      <c r="BX203" s="45"/>
      <c r="BY203" s="45"/>
      <c r="BZ203" s="53"/>
      <c r="CA203" s="53"/>
      <c r="CB203" s="53"/>
      <c r="CC203" s="53"/>
      <c r="CD203" s="53"/>
      <c r="CE203" s="53"/>
      <c r="CF203" s="35"/>
      <c r="CH203" s="35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4"/>
    </row>
    <row r="204" spans="1:108" s="55" customFormat="1" ht="12.75" customHeight="1">
      <c r="A204" s="35" t="s">
        <v>238</v>
      </c>
      <c r="C204" s="35" t="s">
        <v>239</v>
      </c>
      <c r="D204" s="44"/>
      <c r="E204" s="53">
        <f>20048252-11185044</f>
        <v>8863208</v>
      </c>
      <c r="F204" s="53"/>
      <c r="G204" s="53">
        <v>11185044</v>
      </c>
      <c r="H204" s="53"/>
      <c r="I204" s="53">
        <v>20048252</v>
      </c>
      <c r="J204" s="53"/>
      <c r="K204" s="53">
        <f t="shared" si="43"/>
        <v>765399</v>
      </c>
      <c r="L204" s="53"/>
      <c r="M204" s="53">
        <f>58425+12045000</f>
        <v>12103425</v>
      </c>
      <c r="N204" s="53"/>
      <c r="O204" s="53">
        <v>12868824</v>
      </c>
      <c r="P204" s="53"/>
      <c r="Q204" s="53">
        <v>4249451</v>
      </c>
      <c r="R204" s="53"/>
      <c r="S204" s="53">
        <f>476643+6190763</f>
        <v>6667406</v>
      </c>
      <c r="T204" s="53"/>
      <c r="U204" s="53">
        <v>-3737429</v>
      </c>
      <c r="V204" s="53"/>
      <c r="W204" s="53">
        <f>SUM(Q204:U204)</f>
        <v>7179428</v>
      </c>
      <c r="X204" s="53"/>
      <c r="Y204" s="35" t="s">
        <v>238</v>
      </c>
      <c r="AA204" s="35" t="s">
        <v>239</v>
      </c>
      <c r="AB204" s="35"/>
      <c r="AC204" s="53">
        <v>2107174</v>
      </c>
      <c r="AD204" s="53"/>
      <c r="AE204" s="53">
        <f>1514337-354718</f>
        <v>1159619</v>
      </c>
      <c r="AF204" s="53"/>
      <c r="AG204" s="53">
        <v>354718</v>
      </c>
      <c r="AH204" s="53"/>
      <c r="AI204" s="45">
        <f t="shared" si="45"/>
        <v>592837</v>
      </c>
      <c r="AJ204" s="45"/>
      <c r="AK204" s="53">
        <v>-68649</v>
      </c>
      <c r="AL204" s="45"/>
      <c r="AM204" s="53">
        <v>0</v>
      </c>
      <c r="AN204" s="53"/>
      <c r="AO204" s="53">
        <v>0</v>
      </c>
      <c r="AP204" s="53"/>
      <c r="AQ204" s="53">
        <v>35881</v>
      </c>
      <c r="AR204" s="53"/>
      <c r="AS204" s="45">
        <f t="shared" si="50"/>
        <v>560069</v>
      </c>
      <c r="AT204" s="45"/>
      <c r="AU204" s="53">
        <v>0</v>
      </c>
      <c r="AV204" s="53"/>
      <c r="AW204" s="53">
        <v>0</v>
      </c>
      <c r="AX204" s="53"/>
      <c r="AY204" s="53">
        <f t="shared" si="46"/>
        <v>8097809</v>
      </c>
      <c r="AZ204" s="53"/>
      <c r="BA204" s="35" t="s">
        <v>238</v>
      </c>
      <c r="BC204" s="35" t="s">
        <v>239</v>
      </c>
      <c r="BD204" s="53"/>
      <c r="BE204" s="53">
        <v>0</v>
      </c>
      <c r="BF204" s="53"/>
      <c r="BG204" s="53">
        <v>219773</v>
      </c>
      <c r="BH204" s="53"/>
      <c r="BI204" s="53">
        <v>0</v>
      </c>
      <c r="BJ204" s="53"/>
      <c r="BK204" s="53">
        <v>0</v>
      </c>
      <c r="BL204" s="53"/>
      <c r="BM204" s="53">
        <f t="shared" si="47"/>
        <v>219773</v>
      </c>
      <c r="BN204" s="54" t="s">
        <v>347</v>
      </c>
      <c r="BR204" s="51"/>
      <c r="BS204" s="53"/>
      <c r="BT204" s="53"/>
      <c r="BU204" s="53"/>
      <c r="BV204" s="53"/>
      <c r="BW204" s="53"/>
      <c r="BX204" s="45"/>
      <c r="BY204" s="45"/>
      <c r="BZ204" s="53"/>
      <c r="CA204" s="53"/>
      <c r="CB204" s="53"/>
      <c r="CC204" s="53"/>
      <c r="CD204" s="53"/>
      <c r="CE204" s="53"/>
      <c r="CF204" s="35"/>
      <c r="CH204" s="35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4"/>
    </row>
    <row r="205" spans="1:108" s="55" customFormat="1" ht="12.75" customHeight="1">
      <c r="A205" s="35" t="s">
        <v>486</v>
      </c>
      <c r="B205" s="51"/>
      <c r="C205" s="35" t="s">
        <v>249</v>
      </c>
      <c r="D205" s="44"/>
      <c r="E205" s="53">
        <v>3813004</v>
      </c>
      <c r="F205" s="53"/>
      <c r="G205" s="53">
        <v>13461586</v>
      </c>
      <c r="H205" s="53"/>
      <c r="I205" s="53">
        <v>17274590</v>
      </c>
      <c r="J205" s="53"/>
      <c r="K205" s="53">
        <f>O205-M205</f>
        <v>865069</v>
      </c>
      <c r="L205" s="53"/>
      <c r="M205" s="53">
        <v>11807337</v>
      </c>
      <c r="N205" s="53"/>
      <c r="O205" s="53">
        <v>12672406</v>
      </c>
      <c r="P205" s="53"/>
      <c r="Q205" s="53">
        <v>1266566</v>
      </c>
      <c r="R205" s="53"/>
      <c r="S205" s="53">
        <v>0</v>
      </c>
      <c r="T205" s="53"/>
      <c r="U205" s="53">
        <v>3335618</v>
      </c>
      <c r="V205" s="53"/>
      <c r="W205" s="53">
        <f>SUM(Q205:U205)</f>
        <v>4602184</v>
      </c>
      <c r="X205" s="53"/>
      <c r="Y205" s="35" t="s">
        <v>486</v>
      </c>
      <c r="AA205" s="35" t="s">
        <v>249</v>
      </c>
      <c r="AB205" s="35"/>
      <c r="AC205" s="53">
        <v>6182944</v>
      </c>
      <c r="AD205" s="53"/>
      <c r="AE205" s="53">
        <f>3919970-823401</f>
        <v>3096569</v>
      </c>
      <c r="AF205" s="53"/>
      <c r="AG205" s="53">
        <v>823401</v>
      </c>
      <c r="AH205" s="53"/>
      <c r="AI205" s="45">
        <f>+AC205-AE205-AG205</f>
        <v>2262974</v>
      </c>
      <c r="AJ205" s="45"/>
      <c r="AK205" s="53">
        <v>1117782</v>
      </c>
      <c r="AL205" s="45"/>
      <c r="AM205" s="53">
        <v>0</v>
      </c>
      <c r="AN205" s="53"/>
      <c r="AO205" s="53">
        <v>0</v>
      </c>
      <c r="AP205" s="53"/>
      <c r="AQ205" s="53">
        <v>0</v>
      </c>
      <c r="AR205" s="53"/>
      <c r="AS205" s="45">
        <f t="shared" si="50"/>
        <v>3380756</v>
      </c>
      <c r="AT205" s="45"/>
      <c r="AU205" s="53">
        <v>0</v>
      </c>
      <c r="AV205" s="53"/>
      <c r="AW205" s="53">
        <v>0</v>
      </c>
      <c r="AX205" s="53"/>
      <c r="AY205" s="53">
        <f>+E205-K205</f>
        <v>2947935</v>
      </c>
      <c r="AZ205" s="53"/>
      <c r="BA205" s="35" t="s">
        <v>486</v>
      </c>
      <c r="BC205" s="35" t="s">
        <v>249</v>
      </c>
      <c r="BD205" s="53"/>
      <c r="BE205" s="53">
        <v>1181546</v>
      </c>
      <c r="BF205" s="53"/>
      <c r="BG205" s="53">
        <v>0</v>
      </c>
      <c r="BH205" s="53"/>
      <c r="BI205" s="53">
        <f>215759+10539199+138090+120426</f>
        <v>11013474</v>
      </c>
      <c r="BJ205" s="53"/>
      <c r="BK205" s="53">
        <v>141560</v>
      </c>
      <c r="BL205" s="53"/>
      <c r="BM205" s="53">
        <f>SUM(BE205:BK205)</f>
        <v>12336580</v>
      </c>
      <c r="BN205" s="54" t="s">
        <v>347</v>
      </c>
      <c r="BR205" s="51"/>
      <c r="BS205" s="53"/>
      <c r="BT205" s="53"/>
      <c r="BU205" s="53"/>
      <c r="BV205" s="53"/>
      <c r="BW205" s="53"/>
      <c r="BX205" s="45"/>
      <c r="BY205" s="45"/>
      <c r="BZ205" s="53"/>
      <c r="CA205" s="53"/>
      <c r="CB205" s="53"/>
      <c r="CC205" s="53"/>
      <c r="CD205" s="53"/>
      <c r="CE205" s="53"/>
      <c r="CF205" s="44"/>
      <c r="CH205" s="44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4"/>
    </row>
    <row r="206" spans="1:108" s="143" customFormat="1" ht="12.75" hidden="1" customHeight="1">
      <c r="A206" s="126" t="s">
        <v>240</v>
      </c>
      <c r="B206" s="124"/>
      <c r="C206" s="126" t="s">
        <v>13</v>
      </c>
      <c r="D206" s="121"/>
      <c r="E206" s="140"/>
      <c r="F206" s="140"/>
      <c r="G206" s="140"/>
      <c r="H206" s="140"/>
      <c r="I206" s="140"/>
      <c r="J206" s="140"/>
      <c r="K206" s="140">
        <f t="shared" si="43"/>
        <v>0</v>
      </c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  <c r="W206" s="140">
        <f t="shared" si="49"/>
        <v>0</v>
      </c>
      <c r="X206" s="140"/>
      <c r="Y206" s="126" t="s">
        <v>240</v>
      </c>
      <c r="AA206" s="126" t="s">
        <v>13</v>
      </c>
      <c r="AB206" s="126"/>
      <c r="AC206" s="140"/>
      <c r="AD206" s="140"/>
      <c r="AE206" s="140"/>
      <c r="AF206" s="140"/>
      <c r="AG206" s="140"/>
      <c r="AH206" s="140"/>
      <c r="AI206" s="127">
        <f t="shared" si="45"/>
        <v>0</v>
      </c>
      <c r="AJ206" s="127"/>
      <c r="AK206" s="140"/>
      <c r="AL206" s="127"/>
      <c r="AM206" s="53">
        <v>0</v>
      </c>
      <c r="AN206" s="53"/>
      <c r="AO206" s="53">
        <v>0</v>
      </c>
      <c r="AP206" s="140"/>
      <c r="AQ206" s="140">
        <v>0</v>
      </c>
      <c r="AR206" s="140"/>
      <c r="AS206" s="45">
        <f t="shared" si="50"/>
        <v>0</v>
      </c>
      <c r="AT206" s="127"/>
      <c r="AU206" s="140">
        <v>0</v>
      </c>
      <c r="AV206" s="140"/>
      <c r="AW206" s="140">
        <v>0</v>
      </c>
      <c r="AX206" s="140"/>
      <c r="AY206" s="140">
        <f t="shared" si="46"/>
        <v>0</v>
      </c>
      <c r="AZ206" s="140"/>
      <c r="BA206" s="126" t="s">
        <v>240</v>
      </c>
      <c r="BC206" s="126" t="s">
        <v>13</v>
      </c>
      <c r="BD206" s="140"/>
      <c r="BE206" s="140"/>
      <c r="BF206" s="140"/>
      <c r="BG206" s="140"/>
      <c r="BH206" s="140"/>
      <c r="BI206" s="140"/>
      <c r="BJ206" s="140"/>
      <c r="BK206" s="140"/>
      <c r="BL206" s="140"/>
      <c r="BM206" s="140">
        <f t="shared" si="47"/>
        <v>0</v>
      </c>
      <c r="BN206" s="142" t="s">
        <v>347</v>
      </c>
      <c r="BR206" s="124"/>
      <c r="BS206" s="140"/>
      <c r="BT206" s="140"/>
      <c r="BU206" s="140"/>
      <c r="BV206" s="140"/>
      <c r="BW206" s="140"/>
      <c r="BX206" s="127"/>
      <c r="BY206" s="127"/>
      <c r="BZ206" s="140"/>
      <c r="CA206" s="140"/>
      <c r="CB206" s="140"/>
      <c r="CC206" s="140"/>
      <c r="CD206" s="140"/>
      <c r="CE206" s="140"/>
      <c r="CF206" s="121"/>
      <c r="CH206" s="121"/>
      <c r="CI206" s="140"/>
      <c r="CJ206" s="140"/>
      <c r="CK206" s="140"/>
      <c r="CL206" s="140"/>
      <c r="CM206" s="140"/>
      <c r="CN206" s="140"/>
      <c r="CO206" s="140"/>
      <c r="CP206" s="140"/>
      <c r="CQ206" s="140"/>
      <c r="CR206" s="140"/>
      <c r="CS206" s="142"/>
    </row>
    <row r="207" spans="1:108" s="143" customFormat="1" ht="12.75" hidden="1" customHeight="1">
      <c r="A207" s="126" t="s">
        <v>241</v>
      </c>
      <c r="B207" s="124"/>
      <c r="C207" s="126" t="s">
        <v>22</v>
      </c>
      <c r="D207" s="121"/>
      <c r="E207" s="140"/>
      <c r="F207" s="140"/>
      <c r="G207" s="140"/>
      <c r="H207" s="140"/>
      <c r="I207" s="140"/>
      <c r="J207" s="140"/>
      <c r="K207" s="140">
        <f t="shared" si="43"/>
        <v>0</v>
      </c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  <c r="W207" s="140">
        <f t="shared" si="49"/>
        <v>0</v>
      </c>
      <c r="X207" s="140"/>
      <c r="Y207" s="126" t="s">
        <v>241</v>
      </c>
      <c r="AA207" s="126" t="s">
        <v>22</v>
      </c>
      <c r="AB207" s="126"/>
      <c r="AC207" s="140"/>
      <c r="AD207" s="140"/>
      <c r="AE207" s="140"/>
      <c r="AF207" s="140"/>
      <c r="AG207" s="140"/>
      <c r="AH207" s="140"/>
      <c r="AI207" s="127">
        <f t="shared" si="45"/>
        <v>0</v>
      </c>
      <c r="AJ207" s="127"/>
      <c r="AK207" s="140"/>
      <c r="AL207" s="127"/>
      <c r="AM207" s="53">
        <v>0</v>
      </c>
      <c r="AN207" s="53"/>
      <c r="AO207" s="53">
        <v>0</v>
      </c>
      <c r="AP207" s="140"/>
      <c r="AQ207" s="140">
        <v>0</v>
      </c>
      <c r="AR207" s="140"/>
      <c r="AS207" s="45">
        <f t="shared" si="50"/>
        <v>0</v>
      </c>
      <c r="AT207" s="127"/>
      <c r="AU207" s="140">
        <v>0</v>
      </c>
      <c r="AV207" s="140"/>
      <c r="AW207" s="140">
        <v>0</v>
      </c>
      <c r="AX207" s="140"/>
      <c r="AY207" s="140">
        <f t="shared" si="46"/>
        <v>0</v>
      </c>
      <c r="AZ207" s="140"/>
      <c r="BA207" s="126" t="s">
        <v>241</v>
      </c>
      <c r="BC207" s="126" t="s">
        <v>22</v>
      </c>
      <c r="BD207" s="140"/>
      <c r="BE207" s="140"/>
      <c r="BF207" s="140"/>
      <c r="BG207" s="140"/>
      <c r="BH207" s="140"/>
      <c r="BI207" s="140"/>
      <c r="BJ207" s="140"/>
      <c r="BK207" s="140"/>
      <c r="BL207" s="140"/>
      <c r="BM207" s="140">
        <f t="shared" si="47"/>
        <v>0</v>
      </c>
      <c r="BN207" s="142" t="s">
        <v>347</v>
      </c>
      <c r="BR207" s="124"/>
      <c r="BS207" s="140"/>
      <c r="BT207" s="140"/>
      <c r="BU207" s="140"/>
      <c r="BV207" s="140"/>
      <c r="BW207" s="140"/>
      <c r="BX207" s="127"/>
      <c r="BY207" s="127"/>
      <c r="BZ207" s="140"/>
      <c r="CA207" s="140"/>
      <c r="CB207" s="140"/>
      <c r="CC207" s="140"/>
      <c r="CD207" s="140"/>
      <c r="CE207" s="140"/>
      <c r="CF207" s="126"/>
      <c r="CH207" s="126"/>
      <c r="CI207" s="140"/>
      <c r="CJ207" s="140"/>
      <c r="CK207" s="140"/>
      <c r="CL207" s="140"/>
      <c r="CM207" s="140"/>
      <c r="CN207" s="140"/>
      <c r="CO207" s="140"/>
      <c r="CP207" s="140"/>
      <c r="CQ207" s="140"/>
      <c r="CR207" s="140"/>
      <c r="CS207" s="142"/>
    </row>
    <row r="208" spans="1:108" s="143" customFormat="1" ht="12.75" hidden="1" customHeight="1">
      <c r="A208" s="35" t="s">
        <v>242</v>
      </c>
      <c r="B208" s="51"/>
      <c r="C208" s="35" t="s">
        <v>27</v>
      </c>
      <c r="D208" s="44"/>
      <c r="E208" s="53">
        <v>5818275</v>
      </c>
      <c r="F208" s="53"/>
      <c r="G208" s="53">
        <v>53337180</v>
      </c>
      <c r="H208" s="53"/>
      <c r="I208" s="53">
        <v>59155455</v>
      </c>
      <c r="J208" s="53"/>
      <c r="K208" s="53">
        <f t="shared" si="43"/>
        <v>1121205</v>
      </c>
      <c r="L208" s="53"/>
      <c r="M208" s="53">
        <v>3300003</v>
      </c>
      <c r="N208" s="53"/>
      <c r="O208" s="53">
        <v>4421208</v>
      </c>
      <c r="P208" s="53"/>
      <c r="Q208" s="53">
        <v>49248305</v>
      </c>
      <c r="R208" s="53"/>
      <c r="S208" s="53">
        <v>0</v>
      </c>
      <c r="T208" s="53"/>
      <c r="U208" s="53">
        <v>5485942</v>
      </c>
      <c r="V208" s="53"/>
      <c r="W208" s="53">
        <f t="shared" si="49"/>
        <v>54734247</v>
      </c>
      <c r="X208" s="53"/>
      <c r="Y208" s="35" t="s">
        <v>242</v>
      </c>
      <c r="Z208" s="55"/>
      <c r="AA208" s="35" t="s">
        <v>27</v>
      </c>
      <c r="AB208" s="35"/>
      <c r="AC208" s="53">
        <v>6027451</v>
      </c>
      <c r="AD208" s="53"/>
      <c r="AE208" s="53">
        <f>6933482-2299135</f>
        <v>4634347</v>
      </c>
      <c r="AF208" s="53"/>
      <c r="AG208" s="53">
        <v>2299135</v>
      </c>
      <c r="AH208" s="53"/>
      <c r="AI208" s="45">
        <f t="shared" si="45"/>
        <v>-906031</v>
      </c>
      <c r="AJ208" s="45"/>
      <c r="AK208" s="53">
        <v>-263448</v>
      </c>
      <c r="AL208" s="45"/>
      <c r="AM208" s="53">
        <v>0</v>
      </c>
      <c r="AN208" s="53"/>
      <c r="AO208" s="53">
        <v>0</v>
      </c>
      <c r="AP208" s="53"/>
      <c r="AQ208" s="53">
        <v>0</v>
      </c>
      <c r="AR208" s="53"/>
      <c r="AS208" s="45">
        <f t="shared" si="50"/>
        <v>-1169479</v>
      </c>
      <c r="AT208" s="45"/>
      <c r="AU208" s="53">
        <v>0</v>
      </c>
      <c r="AV208" s="53"/>
      <c r="AW208" s="53">
        <v>0</v>
      </c>
      <c r="AX208" s="53"/>
      <c r="AY208" s="53">
        <f t="shared" si="46"/>
        <v>4697070</v>
      </c>
      <c r="AZ208" s="53"/>
      <c r="BA208" s="35" t="s">
        <v>242</v>
      </c>
      <c r="BB208" s="55"/>
      <c r="BC208" s="35" t="s">
        <v>27</v>
      </c>
      <c r="BD208" s="53"/>
      <c r="BE208" s="53">
        <v>0</v>
      </c>
      <c r="BF208" s="53"/>
      <c r="BG208" s="53">
        <v>0</v>
      </c>
      <c r="BH208" s="53"/>
      <c r="BI208" s="53">
        <v>3996756</v>
      </c>
      <c r="BJ208" s="53"/>
      <c r="BK208" s="53">
        <f>92119+200281</f>
        <v>292400</v>
      </c>
      <c r="BL208" s="53"/>
      <c r="BM208" s="53">
        <f t="shared" si="47"/>
        <v>4289156</v>
      </c>
      <c r="BN208" s="142" t="s">
        <v>347</v>
      </c>
      <c r="BR208" s="124"/>
      <c r="BS208" s="140"/>
      <c r="BT208" s="140"/>
      <c r="BU208" s="140"/>
      <c r="BV208" s="140"/>
      <c r="BW208" s="140"/>
      <c r="BX208" s="127"/>
      <c r="BY208" s="127"/>
      <c r="BZ208" s="140"/>
      <c r="CA208" s="140"/>
      <c r="CB208" s="140"/>
      <c r="CC208" s="140"/>
      <c r="CD208" s="140"/>
      <c r="CE208" s="140"/>
      <c r="CF208" s="126"/>
      <c r="CH208" s="126"/>
      <c r="CI208" s="140"/>
      <c r="CJ208" s="140"/>
      <c r="CK208" s="140"/>
      <c r="CL208" s="140"/>
      <c r="CM208" s="140"/>
      <c r="CN208" s="140"/>
      <c r="CO208" s="140"/>
      <c r="CP208" s="140"/>
      <c r="CQ208" s="140"/>
      <c r="CR208" s="140"/>
      <c r="CS208" s="142"/>
    </row>
    <row r="209" spans="1:105" s="55" customFormat="1" ht="12.75" customHeight="1">
      <c r="A209" s="35" t="s">
        <v>243</v>
      </c>
      <c r="C209" s="35" t="s">
        <v>163</v>
      </c>
      <c r="D209" s="44"/>
      <c r="E209" s="53">
        <v>1964451</v>
      </c>
      <c r="F209" s="53"/>
      <c r="G209" s="53">
        <v>11704128</v>
      </c>
      <c r="H209" s="53"/>
      <c r="I209" s="53">
        <v>13668579</v>
      </c>
      <c r="J209" s="53"/>
      <c r="K209" s="53">
        <f t="shared" ref="K209" si="51">O209-M209</f>
        <v>99647</v>
      </c>
      <c r="L209" s="53"/>
      <c r="M209" s="53">
        <v>125836</v>
      </c>
      <c r="N209" s="53"/>
      <c r="O209" s="53">
        <v>225483</v>
      </c>
      <c r="P209" s="53"/>
      <c r="Q209" s="53">
        <v>11704128</v>
      </c>
      <c r="R209" s="53"/>
      <c r="S209" s="53">
        <v>0</v>
      </c>
      <c r="T209" s="53"/>
      <c r="U209" s="53">
        <v>1738968</v>
      </c>
      <c r="V209" s="53"/>
      <c r="W209" s="53">
        <f t="shared" si="49"/>
        <v>13443096</v>
      </c>
      <c r="X209" s="53"/>
      <c r="Y209" s="35" t="s">
        <v>243</v>
      </c>
      <c r="AA209" s="35" t="s">
        <v>163</v>
      </c>
      <c r="AB209" s="35"/>
      <c r="AC209" s="53">
        <v>2296832</v>
      </c>
      <c r="AD209" s="53"/>
      <c r="AE209" s="53">
        <f>2758608-847529</f>
        <v>1911079</v>
      </c>
      <c r="AF209" s="53"/>
      <c r="AG209" s="53">
        <v>847529</v>
      </c>
      <c r="AH209" s="53"/>
      <c r="AI209" s="45">
        <f t="shared" ref="AI209" si="52">+AC209-AE209-AG209</f>
        <v>-461776</v>
      </c>
      <c r="AJ209" s="45"/>
      <c r="AK209" s="53">
        <v>79854</v>
      </c>
      <c r="AL209" s="45"/>
      <c r="AM209" s="53">
        <v>0</v>
      </c>
      <c r="AN209" s="53"/>
      <c r="AO209" s="53">
        <v>250169</v>
      </c>
      <c r="AP209" s="53"/>
      <c r="AQ209" s="53">
        <v>0</v>
      </c>
      <c r="AR209" s="53"/>
      <c r="AS209" s="45">
        <f t="shared" si="50"/>
        <v>-632091</v>
      </c>
      <c r="AT209" s="45"/>
      <c r="AU209" s="53">
        <v>0</v>
      </c>
      <c r="AV209" s="53"/>
      <c r="AW209" s="53">
        <v>0</v>
      </c>
      <c r="AX209" s="53"/>
      <c r="AY209" s="53">
        <f t="shared" ref="AY209" si="53">+E209-K209</f>
        <v>1864804</v>
      </c>
      <c r="AZ209" s="53"/>
      <c r="BA209" s="35" t="s">
        <v>243</v>
      </c>
      <c r="BC209" s="35" t="s">
        <v>163</v>
      </c>
      <c r="BD209" s="53"/>
      <c r="BE209" s="53">
        <v>0</v>
      </c>
      <c r="BF209" s="53"/>
      <c r="BG209" s="53">
        <v>0</v>
      </c>
      <c r="BH209" s="53"/>
      <c r="BI209" s="53">
        <v>0</v>
      </c>
      <c r="BJ209" s="53"/>
      <c r="BK209" s="53">
        <v>0</v>
      </c>
      <c r="BL209" s="53"/>
      <c r="BM209" s="53">
        <f t="shared" ref="BM209" si="54">SUM(BE209:BK209)</f>
        <v>0</v>
      </c>
      <c r="BN209" s="54" t="s">
        <v>347</v>
      </c>
      <c r="BO209" s="55" t="s">
        <v>404</v>
      </c>
      <c r="BR209" s="51"/>
      <c r="BS209" s="53"/>
      <c r="BT209" s="53"/>
      <c r="BU209" s="53"/>
      <c r="BV209" s="53"/>
      <c r="BW209" s="53"/>
      <c r="BX209" s="45"/>
      <c r="BY209" s="45"/>
      <c r="BZ209" s="53"/>
      <c r="CA209" s="53"/>
      <c r="CB209" s="53"/>
      <c r="CC209" s="53"/>
      <c r="CD209" s="53"/>
      <c r="CE209" s="53"/>
      <c r="CF209" s="35"/>
      <c r="CH209" s="35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4"/>
    </row>
    <row r="210" spans="1:105" s="55" customFormat="1" ht="12.75" customHeight="1">
      <c r="A210" s="35" t="s">
        <v>244</v>
      </c>
      <c r="B210" s="65"/>
      <c r="C210" s="35" t="s">
        <v>13</v>
      </c>
      <c r="D210" s="44"/>
      <c r="E210" s="53">
        <v>4575124</v>
      </c>
      <c r="F210" s="53"/>
      <c r="G210" s="53">
        <v>5299389</v>
      </c>
      <c r="H210" s="53"/>
      <c r="I210" s="53">
        <v>9874513</v>
      </c>
      <c r="J210" s="53"/>
      <c r="K210" s="53">
        <v>273466</v>
      </c>
      <c r="L210" s="53"/>
      <c r="M210" s="53">
        <v>300387</v>
      </c>
      <c r="N210" s="53"/>
      <c r="O210" s="53">
        <v>573853</v>
      </c>
      <c r="P210" s="53"/>
      <c r="Q210" s="53">
        <v>4997389</v>
      </c>
      <c r="R210" s="53"/>
      <c r="S210" s="53">
        <v>0</v>
      </c>
      <c r="T210" s="53"/>
      <c r="U210" s="53">
        <v>4303271</v>
      </c>
      <c r="V210" s="53"/>
      <c r="W210" s="53">
        <f t="shared" ref="W210:W216" si="55">SUM(Q210:U210)</f>
        <v>9300660</v>
      </c>
      <c r="X210" s="53"/>
      <c r="Y210" s="35" t="s">
        <v>244</v>
      </c>
      <c r="AA210" s="35" t="s">
        <v>13</v>
      </c>
      <c r="AB210" s="35"/>
      <c r="AC210" s="53">
        <v>1519482</v>
      </c>
      <c r="AD210" s="53"/>
      <c r="AE210" s="53">
        <f>1747871-219397</f>
        <v>1528474</v>
      </c>
      <c r="AF210" s="53"/>
      <c r="AG210" s="53">
        <v>219397</v>
      </c>
      <c r="AH210" s="53"/>
      <c r="AI210" s="45">
        <f t="shared" ref="AI210:AI249" si="56">+AC210-AE210-AG210</f>
        <v>-228389</v>
      </c>
      <c r="AJ210" s="45"/>
      <c r="AK210" s="53">
        <v>47635</v>
      </c>
      <c r="AL210" s="45"/>
      <c r="AM210" s="53">
        <v>0</v>
      </c>
      <c r="AN210" s="53"/>
      <c r="AO210" s="53">
        <v>0</v>
      </c>
      <c r="AP210" s="53"/>
      <c r="AQ210" s="53">
        <v>0</v>
      </c>
      <c r="AR210" s="53"/>
      <c r="AS210" s="45">
        <f t="shared" ref="AS210:AS249" si="57">+AI210+AK210+AM210-AO210+AQ210</f>
        <v>-180754</v>
      </c>
      <c r="AT210" s="45"/>
      <c r="AU210" s="53">
        <v>0</v>
      </c>
      <c r="AV210" s="53"/>
      <c r="AW210" s="53">
        <v>0</v>
      </c>
      <c r="AX210" s="53"/>
      <c r="AY210" s="53">
        <f t="shared" ref="AY210:AY249" si="58">+E210-K210</f>
        <v>4301658</v>
      </c>
      <c r="AZ210" s="53"/>
      <c r="BA210" s="35" t="s">
        <v>244</v>
      </c>
      <c r="BC210" s="35" t="s">
        <v>13</v>
      </c>
      <c r="BD210" s="53"/>
      <c r="BE210" s="53">
        <v>0</v>
      </c>
      <c r="BF210" s="53"/>
      <c r="BG210" s="53">
        <f>94000+240000</f>
        <v>334000</v>
      </c>
      <c r="BH210" s="53"/>
      <c r="BI210" s="53">
        <v>0</v>
      </c>
      <c r="BJ210" s="53"/>
      <c r="BK210" s="53">
        <v>0</v>
      </c>
      <c r="BL210" s="53"/>
      <c r="BM210" s="53">
        <f t="shared" ref="BM210:BM249" si="59">SUM(BE210:BK210)</f>
        <v>334000</v>
      </c>
      <c r="BN210" s="54" t="s">
        <v>347</v>
      </c>
      <c r="BR210" s="65"/>
      <c r="BS210" s="53"/>
      <c r="BT210" s="53"/>
      <c r="BU210" s="53"/>
      <c r="BV210" s="53"/>
      <c r="BW210" s="53"/>
      <c r="BX210" s="45"/>
      <c r="BY210" s="45"/>
      <c r="BZ210" s="53"/>
      <c r="CA210" s="53"/>
      <c r="CB210" s="53"/>
      <c r="CC210" s="53"/>
      <c r="CD210" s="53"/>
      <c r="CE210" s="53"/>
      <c r="CF210" s="35"/>
      <c r="CH210" s="35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4"/>
    </row>
    <row r="211" spans="1:105" s="55" customFormat="1" ht="12.75" customHeight="1">
      <c r="A211" s="35" t="s">
        <v>245</v>
      </c>
      <c r="B211" s="51"/>
      <c r="C211" s="35" t="s">
        <v>110</v>
      </c>
      <c r="D211" s="44"/>
      <c r="E211" s="53">
        <v>3239792</v>
      </c>
      <c r="F211" s="53"/>
      <c r="G211" s="53">
        <v>16983270</v>
      </c>
      <c r="H211" s="53"/>
      <c r="I211" s="53">
        <v>20223062</v>
      </c>
      <c r="J211" s="53"/>
      <c r="K211" s="53">
        <f t="shared" ref="K211:K249" si="60">O211-M211</f>
        <v>6627719</v>
      </c>
      <c r="L211" s="53"/>
      <c r="M211" s="53">
        <v>1005663</v>
      </c>
      <c r="N211" s="53"/>
      <c r="O211" s="53">
        <v>7633382</v>
      </c>
      <c r="P211" s="53"/>
      <c r="Q211" s="53">
        <v>9680261</v>
      </c>
      <c r="R211" s="53"/>
      <c r="S211" s="53">
        <v>0</v>
      </c>
      <c r="T211" s="53"/>
      <c r="U211" s="53">
        <v>2909419</v>
      </c>
      <c r="V211" s="53"/>
      <c r="W211" s="53">
        <f t="shared" si="55"/>
        <v>12589680</v>
      </c>
      <c r="X211" s="53"/>
      <c r="Y211" s="35" t="s">
        <v>245</v>
      </c>
      <c r="AA211" s="35" t="s">
        <v>110</v>
      </c>
      <c r="AB211" s="35"/>
      <c r="AC211" s="53">
        <v>3102221</v>
      </c>
      <c r="AD211" s="53"/>
      <c r="AE211" s="53">
        <f>2389375-535222</f>
        <v>1854153</v>
      </c>
      <c r="AF211" s="53"/>
      <c r="AG211" s="53">
        <v>535222</v>
      </c>
      <c r="AH211" s="53"/>
      <c r="AI211" s="45">
        <f t="shared" si="56"/>
        <v>712846</v>
      </c>
      <c r="AJ211" s="45"/>
      <c r="AK211" s="53">
        <v>-73603</v>
      </c>
      <c r="AL211" s="45"/>
      <c r="AM211" s="53">
        <v>0</v>
      </c>
      <c r="AN211" s="53"/>
      <c r="AO211" s="53">
        <v>0</v>
      </c>
      <c r="AP211" s="53"/>
      <c r="AQ211" s="53">
        <v>81536</v>
      </c>
      <c r="AR211" s="53"/>
      <c r="AS211" s="45">
        <f t="shared" si="57"/>
        <v>720779</v>
      </c>
      <c r="AT211" s="45"/>
      <c r="AU211" s="53">
        <v>0</v>
      </c>
      <c r="AV211" s="53"/>
      <c r="AW211" s="53">
        <v>0</v>
      </c>
      <c r="AX211" s="53"/>
      <c r="AY211" s="53">
        <f t="shared" si="58"/>
        <v>-3387927</v>
      </c>
      <c r="AZ211" s="53"/>
      <c r="BA211" s="35" t="s">
        <v>245</v>
      </c>
      <c r="BC211" s="35" t="s">
        <v>110</v>
      </c>
      <c r="BD211" s="53"/>
      <c r="BE211" s="53">
        <v>7265000</v>
      </c>
      <c r="BF211" s="53"/>
      <c r="BG211" s="53">
        <v>0</v>
      </c>
      <c r="BH211" s="53"/>
      <c r="BI211" s="53">
        <v>0</v>
      </c>
      <c r="BJ211" s="53"/>
      <c r="BK211" s="53">
        <f>182911+38008</f>
        <v>220919</v>
      </c>
      <c r="BL211" s="53"/>
      <c r="BM211" s="53">
        <f t="shared" si="59"/>
        <v>7485919</v>
      </c>
      <c r="BN211" s="54" t="s">
        <v>347</v>
      </c>
      <c r="BR211" s="51"/>
      <c r="BS211" s="53"/>
      <c r="BT211" s="53"/>
      <c r="BU211" s="53"/>
      <c r="BV211" s="53"/>
      <c r="BW211" s="53"/>
      <c r="BX211" s="45"/>
      <c r="BY211" s="45"/>
      <c r="BZ211" s="53"/>
      <c r="CA211" s="53"/>
      <c r="CB211" s="53"/>
      <c r="CC211" s="53"/>
      <c r="CD211" s="53"/>
      <c r="CE211" s="53"/>
      <c r="CF211" s="44"/>
      <c r="CH211" s="35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4"/>
    </row>
    <row r="212" spans="1:105" s="55" customFormat="1" ht="12.75" customHeight="1">
      <c r="A212" s="35" t="s">
        <v>246</v>
      </c>
      <c r="B212" s="51"/>
      <c r="C212" s="35" t="s">
        <v>209</v>
      </c>
      <c r="D212" s="44"/>
      <c r="E212" s="53">
        <v>1067348</v>
      </c>
      <c r="F212" s="53"/>
      <c r="G212" s="53">
        <v>11229389</v>
      </c>
      <c r="H212" s="53"/>
      <c r="I212" s="53">
        <v>12296737</v>
      </c>
      <c r="J212" s="53"/>
      <c r="K212" s="53">
        <f t="shared" si="60"/>
        <v>123628</v>
      </c>
      <c r="L212" s="53"/>
      <c r="M212" s="53">
        <v>712116</v>
      </c>
      <c r="N212" s="53"/>
      <c r="O212" s="53">
        <v>835744</v>
      </c>
      <c r="P212" s="53"/>
      <c r="Q212" s="53">
        <v>5025269</v>
      </c>
      <c r="R212" s="53"/>
      <c r="S212" s="53">
        <v>0</v>
      </c>
      <c r="T212" s="53"/>
      <c r="U212" s="53">
        <v>6435724</v>
      </c>
      <c r="V212" s="53"/>
      <c r="W212" s="53">
        <f t="shared" si="55"/>
        <v>11460993</v>
      </c>
      <c r="X212" s="53"/>
      <c r="Y212" s="35" t="s">
        <v>246</v>
      </c>
      <c r="AA212" s="35" t="s">
        <v>209</v>
      </c>
      <c r="AB212" s="35"/>
      <c r="AC212" s="53">
        <v>0</v>
      </c>
      <c r="AD212" s="53"/>
      <c r="AE212" s="53">
        <v>0</v>
      </c>
      <c r="AF212" s="53"/>
      <c r="AG212" s="53">
        <v>0</v>
      </c>
      <c r="AH212" s="53"/>
      <c r="AI212" s="45">
        <f t="shared" si="56"/>
        <v>0</v>
      </c>
      <c r="AJ212" s="45"/>
      <c r="AK212" s="53">
        <v>0</v>
      </c>
      <c r="AL212" s="45"/>
      <c r="AM212" s="53">
        <v>0</v>
      </c>
      <c r="AN212" s="53"/>
      <c r="AO212" s="53">
        <v>0</v>
      </c>
      <c r="AP212" s="53"/>
      <c r="AQ212" s="53">
        <v>0</v>
      </c>
      <c r="AR212" s="53"/>
      <c r="AS212" s="45">
        <f t="shared" si="57"/>
        <v>0</v>
      </c>
      <c r="AT212" s="45"/>
      <c r="AU212" s="53">
        <v>0</v>
      </c>
      <c r="AV212" s="53"/>
      <c r="AW212" s="53">
        <v>0</v>
      </c>
      <c r="AX212" s="53"/>
      <c r="AY212" s="53">
        <f t="shared" si="58"/>
        <v>943720</v>
      </c>
      <c r="AZ212" s="53"/>
      <c r="BA212" s="35" t="s">
        <v>246</v>
      </c>
      <c r="BC212" s="35" t="s">
        <v>209</v>
      </c>
      <c r="BD212" s="53"/>
      <c r="BE212" s="53">
        <f>125000+200000</f>
        <v>325000</v>
      </c>
      <c r="BF212" s="53"/>
      <c r="BG212" s="53">
        <v>0</v>
      </c>
      <c r="BH212" s="53"/>
      <c r="BI212" s="53">
        <v>0</v>
      </c>
      <c r="BJ212" s="53"/>
      <c r="BK212" s="53">
        <v>0</v>
      </c>
      <c r="BL212" s="53"/>
      <c r="BM212" s="53">
        <f t="shared" si="59"/>
        <v>325000</v>
      </c>
      <c r="BN212" s="54" t="s">
        <v>347</v>
      </c>
      <c r="BR212" s="51"/>
      <c r="BS212" s="53"/>
      <c r="BT212" s="53"/>
      <c r="BU212" s="53"/>
      <c r="BV212" s="53"/>
      <c r="BW212" s="53"/>
      <c r="BX212" s="45"/>
      <c r="BY212" s="45"/>
      <c r="BZ212" s="53"/>
      <c r="CA212" s="53"/>
      <c r="CB212" s="53"/>
      <c r="CC212" s="53"/>
      <c r="CD212" s="53"/>
      <c r="CE212" s="53"/>
      <c r="CF212" s="35"/>
      <c r="CH212" s="35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4"/>
    </row>
    <row r="213" spans="1:105" s="55" customFormat="1" ht="12.75" customHeight="1">
      <c r="A213" s="35" t="s">
        <v>247</v>
      </c>
      <c r="C213" s="35" t="s">
        <v>163</v>
      </c>
      <c r="D213" s="44"/>
      <c r="E213" s="53">
        <v>77637000</v>
      </c>
      <c r="F213" s="53"/>
      <c r="G213" s="53">
        <v>427021000</v>
      </c>
      <c r="H213" s="53"/>
      <c r="I213" s="53">
        <v>504658000</v>
      </c>
      <c r="J213" s="53"/>
      <c r="K213" s="53">
        <f t="shared" si="60"/>
        <v>54068000</v>
      </c>
      <c r="L213" s="53"/>
      <c r="M213" s="53">
        <v>222363000</v>
      </c>
      <c r="N213" s="53"/>
      <c r="O213" s="53">
        <v>276431000</v>
      </c>
      <c r="P213" s="53"/>
      <c r="Q213" s="53">
        <v>192485000</v>
      </c>
      <c r="R213" s="53"/>
      <c r="S213" s="53">
        <v>1626000</v>
      </c>
      <c r="T213" s="53"/>
      <c r="U213" s="53">
        <v>34116000</v>
      </c>
      <c r="V213" s="53"/>
      <c r="W213" s="53">
        <f t="shared" si="55"/>
        <v>228227000</v>
      </c>
      <c r="X213" s="53"/>
      <c r="Y213" s="35" t="s">
        <v>247</v>
      </c>
      <c r="AA213" s="35" t="s">
        <v>163</v>
      </c>
      <c r="AB213" s="35"/>
      <c r="AC213" s="53">
        <v>56064000</v>
      </c>
      <c r="AD213" s="53"/>
      <c r="AE213" s="53">
        <f>40920000-9603000</f>
        <v>31317000</v>
      </c>
      <c r="AF213" s="53"/>
      <c r="AG213" s="53">
        <v>9603000</v>
      </c>
      <c r="AH213" s="53"/>
      <c r="AI213" s="45">
        <f t="shared" si="56"/>
        <v>15144000</v>
      </c>
      <c r="AJ213" s="45"/>
      <c r="AK213" s="53">
        <v>-8307000</v>
      </c>
      <c r="AL213" s="45"/>
      <c r="AM213" s="53">
        <v>0</v>
      </c>
      <c r="AN213" s="53"/>
      <c r="AO213" s="53">
        <v>271000</v>
      </c>
      <c r="AP213" s="53"/>
      <c r="AQ213" s="53">
        <v>0</v>
      </c>
      <c r="AR213" s="53"/>
      <c r="AS213" s="45">
        <f t="shared" si="57"/>
        <v>6566000</v>
      </c>
      <c r="AT213" s="45"/>
      <c r="AU213" s="53">
        <v>0</v>
      </c>
      <c r="AV213" s="53"/>
      <c r="AW213" s="53">
        <v>0</v>
      </c>
      <c r="AX213" s="53"/>
      <c r="AY213" s="53">
        <f t="shared" si="58"/>
        <v>23569000</v>
      </c>
      <c r="AZ213" s="53"/>
      <c r="BA213" s="35" t="s">
        <v>247</v>
      </c>
      <c r="BC213" s="35" t="s">
        <v>163</v>
      </c>
      <c r="BD213" s="53"/>
      <c r="BE213" s="53">
        <f>205000+22025000</f>
        <v>22230000</v>
      </c>
      <c r="BF213" s="53"/>
      <c r="BG213" s="53">
        <v>36231000</v>
      </c>
      <c r="BH213" s="53"/>
      <c r="BI213" s="53">
        <v>0</v>
      </c>
      <c r="BJ213" s="53"/>
      <c r="BK213" s="53">
        <v>0</v>
      </c>
      <c r="BL213" s="53"/>
      <c r="BM213" s="53">
        <f t="shared" si="59"/>
        <v>58461000</v>
      </c>
      <c r="BN213" s="54" t="s">
        <v>347</v>
      </c>
      <c r="BR213" s="51"/>
      <c r="BS213" s="53"/>
      <c r="BT213" s="53"/>
      <c r="BU213" s="53"/>
      <c r="BV213" s="53"/>
      <c r="BW213" s="53"/>
      <c r="BX213" s="45"/>
      <c r="BY213" s="45"/>
      <c r="BZ213" s="53"/>
      <c r="CA213" s="53"/>
      <c r="CB213" s="53"/>
      <c r="CC213" s="53"/>
      <c r="CD213" s="53"/>
      <c r="CE213" s="53"/>
      <c r="CF213" s="35"/>
      <c r="CH213" s="35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4"/>
    </row>
    <row r="214" spans="1:105" s="55" customFormat="1" ht="12.75" customHeight="1">
      <c r="A214" s="35" t="s">
        <v>248</v>
      </c>
      <c r="C214" s="35" t="s">
        <v>249</v>
      </c>
      <c r="D214" s="44"/>
      <c r="E214" s="53">
        <v>309954</v>
      </c>
      <c r="F214" s="53"/>
      <c r="G214" s="53">
        <v>960737</v>
      </c>
      <c r="H214" s="53"/>
      <c r="I214" s="53">
        <v>1270691</v>
      </c>
      <c r="J214" s="53"/>
      <c r="K214" s="53">
        <v>45882</v>
      </c>
      <c r="L214" s="53"/>
      <c r="M214" s="53">
        <v>851</v>
      </c>
      <c r="N214" s="53"/>
      <c r="O214" s="53">
        <v>46733</v>
      </c>
      <c r="P214" s="53"/>
      <c r="Q214" s="53">
        <v>960738</v>
      </c>
      <c r="R214" s="53"/>
      <c r="S214" s="53">
        <v>0</v>
      </c>
      <c r="T214" s="53"/>
      <c r="U214" s="53">
        <v>263220</v>
      </c>
      <c r="V214" s="53"/>
      <c r="W214" s="53">
        <f t="shared" si="55"/>
        <v>1223958</v>
      </c>
      <c r="X214" s="53"/>
      <c r="Y214" s="35" t="s">
        <v>248</v>
      </c>
      <c r="AA214" s="35" t="s">
        <v>249</v>
      </c>
      <c r="AB214" s="35"/>
      <c r="AC214" s="53">
        <v>585774</v>
      </c>
      <c r="AD214" s="53"/>
      <c r="AE214" s="53">
        <f>538856-39005</f>
        <v>499851</v>
      </c>
      <c r="AF214" s="53"/>
      <c r="AG214" s="53">
        <v>39005</v>
      </c>
      <c r="AH214" s="53"/>
      <c r="AI214" s="45">
        <f t="shared" si="56"/>
        <v>46918</v>
      </c>
      <c r="AJ214" s="45"/>
      <c r="AK214" s="53">
        <v>0</v>
      </c>
      <c r="AL214" s="45"/>
      <c r="AM214" s="53">
        <v>0</v>
      </c>
      <c r="AN214" s="53"/>
      <c r="AO214" s="53">
        <v>0</v>
      </c>
      <c r="AP214" s="53"/>
      <c r="AQ214" s="53">
        <v>39534</v>
      </c>
      <c r="AR214" s="53"/>
      <c r="AS214" s="45">
        <f t="shared" si="57"/>
        <v>86452</v>
      </c>
      <c r="AT214" s="45"/>
      <c r="AU214" s="53">
        <v>0</v>
      </c>
      <c r="AV214" s="53"/>
      <c r="AW214" s="53">
        <v>0</v>
      </c>
      <c r="AX214" s="53"/>
      <c r="AY214" s="53">
        <f t="shared" si="58"/>
        <v>264072</v>
      </c>
      <c r="AZ214" s="53"/>
      <c r="BA214" s="35" t="s">
        <v>248</v>
      </c>
      <c r="BC214" s="35" t="s">
        <v>249</v>
      </c>
      <c r="BD214" s="53"/>
      <c r="BE214" s="53">
        <v>0</v>
      </c>
      <c r="BF214" s="53"/>
      <c r="BG214" s="53">
        <v>0</v>
      </c>
      <c r="BH214" s="53"/>
      <c r="BI214" s="53">
        <v>0</v>
      </c>
      <c r="BJ214" s="53"/>
      <c r="BK214" s="53">
        <v>0</v>
      </c>
      <c r="BL214" s="53"/>
      <c r="BM214" s="53">
        <f t="shared" si="59"/>
        <v>0</v>
      </c>
      <c r="BN214" s="54" t="s">
        <v>347</v>
      </c>
      <c r="BR214" s="51"/>
      <c r="BS214" s="53"/>
      <c r="BT214" s="53"/>
      <c r="BU214" s="53"/>
      <c r="BV214" s="53"/>
      <c r="BW214" s="53"/>
      <c r="BX214" s="45"/>
      <c r="BY214" s="45"/>
      <c r="BZ214" s="53"/>
      <c r="CA214" s="53"/>
      <c r="CB214" s="53"/>
      <c r="CC214" s="53"/>
      <c r="CD214" s="53"/>
      <c r="CE214" s="53"/>
      <c r="CF214" s="35"/>
      <c r="CH214" s="35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4"/>
    </row>
    <row r="215" spans="1:105" s="55" customFormat="1" ht="12.75" customHeight="1">
      <c r="A215" s="35" t="s">
        <v>250</v>
      </c>
      <c r="B215" s="51"/>
      <c r="C215" s="35" t="s">
        <v>103</v>
      </c>
      <c r="D215" s="44"/>
      <c r="E215" s="53">
        <v>1085890</v>
      </c>
      <c r="F215" s="53"/>
      <c r="G215" s="53">
        <v>650100</v>
      </c>
      <c r="H215" s="53"/>
      <c r="I215" s="53">
        <v>1735990</v>
      </c>
      <c r="J215" s="53"/>
      <c r="K215" s="53">
        <f t="shared" si="60"/>
        <v>105984</v>
      </c>
      <c r="L215" s="53"/>
      <c r="M215" s="53">
        <v>21598</v>
      </c>
      <c r="N215" s="53"/>
      <c r="O215" s="53">
        <v>127582</v>
      </c>
      <c r="P215" s="53"/>
      <c r="Q215" s="53">
        <v>636895</v>
      </c>
      <c r="R215" s="53"/>
      <c r="S215" s="53">
        <v>0</v>
      </c>
      <c r="T215" s="53"/>
      <c r="U215" s="53">
        <v>971513</v>
      </c>
      <c r="V215" s="53"/>
      <c r="W215" s="53">
        <f t="shared" si="55"/>
        <v>1608408</v>
      </c>
      <c r="X215" s="53"/>
      <c r="Y215" s="35" t="s">
        <v>250</v>
      </c>
      <c r="AA215" s="35" t="s">
        <v>103</v>
      </c>
      <c r="AB215" s="35"/>
      <c r="AC215" s="53">
        <v>1390126</v>
      </c>
      <c r="AD215" s="53"/>
      <c r="AE215" s="53">
        <f>1303615-45704</f>
        <v>1257911</v>
      </c>
      <c r="AF215" s="53"/>
      <c r="AG215" s="53">
        <v>45704</v>
      </c>
      <c r="AH215" s="53"/>
      <c r="AI215" s="45">
        <f t="shared" si="56"/>
        <v>86511</v>
      </c>
      <c r="AJ215" s="45"/>
      <c r="AK215" s="53">
        <v>52409</v>
      </c>
      <c r="AL215" s="45"/>
      <c r="AM215" s="53">
        <v>0</v>
      </c>
      <c r="AN215" s="53"/>
      <c r="AO215" s="53">
        <v>10000</v>
      </c>
      <c r="AP215" s="53"/>
      <c r="AQ215" s="53">
        <v>0</v>
      </c>
      <c r="AR215" s="53"/>
      <c r="AS215" s="45">
        <f t="shared" si="57"/>
        <v>128920</v>
      </c>
      <c r="AT215" s="45"/>
      <c r="AU215" s="53">
        <v>0</v>
      </c>
      <c r="AV215" s="53"/>
      <c r="AW215" s="53">
        <v>0</v>
      </c>
      <c r="AX215" s="53"/>
      <c r="AY215" s="53">
        <f t="shared" si="58"/>
        <v>979906</v>
      </c>
      <c r="AZ215" s="53"/>
      <c r="BA215" s="35" t="s">
        <v>250</v>
      </c>
      <c r="BC215" s="35" t="s">
        <v>103</v>
      </c>
      <c r="BD215" s="53"/>
      <c r="BE215" s="53">
        <v>0</v>
      </c>
      <c r="BF215" s="53"/>
      <c r="BG215" s="53">
        <v>74075</v>
      </c>
      <c r="BH215" s="53"/>
      <c r="BI215" s="53">
        <v>0</v>
      </c>
      <c r="BJ215" s="53"/>
      <c r="BK215" s="53">
        <v>0</v>
      </c>
      <c r="BL215" s="53"/>
      <c r="BM215" s="53">
        <f t="shared" si="59"/>
        <v>74075</v>
      </c>
      <c r="BN215" s="54" t="s">
        <v>347</v>
      </c>
      <c r="BR215" s="51"/>
      <c r="BS215" s="53"/>
      <c r="BT215" s="53"/>
      <c r="BU215" s="53"/>
      <c r="BV215" s="53"/>
      <c r="BW215" s="53"/>
      <c r="BX215" s="45"/>
      <c r="BY215" s="45"/>
      <c r="BZ215" s="53"/>
      <c r="CA215" s="53"/>
      <c r="CB215" s="53"/>
      <c r="CC215" s="53"/>
      <c r="CD215" s="53"/>
      <c r="CE215" s="53"/>
      <c r="CF215" s="35"/>
      <c r="CH215" s="35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4"/>
    </row>
    <row r="216" spans="1:105" s="55" customFormat="1" ht="12.75" customHeight="1">
      <c r="A216" s="35" t="s">
        <v>251</v>
      </c>
      <c r="B216" s="51"/>
      <c r="C216" s="35" t="s">
        <v>66</v>
      </c>
      <c r="D216" s="44"/>
      <c r="E216" s="53">
        <v>536209</v>
      </c>
      <c r="F216" s="53"/>
      <c r="G216" s="53">
        <f>12026+452265</f>
        <v>464291</v>
      </c>
      <c r="H216" s="53"/>
      <c r="I216" s="53">
        <v>1000500</v>
      </c>
      <c r="J216" s="53"/>
      <c r="K216" s="53">
        <f t="shared" si="60"/>
        <v>501459</v>
      </c>
      <c r="L216" s="53"/>
      <c r="M216" s="53">
        <f>9684+11330</f>
        <v>21014</v>
      </c>
      <c r="N216" s="53"/>
      <c r="O216" s="53">
        <v>522473</v>
      </c>
      <c r="P216" s="53"/>
      <c r="Q216" s="53">
        <v>447543</v>
      </c>
      <c r="R216" s="53"/>
      <c r="S216" s="53">
        <v>0</v>
      </c>
      <c r="T216" s="53"/>
      <c r="U216" s="53">
        <v>30484</v>
      </c>
      <c r="V216" s="53"/>
      <c r="W216" s="53">
        <f t="shared" si="55"/>
        <v>478027</v>
      </c>
      <c r="X216" s="53"/>
      <c r="Y216" s="35" t="s">
        <v>251</v>
      </c>
      <c r="AA216" s="35" t="s">
        <v>66</v>
      </c>
      <c r="AB216" s="35"/>
      <c r="AC216" s="53">
        <v>984248</v>
      </c>
      <c r="AD216" s="53"/>
      <c r="AE216" s="53">
        <f>989970-29177</f>
        <v>960793</v>
      </c>
      <c r="AF216" s="53"/>
      <c r="AG216" s="53">
        <v>29177</v>
      </c>
      <c r="AH216" s="53"/>
      <c r="AI216" s="45">
        <f t="shared" si="56"/>
        <v>-5722</v>
      </c>
      <c r="AJ216" s="45"/>
      <c r="AK216" s="53">
        <v>-22689</v>
      </c>
      <c r="AL216" s="45"/>
      <c r="AM216" s="53">
        <v>0</v>
      </c>
      <c r="AN216" s="53"/>
      <c r="AO216" s="53">
        <v>10000</v>
      </c>
      <c r="AP216" s="53"/>
      <c r="AQ216" s="53">
        <v>0</v>
      </c>
      <c r="AR216" s="53"/>
      <c r="AS216" s="45">
        <f t="shared" si="57"/>
        <v>-38411</v>
      </c>
      <c r="AT216" s="45"/>
      <c r="AU216" s="53">
        <v>0</v>
      </c>
      <c r="AV216" s="53"/>
      <c r="AW216" s="53">
        <v>0</v>
      </c>
      <c r="AX216" s="53"/>
      <c r="AY216" s="53">
        <f t="shared" si="58"/>
        <v>34750</v>
      </c>
      <c r="AZ216" s="53"/>
      <c r="BA216" s="35" t="s">
        <v>251</v>
      </c>
      <c r="BC216" s="35" t="s">
        <v>66</v>
      </c>
      <c r="BD216" s="53"/>
      <c r="BE216" s="53">
        <v>0</v>
      </c>
      <c r="BF216" s="53"/>
      <c r="BG216" s="53">
        <v>0</v>
      </c>
      <c r="BH216" s="53"/>
      <c r="BI216" s="53">
        <v>0</v>
      </c>
      <c r="BJ216" s="53"/>
      <c r="BK216" s="53">
        <v>0</v>
      </c>
      <c r="BL216" s="53"/>
      <c r="BM216" s="53">
        <f t="shared" si="59"/>
        <v>0</v>
      </c>
      <c r="BN216" s="54" t="s">
        <v>347</v>
      </c>
      <c r="BR216" s="51"/>
      <c r="BS216" s="53"/>
      <c r="BT216" s="53"/>
      <c r="BU216" s="53"/>
      <c r="BV216" s="53"/>
      <c r="BW216" s="53"/>
      <c r="BX216" s="45"/>
      <c r="BY216" s="45"/>
      <c r="BZ216" s="53"/>
      <c r="CA216" s="53"/>
      <c r="CB216" s="53"/>
      <c r="CC216" s="53"/>
      <c r="CD216" s="53"/>
      <c r="CE216" s="53"/>
      <c r="CF216" s="35"/>
      <c r="CH216" s="35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4"/>
    </row>
    <row r="217" spans="1:105" s="55" customFormat="1" ht="12.75" customHeight="1">
      <c r="A217" s="35" t="s">
        <v>252</v>
      </c>
      <c r="B217" s="51"/>
      <c r="C217" s="35" t="s">
        <v>209</v>
      </c>
      <c r="D217" s="44"/>
      <c r="E217" s="53">
        <v>8762809</v>
      </c>
      <c r="F217" s="53"/>
      <c r="G217" s="53">
        <f>571582+19049571</f>
        <v>19621153</v>
      </c>
      <c r="H217" s="53"/>
      <c r="I217" s="53">
        <f>+G217+E217</f>
        <v>28383962</v>
      </c>
      <c r="J217" s="53"/>
      <c r="K217" s="53">
        <f t="shared" si="60"/>
        <v>1366873</v>
      </c>
      <c r="L217" s="53"/>
      <c r="M217" s="53">
        <f>128630+6170000</f>
        <v>6298630</v>
      </c>
      <c r="N217" s="53"/>
      <c r="O217" s="53">
        <v>7665503</v>
      </c>
      <c r="P217" s="53"/>
      <c r="Q217" s="53">
        <v>12911153</v>
      </c>
      <c r="R217" s="53"/>
      <c r="S217" s="53">
        <v>0</v>
      </c>
      <c r="T217" s="53"/>
      <c r="U217" s="53">
        <v>7807306</v>
      </c>
      <c r="V217" s="53"/>
      <c r="W217" s="53">
        <f t="shared" ref="W217:W249" si="61">SUM(Q217:U217)</f>
        <v>20718459</v>
      </c>
      <c r="X217" s="53"/>
      <c r="Y217" s="35" t="s">
        <v>252</v>
      </c>
      <c r="AA217" s="35" t="s">
        <v>209</v>
      </c>
      <c r="AB217" s="35"/>
      <c r="AC217" s="53">
        <v>3374239</v>
      </c>
      <c r="AD217" s="53"/>
      <c r="AE217" s="53">
        <f>4283155-893938</f>
        <v>3389217</v>
      </c>
      <c r="AF217" s="53"/>
      <c r="AG217" s="53">
        <v>893938</v>
      </c>
      <c r="AH217" s="53"/>
      <c r="AI217" s="45">
        <f t="shared" si="56"/>
        <v>-908916</v>
      </c>
      <c r="AJ217" s="45"/>
      <c r="AK217" s="53">
        <v>5275</v>
      </c>
      <c r="AL217" s="45"/>
      <c r="AM217" s="53">
        <v>0</v>
      </c>
      <c r="AN217" s="53"/>
      <c r="AO217" s="53">
        <v>0</v>
      </c>
      <c r="AP217" s="53"/>
      <c r="AQ217" s="53">
        <v>157116</v>
      </c>
      <c r="AR217" s="53"/>
      <c r="AS217" s="45">
        <f t="shared" si="57"/>
        <v>-746525</v>
      </c>
      <c r="AT217" s="45"/>
      <c r="AU217" s="53">
        <v>0</v>
      </c>
      <c r="AV217" s="53"/>
      <c r="AW217" s="53">
        <v>0</v>
      </c>
      <c r="AX217" s="53"/>
      <c r="AY217" s="53">
        <f t="shared" si="58"/>
        <v>7395936</v>
      </c>
      <c r="AZ217" s="53"/>
      <c r="BA217" s="35" t="s">
        <v>252</v>
      </c>
      <c r="BC217" s="35" t="s">
        <v>209</v>
      </c>
      <c r="BD217" s="53"/>
      <c r="BE217" s="53">
        <f>2185000+300000+1125000+2060000</f>
        <v>5670000</v>
      </c>
      <c r="BF217" s="53"/>
      <c r="BG217" s="53">
        <v>0</v>
      </c>
      <c r="BH217" s="53"/>
      <c r="BI217" s="53">
        <v>0</v>
      </c>
      <c r="BJ217" s="53"/>
      <c r="BK217" s="53">
        <v>0</v>
      </c>
      <c r="BL217" s="53"/>
      <c r="BM217" s="53">
        <f t="shared" si="59"/>
        <v>5670000</v>
      </c>
      <c r="BN217" s="54" t="s">
        <v>347</v>
      </c>
      <c r="BO217" s="55" t="s">
        <v>405</v>
      </c>
      <c r="BR217" s="51"/>
      <c r="BS217" s="53"/>
      <c r="BT217" s="53"/>
      <c r="BU217" s="53"/>
      <c r="BV217" s="53"/>
      <c r="BW217" s="53"/>
      <c r="BX217" s="45"/>
      <c r="BY217" s="45"/>
      <c r="BZ217" s="53"/>
      <c r="CA217" s="53"/>
      <c r="CB217" s="53"/>
      <c r="CC217" s="53"/>
      <c r="CD217" s="53"/>
      <c r="CE217" s="53"/>
      <c r="CF217" s="35"/>
      <c r="CH217" s="35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4"/>
    </row>
    <row r="218" spans="1:105" s="55" customFormat="1" ht="12.75" customHeight="1">
      <c r="A218" s="35" t="s">
        <v>253</v>
      </c>
      <c r="B218" s="51"/>
      <c r="C218" s="35" t="s">
        <v>13</v>
      </c>
      <c r="D218" s="44"/>
      <c r="E218" s="53">
        <v>3841704</v>
      </c>
      <c r="F218" s="53"/>
      <c r="G218" s="53">
        <v>32491473</v>
      </c>
      <c r="H218" s="53"/>
      <c r="I218" s="53">
        <v>36333177</v>
      </c>
      <c r="J218" s="53"/>
      <c r="K218" s="53">
        <f>O218-M218</f>
        <v>164784</v>
      </c>
      <c r="L218" s="53"/>
      <c r="M218" s="53">
        <v>224771</v>
      </c>
      <c r="N218" s="53"/>
      <c r="O218" s="53">
        <v>389555</v>
      </c>
      <c r="P218" s="53"/>
      <c r="Q218" s="53">
        <v>32461473</v>
      </c>
      <c r="R218" s="53"/>
      <c r="S218" s="53">
        <v>0</v>
      </c>
      <c r="T218" s="53"/>
      <c r="U218" s="53">
        <v>3482149</v>
      </c>
      <c r="V218" s="53"/>
      <c r="W218" s="53">
        <f>SUM(Q218:U218)</f>
        <v>35943622</v>
      </c>
      <c r="X218" s="53"/>
      <c r="Y218" s="35" t="s">
        <v>253</v>
      </c>
      <c r="AA218" s="35" t="s">
        <v>13</v>
      </c>
      <c r="AB218" s="35"/>
      <c r="AC218" s="53">
        <v>3084556</v>
      </c>
      <c r="AD218" s="53"/>
      <c r="AE218" s="53">
        <f>3053292-587238</f>
        <v>2466054</v>
      </c>
      <c r="AF218" s="53"/>
      <c r="AG218" s="53">
        <v>587238</v>
      </c>
      <c r="AH218" s="53"/>
      <c r="AI218" s="45">
        <f>+AC218-AE218-AG218</f>
        <v>31264</v>
      </c>
      <c r="AJ218" s="45"/>
      <c r="AK218" s="53">
        <v>26055</v>
      </c>
      <c r="AL218" s="45"/>
      <c r="AM218" s="53">
        <v>0</v>
      </c>
      <c r="AN218" s="53"/>
      <c r="AO218" s="53">
        <v>0</v>
      </c>
      <c r="AP218" s="53"/>
      <c r="AQ218" s="53">
        <v>0</v>
      </c>
      <c r="AR218" s="53"/>
      <c r="AS218" s="45">
        <f t="shared" si="57"/>
        <v>57319</v>
      </c>
      <c r="AT218" s="45"/>
      <c r="AU218" s="53">
        <v>0</v>
      </c>
      <c r="AV218" s="53"/>
      <c r="AW218" s="53">
        <v>0</v>
      </c>
      <c r="AX218" s="53"/>
      <c r="AY218" s="53">
        <f>+E218-K218</f>
        <v>3676920</v>
      </c>
      <c r="AZ218" s="53"/>
      <c r="BA218" s="35" t="s">
        <v>253</v>
      </c>
      <c r="BC218" s="35" t="s">
        <v>13</v>
      </c>
      <c r="BD218" s="53"/>
      <c r="BE218" s="53">
        <v>1860003</v>
      </c>
      <c r="BF218" s="53"/>
      <c r="BG218" s="53">
        <v>3000</v>
      </c>
      <c r="BH218" s="53"/>
      <c r="BI218" s="53">
        <v>0</v>
      </c>
      <c r="BJ218" s="53"/>
      <c r="BK218" s="53">
        <f>53027+330564</f>
        <v>383591</v>
      </c>
      <c r="BL218" s="53"/>
      <c r="BM218" s="53">
        <f>SUM(BE218:BK218)</f>
        <v>2246594</v>
      </c>
      <c r="BN218" s="54" t="s">
        <v>347</v>
      </c>
      <c r="BO218" s="35"/>
      <c r="BP218" s="35"/>
      <c r="BQ218" s="35"/>
      <c r="BR218" s="51"/>
      <c r="BS218" s="53"/>
      <c r="BT218" s="53"/>
      <c r="BU218" s="53"/>
      <c r="BV218" s="53"/>
      <c r="BW218" s="45"/>
      <c r="BX218" s="45"/>
      <c r="BY218" s="53"/>
      <c r="BZ218" s="53"/>
      <c r="CA218" s="53"/>
      <c r="CB218" s="53"/>
      <c r="CC218" s="53"/>
      <c r="CD218" s="53"/>
      <c r="CE218" s="53"/>
      <c r="CF218" s="35"/>
      <c r="CH218" s="35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4"/>
      <c r="CT218" s="35"/>
      <c r="CU218" s="35"/>
      <c r="CV218" s="35"/>
      <c r="CW218" s="35"/>
      <c r="CX218" s="35"/>
      <c r="CY218" s="35"/>
      <c r="CZ218" s="35"/>
      <c r="DA218" s="35"/>
    </row>
    <row r="219" spans="1:105" s="143" customFormat="1" ht="12.75" hidden="1" customHeight="1">
      <c r="A219" s="126" t="s">
        <v>254</v>
      </c>
      <c r="B219" s="124"/>
      <c r="C219" s="126" t="s">
        <v>89</v>
      </c>
      <c r="D219" s="121"/>
      <c r="E219" s="140"/>
      <c r="F219" s="140"/>
      <c r="G219" s="140"/>
      <c r="H219" s="140"/>
      <c r="I219" s="140"/>
      <c r="J219" s="140"/>
      <c r="K219" s="140">
        <f t="shared" si="60"/>
        <v>0</v>
      </c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  <c r="W219" s="140">
        <f t="shared" si="61"/>
        <v>0</v>
      </c>
      <c r="X219" s="140"/>
      <c r="Y219" s="126" t="s">
        <v>254</v>
      </c>
      <c r="AA219" s="126" t="s">
        <v>89</v>
      </c>
      <c r="AB219" s="126"/>
      <c r="AC219" s="140"/>
      <c r="AD219" s="140"/>
      <c r="AE219" s="140"/>
      <c r="AF219" s="140"/>
      <c r="AG219" s="140"/>
      <c r="AH219" s="140"/>
      <c r="AI219" s="127">
        <f t="shared" si="56"/>
        <v>0</v>
      </c>
      <c r="AJ219" s="127"/>
      <c r="AK219" s="140"/>
      <c r="AL219" s="127"/>
      <c r="AM219" s="53">
        <v>0</v>
      </c>
      <c r="AN219" s="53"/>
      <c r="AO219" s="53">
        <v>0</v>
      </c>
      <c r="AP219" s="140"/>
      <c r="AQ219" s="140">
        <v>0</v>
      </c>
      <c r="AR219" s="140"/>
      <c r="AS219" s="45">
        <f t="shared" si="57"/>
        <v>0</v>
      </c>
      <c r="AT219" s="127"/>
      <c r="AU219" s="140">
        <v>0</v>
      </c>
      <c r="AV219" s="140"/>
      <c r="AW219" s="140">
        <v>0</v>
      </c>
      <c r="AX219" s="140"/>
      <c r="AY219" s="140">
        <f t="shared" si="58"/>
        <v>0</v>
      </c>
      <c r="AZ219" s="140"/>
      <c r="BA219" s="126" t="s">
        <v>254</v>
      </c>
      <c r="BC219" s="126" t="s">
        <v>89</v>
      </c>
      <c r="BD219" s="140"/>
      <c r="BE219" s="140"/>
      <c r="BF219" s="140"/>
      <c r="BG219" s="140"/>
      <c r="BH219" s="140"/>
      <c r="BI219" s="140"/>
      <c r="BJ219" s="140"/>
      <c r="BK219" s="140"/>
      <c r="BL219" s="140"/>
      <c r="BM219" s="140">
        <f t="shared" si="59"/>
        <v>0</v>
      </c>
      <c r="BN219" s="142" t="s">
        <v>347</v>
      </c>
      <c r="BO219" s="126"/>
      <c r="BR219" s="124"/>
      <c r="BS219" s="140"/>
      <c r="BT219" s="140"/>
      <c r="BU219" s="140"/>
      <c r="BV219" s="140"/>
      <c r="BW219" s="127"/>
      <c r="BX219" s="127"/>
      <c r="BY219" s="140"/>
      <c r="BZ219" s="140"/>
      <c r="CA219" s="140"/>
      <c r="CB219" s="140"/>
      <c r="CC219" s="140"/>
      <c r="CD219" s="140"/>
      <c r="CE219" s="140"/>
      <c r="CF219" s="126"/>
      <c r="CH219" s="126"/>
      <c r="CI219" s="140"/>
      <c r="CJ219" s="140"/>
      <c r="CK219" s="140"/>
      <c r="CL219" s="140"/>
      <c r="CM219" s="140"/>
      <c r="CN219" s="140"/>
      <c r="CO219" s="140"/>
      <c r="CP219" s="140"/>
      <c r="CQ219" s="140"/>
      <c r="CR219" s="140"/>
      <c r="CS219" s="142"/>
      <c r="CT219" s="126"/>
    </row>
    <row r="220" spans="1:105" s="55" customFormat="1" ht="12.75" customHeight="1">
      <c r="A220" s="35" t="s">
        <v>159</v>
      </c>
      <c r="C220" s="35" t="s">
        <v>66</v>
      </c>
      <c r="D220" s="44"/>
      <c r="E220" s="53">
        <v>457940</v>
      </c>
      <c r="F220" s="53"/>
      <c r="G220" s="53">
        <v>4537592</v>
      </c>
      <c r="H220" s="53"/>
      <c r="I220" s="53">
        <v>4995532</v>
      </c>
      <c r="J220" s="53"/>
      <c r="K220" s="53">
        <f>O220-M220</f>
        <v>40930</v>
      </c>
      <c r="L220" s="53"/>
      <c r="M220" s="53">
        <v>599271</v>
      </c>
      <c r="N220" s="53"/>
      <c r="O220" s="53">
        <v>640201</v>
      </c>
      <c r="P220" s="53"/>
      <c r="Q220" s="53">
        <v>3947121</v>
      </c>
      <c r="R220" s="53"/>
      <c r="S220" s="53">
        <v>0</v>
      </c>
      <c r="T220" s="53"/>
      <c r="U220" s="53">
        <v>408210</v>
      </c>
      <c r="V220" s="53"/>
      <c r="W220" s="53">
        <f>SUM(Q220:U220)</f>
        <v>4355331</v>
      </c>
      <c r="X220" s="53"/>
      <c r="Y220" s="35" t="s">
        <v>159</v>
      </c>
      <c r="AA220" s="35" t="s">
        <v>66</v>
      </c>
      <c r="AB220" s="35"/>
      <c r="AC220" s="53">
        <v>707205</v>
      </c>
      <c r="AD220" s="53"/>
      <c r="AE220" s="53">
        <f>674755-171775</f>
        <v>502980</v>
      </c>
      <c r="AF220" s="53"/>
      <c r="AG220" s="53">
        <v>171775</v>
      </c>
      <c r="AH220" s="53"/>
      <c r="AI220" s="45">
        <f>+AC220-AE220-AG220</f>
        <v>32450</v>
      </c>
      <c r="AJ220" s="45"/>
      <c r="AK220" s="53">
        <v>173600</v>
      </c>
      <c r="AL220" s="45"/>
      <c r="AM220" s="53">
        <v>0</v>
      </c>
      <c r="AN220" s="53"/>
      <c r="AO220" s="53">
        <v>9331</v>
      </c>
      <c r="AP220" s="53"/>
      <c r="AQ220" s="53">
        <v>0</v>
      </c>
      <c r="AR220" s="53"/>
      <c r="AS220" s="45">
        <f t="shared" si="57"/>
        <v>196719</v>
      </c>
      <c r="AT220" s="45"/>
      <c r="AU220" s="53">
        <v>0</v>
      </c>
      <c r="AV220" s="53"/>
      <c r="AW220" s="53">
        <v>0</v>
      </c>
      <c r="AX220" s="53"/>
      <c r="AY220" s="53">
        <f>+E220-K220</f>
        <v>417010</v>
      </c>
      <c r="AZ220" s="53"/>
      <c r="BA220" s="35" t="s">
        <v>159</v>
      </c>
      <c r="BC220" s="35" t="s">
        <v>66</v>
      </c>
      <c r="BD220" s="53"/>
      <c r="BE220" s="53">
        <v>0</v>
      </c>
      <c r="BF220" s="53"/>
      <c r="BG220" s="53">
        <v>0</v>
      </c>
      <c r="BH220" s="53"/>
      <c r="BI220" s="53">
        <v>0</v>
      </c>
      <c r="BJ220" s="53"/>
      <c r="BK220" s="53">
        <v>0</v>
      </c>
      <c r="BL220" s="53"/>
      <c r="BM220" s="53">
        <f>SUM(BE220:BK220)</f>
        <v>0</v>
      </c>
      <c r="BN220" s="54" t="s">
        <v>347</v>
      </c>
      <c r="BR220" s="51"/>
      <c r="BS220" s="53"/>
      <c r="BT220" s="53"/>
      <c r="BU220" s="53"/>
      <c r="BV220" s="53"/>
      <c r="BW220" s="53"/>
      <c r="BX220" s="45"/>
      <c r="BY220" s="45"/>
      <c r="BZ220" s="53"/>
      <c r="CA220" s="53"/>
      <c r="CB220" s="53"/>
      <c r="CC220" s="53"/>
      <c r="CD220" s="53"/>
      <c r="CE220" s="53"/>
      <c r="CF220" s="35"/>
      <c r="CH220" s="35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4"/>
    </row>
    <row r="221" spans="1:105" s="143" customFormat="1" ht="12.75" hidden="1" customHeight="1">
      <c r="A221" s="126" t="s">
        <v>255</v>
      </c>
      <c r="B221" s="124"/>
      <c r="C221" s="126" t="s">
        <v>27</v>
      </c>
      <c r="D221" s="121"/>
      <c r="E221" s="140"/>
      <c r="F221" s="140"/>
      <c r="G221" s="140"/>
      <c r="H221" s="140"/>
      <c r="I221" s="140"/>
      <c r="J221" s="140"/>
      <c r="K221" s="140">
        <f t="shared" si="60"/>
        <v>0</v>
      </c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  <c r="W221" s="140">
        <f t="shared" si="61"/>
        <v>0</v>
      </c>
      <c r="X221" s="140"/>
      <c r="Y221" s="126" t="s">
        <v>255</v>
      </c>
      <c r="AA221" s="126" t="s">
        <v>27</v>
      </c>
      <c r="AB221" s="126"/>
      <c r="AC221" s="140"/>
      <c r="AD221" s="140"/>
      <c r="AE221" s="140"/>
      <c r="AF221" s="140"/>
      <c r="AG221" s="140"/>
      <c r="AH221" s="140"/>
      <c r="AI221" s="127">
        <f t="shared" si="56"/>
        <v>0</v>
      </c>
      <c r="AJ221" s="127"/>
      <c r="AK221" s="140"/>
      <c r="AL221" s="127"/>
      <c r="AM221" s="53">
        <v>0</v>
      </c>
      <c r="AN221" s="53"/>
      <c r="AO221" s="53">
        <v>0</v>
      </c>
      <c r="AP221" s="140"/>
      <c r="AQ221" s="140"/>
      <c r="AR221" s="140"/>
      <c r="AS221" s="45">
        <f t="shared" si="57"/>
        <v>0</v>
      </c>
      <c r="AT221" s="127"/>
      <c r="AU221" s="140">
        <v>0</v>
      </c>
      <c r="AV221" s="140"/>
      <c r="AW221" s="140">
        <v>0</v>
      </c>
      <c r="AX221" s="140"/>
      <c r="AY221" s="140">
        <f t="shared" si="58"/>
        <v>0</v>
      </c>
      <c r="AZ221" s="140"/>
      <c r="BA221" s="126" t="s">
        <v>255</v>
      </c>
      <c r="BC221" s="126" t="s">
        <v>27</v>
      </c>
      <c r="BD221" s="140"/>
      <c r="BE221" s="140"/>
      <c r="BF221" s="140"/>
      <c r="BG221" s="140"/>
      <c r="BH221" s="140"/>
      <c r="BI221" s="140"/>
      <c r="BJ221" s="140"/>
      <c r="BK221" s="140"/>
      <c r="BL221" s="140"/>
      <c r="BM221" s="140">
        <f t="shared" si="59"/>
        <v>0</v>
      </c>
      <c r="BN221" s="142" t="s">
        <v>347</v>
      </c>
      <c r="BR221" s="124"/>
      <c r="BS221" s="140"/>
      <c r="BT221" s="140"/>
      <c r="BU221" s="140"/>
      <c r="BV221" s="140"/>
      <c r="BW221" s="140"/>
      <c r="BX221" s="127"/>
      <c r="BY221" s="127"/>
      <c r="BZ221" s="140"/>
      <c r="CA221" s="140"/>
      <c r="CB221" s="140"/>
      <c r="CC221" s="140"/>
      <c r="CD221" s="140"/>
      <c r="CE221" s="140"/>
      <c r="CF221" s="126"/>
      <c r="CH221" s="126"/>
      <c r="CI221" s="140"/>
      <c r="CJ221" s="140"/>
      <c r="CK221" s="140"/>
      <c r="CL221" s="140"/>
      <c r="CM221" s="140"/>
      <c r="CN221" s="140"/>
      <c r="CO221" s="140"/>
      <c r="CP221" s="140"/>
      <c r="CQ221" s="140"/>
      <c r="CR221" s="140"/>
      <c r="CS221" s="142"/>
    </row>
    <row r="222" spans="1:105" s="55" customFormat="1" ht="12.75" customHeight="1">
      <c r="A222" s="35" t="s">
        <v>256</v>
      </c>
      <c r="C222" s="35" t="s">
        <v>43</v>
      </c>
      <c r="D222" s="44"/>
      <c r="E222" s="53">
        <v>127315</v>
      </c>
      <c r="F222" s="53"/>
      <c r="G222" s="53">
        <v>4728279</v>
      </c>
      <c r="H222" s="53"/>
      <c r="I222" s="53">
        <v>4855594</v>
      </c>
      <c r="J222" s="53"/>
      <c r="K222" s="53">
        <f>O222-M222</f>
        <v>177722</v>
      </c>
      <c r="L222" s="53"/>
      <c r="M222" s="53">
        <v>830566</v>
      </c>
      <c r="N222" s="53"/>
      <c r="O222" s="53">
        <v>1008288</v>
      </c>
      <c r="P222" s="53"/>
      <c r="Q222" s="53">
        <v>3758340</v>
      </c>
      <c r="R222" s="53"/>
      <c r="S222" s="53">
        <v>0</v>
      </c>
      <c r="T222" s="53"/>
      <c r="U222" s="53">
        <v>88966</v>
      </c>
      <c r="V222" s="53"/>
      <c r="W222" s="53">
        <f>SUM(Q222:U222)</f>
        <v>3847306</v>
      </c>
      <c r="X222" s="53"/>
      <c r="Y222" s="35" t="s">
        <v>256</v>
      </c>
      <c r="AA222" s="35" t="s">
        <v>43</v>
      </c>
      <c r="AB222" s="35"/>
      <c r="AC222" s="53">
        <v>733944</v>
      </c>
      <c r="AD222" s="53"/>
      <c r="AE222" s="53">
        <f>695158-221621</f>
        <v>473537</v>
      </c>
      <c r="AF222" s="53"/>
      <c r="AG222" s="53">
        <v>221621</v>
      </c>
      <c r="AH222" s="53"/>
      <c r="AI222" s="45">
        <f>+AC222-AE222-AG222</f>
        <v>38786</v>
      </c>
      <c r="AJ222" s="45"/>
      <c r="AK222" s="53">
        <v>-39545</v>
      </c>
      <c r="AL222" s="45"/>
      <c r="AM222" s="53">
        <v>0</v>
      </c>
      <c r="AN222" s="53"/>
      <c r="AO222" s="53">
        <v>0</v>
      </c>
      <c r="AP222" s="53"/>
      <c r="AQ222" s="53">
        <v>43844</v>
      </c>
      <c r="AR222" s="53"/>
      <c r="AS222" s="45">
        <f t="shared" si="57"/>
        <v>43085</v>
      </c>
      <c r="AT222" s="45"/>
      <c r="AU222" s="53">
        <v>0</v>
      </c>
      <c r="AV222" s="53"/>
      <c r="AW222" s="53">
        <v>0</v>
      </c>
      <c r="AX222" s="53"/>
      <c r="AY222" s="53">
        <f>+E222-K222</f>
        <v>-50407</v>
      </c>
      <c r="AZ222" s="53"/>
      <c r="BA222" s="35" t="s">
        <v>256</v>
      </c>
      <c r="BC222" s="35" t="s">
        <v>43</v>
      </c>
      <c r="BD222" s="53"/>
      <c r="BE222" s="53">
        <v>1685694</v>
      </c>
      <c r="BF222" s="53"/>
      <c r="BG222" s="53">
        <v>0</v>
      </c>
      <c r="BH222" s="53"/>
      <c r="BI222" s="53">
        <v>0</v>
      </c>
      <c r="BJ222" s="53"/>
      <c r="BK222" s="53">
        <v>0</v>
      </c>
      <c r="BL222" s="53"/>
      <c r="BM222" s="53">
        <f>SUM(BE222:BK222)</f>
        <v>1685694</v>
      </c>
      <c r="BN222" s="54" t="s">
        <v>347</v>
      </c>
      <c r="BR222" s="51"/>
      <c r="BS222" s="53"/>
      <c r="BT222" s="53"/>
      <c r="BU222" s="53"/>
      <c r="BV222" s="53"/>
      <c r="BW222" s="53"/>
      <c r="BX222" s="45"/>
      <c r="BY222" s="45"/>
      <c r="BZ222" s="53"/>
      <c r="CA222" s="53"/>
      <c r="CB222" s="53"/>
      <c r="CC222" s="53"/>
      <c r="CD222" s="53"/>
      <c r="CE222" s="53"/>
      <c r="CF222" s="35"/>
      <c r="CH222" s="35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4"/>
    </row>
    <row r="223" spans="1:105" s="55" customFormat="1" ht="12.75" customHeight="1">
      <c r="A223" s="35" t="s">
        <v>257</v>
      </c>
      <c r="B223" s="51"/>
      <c r="C223" s="35" t="s">
        <v>258</v>
      </c>
      <c r="D223" s="44"/>
      <c r="E223" s="53">
        <v>281234</v>
      </c>
      <c r="F223" s="53"/>
      <c r="G223" s="53">
        <f>270820+8738513</f>
        <v>9009333</v>
      </c>
      <c r="H223" s="53"/>
      <c r="I223" s="53">
        <v>9290567</v>
      </c>
      <c r="J223" s="53"/>
      <c r="K223" s="53">
        <f>O223-M223</f>
        <v>55698</v>
      </c>
      <c r="L223" s="53"/>
      <c r="M223" s="53">
        <v>0</v>
      </c>
      <c r="N223" s="53"/>
      <c r="O223" s="53">
        <v>55698</v>
      </c>
      <c r="P223" s="53"/>
      <c r="Q223" s="53">
        <v>9009333</v>
      </c>
      <c r="R223" s="53"/>
      <c r="S223" s="53">
        <v>0</v>
      </c>
      <c r="T223" s="53"/>
      <c r="U223" s="53">
        <v>225536</v>
      </c>
      <c r="V223" s="53"/>
      <c r="W223" s="53">
        <f>SUM(Q223:U223)</f>
        <v>9234869</v>
      </c>
      <c r="X223" s="53"/>
      <c r="Y223" s="35" t="s">
        <v>257</v>
      </c>
      <c r="AA223" s="35" t="s">
        <v>258</v>
      </c>
      <c r="AB223" s="35"/>
      <c r="AC223" s="53">
        <v>705402</v>
      </c>
      <c r="AD223" s="53"/>
      <c r="AE223" s="53">
        <f>918838-201728</f>
        <v>717110</v>
      </c>
      <c r="AF223" s="53"/>
      <c r="AG223" s="53">
        <v>201728</v>
      </c>
      <c r="AH223" s="53"/>
      <c r="AI223" s="45">
        <f>+AC223-AE223-AG223</f>
        <v>-213436</v>
      </c>
      <c r="AJ223" s="45"/>
      <c r="AK223" s="53">
        <v>4546</v>
      </c>
      <c r="AL223" s="45"/>
      <c r="AM223" s="53">
        <v>0</v>
      </c>
      <c r="AN223" s="53"/>
      <c r="AO223" s="53">
        <v>0</v>
      </c>
      <c r="AP223" s="53"/>
      <c r="AQ223" s="53">
        <v>0</v>
      </c>
      <c r="AR223" s="53"/>
      <c r="AS223" s="45">
        <f t="shared" si="57"/>
        <v>-208890</v>
      </c>
      <c r="AT223" s="45"/>
      <c r="AU223" s="53">
        <v>0</v>
      </c>
      <c r="AV223" s="53"/>
      <c r="AW223" s="53">
        <v>0</v>
      </c>
      <c r="AX223" s="53"/>
      <c r="AY223" s="53">
        <f>+E223-K223</f>
        <v>225536</v>
      </c>
      <c r="AZ223" s="53"/>
      <c r="BA223" s="35" t="s">
        <v>257</v>
      </c>
      <c r="BC223" s="35" t="s">
        <v>258</v>
      </c>
      <c r="BD223" s="53"/>
      <c r="BE223" s="53">
        <v>0</v>
      </c>
      <c r="BF223" s="53"/>
      <c r="BG223" s="53">
        <v>0</v>
      </c>
      <c r="BH223" s="53"/>
      <c r="BI223" s="53">
        <v>0</v>
      </c>
      <c r="BJ223" s="53"/>
      <c r="BK223" s="53">
        <v>0</v>
      </c>
      <c r="BL223" s="53"/>
      <c r="BM223" s="53">
        <f t="shared" si="59"/>
        <v>0</v>
      </c>
      <c r="BN223" s="54" t="s">
        <v>347</v>
      </c>
      <c r="BR223" s="51"/>
      <c r="BS223" s="53"/>
      <c r="BT223" s="53"/>
      <c r="BU223" s="53"/>
      <c r="BV223" s="53"/>
      <c r="BW223" s="53"/>
      <c r="BX223" s="45"/>
      <c r="BY223" s="45"/>
      <c r="BZ223" s="53"/>
      <c r="CA223" s="53"/>
      <c r="CB223" s="53"/>
      <c r="CC223" s="53"/>
      <c r="CD223" s="53"/>
      <c r="CE223" s="53"/>
      <c r="CF223" s="35"/>
      <c r="CH223" s="35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4"/>
    </row>
    <row r="224" spans="1:105" s="55" customFormat="1" ht="12.75" customHeight="1">
      <c r="A224" s="35" t="s">
        <v>259</v>
      </c>
      <c r="B224" s="51"/>
      <c r="C224" s="35" t="s">
        <v>369</v>
      </c>
      <c r="D224" s="44"/>
      <c r="E224" s="53">
        <f>+I224-G224</f>
        <v>421437</v>
      </c>
      <c r="F224" s="53"/>
      <c r="G224" s="53">
        <f>2394406+3282378+3051</f>
        <v>5679835</v>
      </c>
      <c r="H224" s="53"/>
      <c r="I224" s="53">
        <v>6101272</v>
      </c>
      <c r="J224" s="53"/>
      <c r="K224" s="53">
        <f t="shared" si="60"/>
        <v>1429745</v>
      </c>
      <c r="L224" s="53"/>
      <c r="M224" s="53">
        <f>24149+3723969</f>
        <v>3748118</v>
      </c>
      <c r="N224" s="53"/>
      <c r="O224" s="53">
        <v>5177863</v>
      </c>
      <c r="P224" s="53"/>
      <c r="Q224" s="53">
        <v>887325</v>
      </c>
      <c r="R224" s="53"/>
      <c r="S224" s="53">
        <v>0</v>
      </c>
      <c r="T224" s="53"/>
      <c r="U224" s="53">
        <v>36084</v>
      </c>
      <c r="V224" s="53"/>
      <c r="W224" s="53">
        <f t="shared" si="61"/>
        <v>923409</v>
      </c>
      <c r="X224" s="53"/>
      <c r="Y224" s="35" t="s">
        <v>259</v>
      </c>
      <c r="AA224" s="35" t="s">
        <v>369</v>
      </c>
      <c r="AB224" s="35"/>
      <c r="AC224" s="53">
        <v>1712057</v>
      </c>
      <c r="AD224" s="53"/>
      <c r="AE224" s="53">
        <f>1595062-219341</f>
        <v>1375721</v>
      </c>
      <c r="AF224" s="53"/>
      <c r="AG224" s="53">
        <v>219341</v>
      </c>
      <c r="AH224" s="53"/>
      <c r="AI224" s="45">
        <f t="shared" si="56"/>
        <v>116995</v>
      </c>
      <c r="AJ224" s="45"/>
      <c r="AK224" s="53">
        <v>-47710</v>
      </c>
      <c r="AL224" s="45"/>
      <c r="AM224" s="53">
        <v>0</v>
      </c>
      <c r="AN224" s="53"/>
      <c r="AO224" s="53">
        <v>0</v>
      </c>
      <c r="AP224" s="53"/>
      <c r="AQ224" s="53">
        <v>0</v>
      </c>
      <c r="AR224" s="53"/>
      <c r="AS224" s="45">
        <f t="shared" si="57"/>
        <v>69285</v>
      </c>
      <c r="AT224" s="45"/>
      <c r="AU224" s="53">
        <v>0</v>
      </c>
      <c r="AV224" s="53"/>
      <c r="AW224" s="53">
        <v>0</v>
      </c>
      <c r="AX224" s="53"/>
      <c r="AY224" s="53">
        <f t="shared" si="58"/>
        <v>-1008308</v>
      </c>
      <c r="AZ224" s="53"/>
      <c r="BA224" s="35" t="s">
        <v>259</v>
      </c>
      <c r="BC224" s="35" t="s">
        <v>369</v>
      </c>
      <c r="BD224" s="53"/>
      <c r="BE224" s="53">
        <f>4336029-235885</f>
        <v>4100144</v>
      </c>
      <c r="BF224" s="53"/>
      <c r="BG224" s="53">
        <v>0</v>
      </c>
      <c r="BH224" s="53"/>
      <c r="BI224" s="53">
        <v>0</v>
      </c>
      <c r="BJ224" s="53"/>
      <c r="BK224" s="53">
        <f>200000-7634+43519</f>
        <v>235885</v>
      </c>
      <c r="BL224" s="53"/>
      <c r="BM224" s="53">
        <f t="shared" si="59"/>
        <v>4336029</v>
      </c>
      <c r="BN224" s="54" t="s">
        <v>347</v>
      </c>
      <c r="BO224" s="55" t="s">
        <v>405</v>
      </c>
      <c r="BR224" s="51"/>
      <c r="BS224" s="53"/>
      <c r="BT224" s="53"/>
      <c r="BU224" s="53"/>
      <c r="BV224" s="53"/>
      <c r="BW224" s="45"/>
      <c r="BX224" s="45"/>
      <c r="BY224" s="53"/>
      <c r="BZ224" s="53"/>
      <c r="CA224" s="53"/>
      <c r="CB224" s="53"/>
      <c r="CC224" s="53"/>
      <c r="CD224" s="53"/>
      <c r="CE224" s="53"/>
      <c r="CF224" s="35"/>
      <c r="CH224" s="35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4"/>
    </row>
    <row r="225" spans="1:97" s="55" customFormat="1" ht="12.75" customHeight="1">
      <c r="A225" s="35" t="s">
        <v>261</v>
      </c>
      <c r="B225" s="51"/>
      <c r="C225" s="35" t="s">
        <v>66</v>
      </c>
      <c r="D225" s="44"/>
      <c r="E225" s="53">
        <v>668777</v>
      </c>
      <c r="F225" s="53"/>
      <c r="G225" s="53">
        <v>16815755</v>
      </c>
      <c r="H225" s="53"/>
      <c r="I225" s="53">
        <v>17484532</v>
      </c>
      <c r="J225" s="53"/>
      <c r="K225" s="53">
        <f t="shared" si="60"/>
        <v>127344</v>
      </c>
      <c r="L225" s="53"/>
      <c r="M225" s="53">
        <v>27094</v>
      </c>
      <c r="N225" s="53"/>
      <c r="O225" s="53">
        <v>154438</v>
      </c>
      <c r="P225" s="53"/>
      <c r="Q225" s="53">
        <v>9267494</v>
      </c>
      <c r="R225" s="53"/>
      <c r="S225" s="53">
        <v>0</v>
      </c>
      <c r="T225" s="53"/>
      <c r="U225" s="53">
        <v>8062600</v>
      </c>
      <c r="V225" s="53"/>
      <c r="W225" s="53">
        <f t="shared" si="61"/>
        <v>17330094</v>
      </c>
      <c r="X225" s="53"/>
      <c r="Y225" s="35" t="s">
        <v>261</v>
      </c>
      <c r="AA225" s="35" t="s">
        <v>66</v>
      </c>
      <c r="AB225" s="35"/>
      <c r="AC225" s="53">
        <v>1072501</v>
      </c>
      <c r="AD225" s="53"/>
      <c r="AE225" s="53">
        <f>1532371-243735</f>
        <v>1288636</v>
      </c>
      <c r="AF225" s="53"/>
      <c r="AG225" s="53">
        <v>243735</v>
      </c>
      <c r="AH225" s="53"/>
      <c r="AI225" s="45">
        <f t="shared" si="56"/>
        <v>-459870</v>
      </c>
      <c r="AJ225" s="45"/>
      <c r="AK225" s="53">
        <v>-39192</v>
      </c>
      <c r="AL225" s="45"/>
      <c r="AM225" s="53">
        <v>0</v>
      </c>
      <c r="AN225" s="53"/>
      <c r="AO225" s="53">
        <v>0</v>
      </c>
      <c r="AP225" s="53"/>
      <c r="AQ225" s="53">
        <v>960217</v>
      </c>
      <c r="AR225" s="53"/>
      <c r="AS225" s="45">
        <f t="shared" si="57"/>
        <v>461155</v>
      </c>
      <c r="AT225" s="45"/>
      <c r="AU225" s="53">
        <v>0</v>
      </c>
      <c r="AV225" s="53"/>
      <c r="AW225" s="53">
        <v>0</v>
      </c>
      <c r="AX225" s="53"/>
      <c r="AY225" s="53">
        <f t="shared" si="58"/>
        <v>541433</v>
      </c>
      <c r="AZ225" s="53"/>
      <c r="BA225" s="35" t="s">
        <v>261</v>
      </c>
      <c r="BC225" s="35" t="s">
        <v>66</v>
      </c>
      <c r="BD225" s="53"/>
      <c r="BE225" s="53">
        <v>0</v>
      </c>
      <c r="BF225" s="53"/>
      <c r="BG225" s="53">
        <v>0</v>
      </c>
      <c r="BH225" s="53"/>
      <c r="BI225" s="53">
        <v>0</v>
      </c>
      <c r="BJ225" s="53"/>
      <c r="BK225" s="53">
        <v>0</v>
      </c>
      <c r="BL225" s="53"/>
      <c r="BM225" s="53">
        <f t="shared" si="59"/>
        <v>0</v>
      </c>
      <c r="BN225" s="54" t="s">
        <v>347</v>
      </c>
      <c r="BR225" s="51"/>
      <c r="BS225" s="53"/>
      <c r="BT225" s="53"/>
      <c r="BU225" s="53"/>
      <c r="BV225" s="53"/>
      <c r="BW225" s="53"/>
      <c r="BX225" s="45"/>
      <c r="BY225" s="45"/>
      <c r="BZ225" s="53"/>
      <c r="CA225" s="53"/>
      <c r="CB225" s="53"/>
      <c r="CC225" s="53"/>
      <c r="CD225" s="53"/>
      <c r="CE225" s="53"/>
      <c r="CF225" s="35"/>
      <c r="CH225" s="35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4"/>
    </row>
    <row r="226" spans="1:97" s="55" customFormat="1" ht="12.75" hidden="1" customHeight="1">
      <c r="A226" s="35" t="s">
        <v>262</v>
      </c>
      <c r="C226" s="35" t="s">
        <v>132</v>
      </c>
      <c r="D226" s="44"/>
      <c r="E226" s="53"/>
      <c r="F226" s="53"/>
      <c r="G226" s="53"/>
      <c r="H226" s="53"/>
      <c r="I226" s="53"/>
      <c r="J226" s="53"/>
      <c r="K226" s="53">
        <f t="shared" si="60"/>
        <v>0</v>
      </c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>
        <f t="shared" si="61"/>
        <v>0</v>
      </c>
      <c r="X226" s="53"/>
      <c r="Y226" s="35" t="s">
        <v>262</v>
      </c>
      <c r="AA226" s="35" t="s">
        <v>132</v>
      </c>
      <c r="AB226" s="35"/>
      <c r="AC226" s="53"/>
      <c r="AD226" s="53"/>
      <c r="AE226" s="53"/>
      <c r="AF226" s="53"/>
      <c r="AG226" s="53"/>
      <c r="AH226" s="53"/>
      <c r="AI226" s="45">
        <f t="shared" si="56"/>
        <v>0</v>
      </c>
      <c r="AJ226" s="45"/>
      <c r="AK226" s="53"/>
      <c r="AL226" s="45"/>
      <c r="AM226" s="53">
        <v>0</v>
      </c>
      <c r="AN226" s="53"/>
      <c r="AO226" s="53">
        <v>0</v>
      </c>
      <c r="AP226" s="53"/>
      <c r="AQ226" s="53">
        <v>0</v>
      </c>
      <c r="AR226" s="53"/>
      <c r="AS226" s="45">
        <f t="shared" si="57"/>
        <v>0</v>
      </c>
      <c r="AT226" s="45"/>
      <c r="AU226" s="53">
        <v>0</v>
      </c>
      <c r="AV226" s="53"/>
      <c r="AW226" s="53">
        <v>0</v>
      </c>
      <c r="AX226" s="53"/>
      <c r="AY226" s="53">
        <f t="shared" si="58"/>
        <v>0</v>
      </c>
      <c r="AZ226" s="53"/>
      <c r="BA226" s="35" t="s">
        <v>262</v>
      </c>
      <c r="BC226" s="35" t="s">
        <v>132</v>
      </c>
      <c r="BD226" s="53"/>
      <c r="BE226" s="53"/>
      <c r="BF226" s="53"/>
      <c r="BG226" s="53"/>
      <c r="BH226" s="53"/>
      <c r="BI226" s="53"/>
      <c r="BJ226" s="53"/>
      <c r="BK226" s="53"/>
      <c r="BL226" s="53"/>
      <c r="BM226" s="53">
        <f t="shared" si="59"/>
        <v>0</v>
      </c>
      <c r="BN226" s="54" t="s">
        <v>347</v>
      </c>
      <c r="BR226" s="51"/>
      <c r="BS226" s="53"/>
      <c r="BT226" s="53"/>
      <c r="BU226" s="53"/>
      <c r="BV226" s="53"/>
      <c r="BW226" s="53"/>
      <c r="BX226" s="45"/>
      <c r="BY226" s="45"/>
      <c r="BZ226" s="53"/>
      <c r="CA226" s="53"/>
      <c r="CB226" s="53"/>
      <c r="CC226" s="53"/>
      <c r="CD226" s="53"/>
      <c r="CE226" s="53"/>
      <c r="CF226" s="35"/>
      <c r="CH226" s="35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4"/>
    </row>
    <row r="227" spans="1:97" s="55" customFormat="1" ht="12.75" customHeight="1">
      <c r="A227" s="35" t="s">
        <v>263</v>
      </c>
      <c r="B227" s="51"/>
      <c r="C227" s="35" t="s">
        <v>53</v>
      </c>
      <c r="D227" s="44"/>
      <c r="E227" s="53">
        <v>5774065</v>
      </c>
      <c r="F227" s="53"/>
      <c r="G227" s="53">
        <v>28395567</v>
      </c>
      <c r="H227" s="53"/>
      <c r="I227" s="53">
        <v>34169632</v>
      </c>
      <c r="J227" s="53"/>
      <c r="K227" s="53">
        <f t="shared" si="60"/>
        <v>1126168</v>
      </c>
      <c r="L227" s="53"/>
      <c r="M227" s="53">
        <v>20800093</v>
      </c>
      <c r="N227" s="53"/>
      <c r="O227" s="53">
        <v>21926261</v>
      </c>
      <c r="P227" s="53"/>
      <c r="Q227" s="53">
        <v>6921299</v>
      </c>
      <c r="R227" s="53"/>
      <c r="S227" s="53">
        <v>0</v>
      </c>
      <c r="T227" s="53"/>
      <c r="U227" s="53">
        <v>5322072</v>
      </c>
      <c r="V227" s="53"/>
      <c r="W227" s="53">
        <f t="shared" si="61"/>
        <v>12243371</v>
      </c>
      <c r="X227" s="53"/>
      <c r="Y227" s="35" t="s">
        <v>263</v>
      </c>
      <c r="AA227" s="35" t="s">
        <v>53</v>
      </c>
      <c r="AB227" s="35"/>
      <c r="AC227" s="53">
        <v>3226918</v>
      </c>
      <c r="AD227" s="53"/>
      <c r="AE227" s="53">
        <f>2823544-685875</f>
        <v>2137669</v>
      </c>
      <c r="AF227" s="53"/>
      <c r="AG227" s="53">
        <v>685875</v>
      </c>
      <c r="AH227" s="53"/>
      <c r="AI227" s="45">
        <f t="shared" si="56"/>
        <v>403374</v>
      </c>
      <c r="AJ227" s="45"/>
      <c r="AK227" s="53">
        <v>55257</v>
      </c>
      <c r="AL227" s="45"/>
      <c r="AM227" s="53">
        <v>0</v>
      </c>
      <c r="AN227" s="53"/>
      <c r="AO227" s="53">
        <v>0</v>
      </c>
      <c r="AP227" s="53"/>
      <c r="AQ227" s="53">
        <v>0</v>
      </c>
      <c r="AR227" s="53"/>
      <c r="AS227" s="45">
        <f t="shared" si="57"/>
        <v>458631</v>
      </c>
      <c r="AT227" s="45"/>
      <c r="AU227" s="53">
        <v>0</v>
      </c>
      <c r="AV227" s="53"/>
      <c r="AW227" s="53">
        <v>0</v>
      </c>
      <c r="AX227" s="53"/>
      <c r="AY227" s="53">
        <f t="shared" si="58"/>
        <v>4647897</v>
      </c>
      <c r="AZ227" s="53"/>
      <c r="BA227" s="35" t="s">
        <v>263</v>
      </c>
      <c r="BC227" s="35" t="s">
        <v>53</v>
      </c>
      <c r="BD227" s="53"/>
      <c r="BE227" s="53">
        <v>21474268</v>
      </c>
      <c r="BF227" s="53"/>
      <c r="BG227" s="53">
        <v>0</v>
      </c>
      <c r="BH227" s="53"/>
      <c r="BI227" s="53">
        <v>0</v>
      </c>
      <c r="BJ227" s="53"/>
      <c r="BK227" s="53">
        <v>0</v>
      </c>
      <c r="BL227" s="53"/>
      <c r="BM227" s="53">
        <f t="shared" si="59"/>
        <v>21474268</v>
      </c>
      <c r="BN227" s="54" t="s">
        <v>347</v>
      </c>
      <c r="BO227" s="55" t="s">
        <v>410</v>
      </c>
      <c r="BR227" s="51"/>
      <c r="BS227" s="53"/>
      <c r="BT227" s="53"/>
      <c r="BU227" s="53"/>
      <c r="BV227" s="53"/>
      <c r="BW227" s="53"/>
      <c r="BX227" s="45"/>
      <c r="BY227" s="45"/>
      <c r="BZ227" s="53"/>
      <c r="CA227" s="53"/>
      <c r="CB227" s="53"/>
      <c r="CC227" s="53"/>
      <c r="CD227" s="53"/>
      <c r="CE227" s="53"/>
      <c r="CF227" s="35"/>
      <c r="CH227" s="35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4"/>
    </row>
    <row r="228" spans="1:97" s="55" customFormat="1" ht="12.75" customHeight="1">
      <c r="A228" s="35" t="s">
        <v>264</v>
      </c>
      <c r="B228" s="51"/>
      <c r="C228" s="35" t="s">
        <v>239</v>
      </c>
      <c r="D228" s="44"/>
      <c r="E228" s="53">
        <f>1180395+675728</f>
        <v>1856123</v>
      </c>
      <c r="F228" s="53"/>
      <c r="G228" s="53">
        <f>15690640+1215439</f>
        <v>16906079</v>
      </c>
      <c r="H228" s="53"/>
      <c r="I228" s="53">
        <f>16871035+1891167</f>
        <v>18762202</v>
      </c>
      <c r="J228" s="53"/>
      <c r="K228" s="53">
        <f t="shared" si="60"/>
        <v>548726</v>
      </c>
      <c r="L228" s="53"/>
      <c r="M228" s="53">
        <v>9385370</v>
      </c>
      <c r="N228" s="53"/>
      <c r="O228" s="53">
        <f>9930759+3337</f>
        <v>9934096</v>
      </c>
      <c r="P228" s="53"/>
      <c r="Q228" s="53">
        <f>4829238+1215439</f>
        <v>6044677</v>
      </c>
      <c r="R228" s="53"/>
      <c r="S228" s="53">
        <f>58064+1112906</f>
        <v>1170970</v>
      </c>
      <c r="T228" s="53"/>
      <c r="U228" s="53">
        <f>940068+672391</f>
        <v>1612459</v>
      </c>
      <c r="V228" s="53"/>
      <c r="W228" s="53">
        <f t="shared" si="61"/>
        <v>8828106</v>
      </c>
      <c r="X228" s="53"/>
      <c r="Y228" s="35" t="s">
        <v>264</v>
      </c>
      <c r="AA228" s="35" t="s">
        <v>239</v>
      </c>
      <c r="AB228" s="35"/>
      <c r="AC228" s="53">
        <f>1860676+156374</f>
        <v>2017050</v>
      </c>
      <c r="AD228" s="53"/>
      <c r="AE228" s="53">
        <f>1774462+83018-448991-49007</f>
        <v>1359482</v>
      </c>
      <c r="AF228" s="53"/>
      <c r="AG228" s="53">
        <f>448991+49007</f>
        <v>497998</v>
      </c>
      <c r="AH228" s="53"/>
      <c r="AI228" s="45">
        <f t="shared" si="56"/>
        <v>159570</v>
      </c>
      <c r="AJ228" s="45"/>
      <c r="AK228" s="53">
        <v>-437477</v>
      </c>
      <c r="AL228" s="45"/>
      <c r="AM228" s="53">
        <v>0</v>
      </c>
      <c r="AN228" s="53"/>
      <c r="AO228" s="53">
        <v>44494</v>
      </c>
      <c r="AP228" s="53"/>
      <c r="AQ228" s="53">
        <v>47819</v>
      </c>
      <c r="AR228" s="53"/>
      <c r="AS228" s="45">
        <f t="shared" si="57"/>
        <v>-274582</v>
      </c>
      <c r="AT228" s="45"/>
      <c r="AU228" s="53">
        <v>0</v>
      </c>
      <c r="AV228" s="53"/>
      <c r="AW228" s="53">
        <v>0</v>
      </c>
      <c r="AX228" s="53"/>
      <c r="AY228" s="53">
        <f t="shared" si="58"/>
        <v>1307397</v>
      </c>
      <c r="AZ228" s="53"/>
      <c r="BA228" s="35" t="s">
        <v>264</v>
      </c>
      <c r="BC228" s="35" t="s">
        <v>239</v>
      </c>
      <c r="BD228" s="53"/>
      <c r="BE228" s="53">
        <f>2545000-14804+7125000</f>
        <v>9655196</v>
      </c>
      <c r="BF228" s="53"/>
      <c r="BG228" s="53">
        <v>0</v>
      </c>
      <c r="BH228" s="53"/>
      <c r="BI228" s="53">
        <v>1007</v>
      </c>
      <c r="BJ228" s="53"/>
      <c r="BK228" s="53">
        <v>11250</v>
      </c>
      <c r="BL228" s="53"/>
      <c r="BM228" s="53">
        <f t="shared" si="59"/>
        <v>9667453</v>
      </c>
      <c r="BN228" s="54" t="s">
        <v>347</v>
      </c>
      <c r="BR228" s="51"/>
      <c r="BS228" s="53"/>
      <c r="BT228" s="53"/>
      <c r="BU228" s="53"/>
      <c r="BV228" s="53"/>
      <c r="BW228" s="53"/>
      <c r="BX228" s="45"/>
      <c r="BY228" s="45"/>
      <c r="BZ228" s="53"/>
      <c r="CA228" s="53"/>
      <c r="CB228" s="53"/>
      <c r="CC228" s="53"/>
      <c r="CD228" s="53"/>
      <c r="CE228" s="53"/>
      <c r="CF228" s="35"/>
      <c r="CH228" s="35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4"/>
    </row>
    <row r="229" spans="1:97" s="55" customFormat="1" ht="12.75" customHeight="1">
      <c r="A229" s="35" t="s">
        <v>111</v>
      </c>
      <c r="B229" s="51"/>
      <c r="C229" s="44" t="s">
        <v>80</v>
      </c>
      <c r="D229" s="44"/>
      <c r="E229" s="53">
        <v>3782047</v>
      </c>
      <c r="F229" s="53"/>
      <c r="G229" s="53">
        <v>16766705</v>
      </c>
      <c r="H229" s="53"/>
      <c r="I229" s="53">
        <f>+G229+E229</f>
        <v>20548752</v>
      </c>
      <c r="J229" s="53"/>
      <c r="K229" s="53">
        <f t="shared" si="60"/>
        <v>2421723</v>
      </c>
      <c r="L229" s="53"/>
      <c r="M229" s="53">
        <v>13912421</v>
      </c>
      <c r="N229" s="53"/>
      <c r="O229" s="53">
        <v>16334144</v>
      </c>
      <c r="P229" s="53"/>
      <c r="Q229" s="53">
        <v>1582148</v>
      </c>
      <c r="R229" s="53"/>
      <c r="S229" s="53">
        <v>0</v>
      </c>
      <c r="T229" s="53"/>
      <c r="U229" s="53">
        <v>2632460</v>
      </c>
      <c r="V229" s="53"/>
      <c r="W229" s="53">
        <f t="shared" si="61"/>
        <v>4214608</v>
      </c>
      <c r="X229" s="53"/>
      <c r="Y229" s="35" t="s">
        <v>111</v>
      </c>
      <c r="AA229" s="44" t="s">
        <v>80</v>
      </c>
      <c r="AB229" s="44"/>
      <c r="AC229" s="53">
        <v>8407506</v>
      </c>
      <c r="AD229" s="53"/>
      <c r="AE229" s="53">
        <f>6767975-717489</f>
        <v>6050486</v>
      </c>
      <c r="AF229" s="53"/>
      <c r="AG229" s="53">
        <v>717489</v>
      </c>
      <c r="AH229" s="53"/>
      <c r="AI229" s="45">
        <f t="shared" si="56"/>
        <v>1639531</v>
      </c>
      <c r="AJ229" s="45"/>
      <c r="AK229" s="53">
        <v>-588247</v>
      </c>
      <c r="AL229" s="45"/>
      <c r="AM229" s="53">
        <v>0</v>
      </c>
      <c r="AN229" s="53"/>
      <c r="AO229" s="53">
        <v>9353</v>
      </c>
      <c r="AP229" s="53"/>
      <c r="AQ229" s="53">
        <v>0</v>
      </c>
      <c r="AR229" s="53"/>
      <c r="AS229" s="45">
        <f t="shared" si="57"/>
        <v>1041931</v>
      </c>
      <c r="AT229" s="45"/>
      <c r="AU229" s="53">
        <v>0</v>
      </c>
      <c r="AV229" s="53"/>
      <c r="AW229" s="53">
        <v>0</v>
      </c>
      <c r="AX229" s="53"/>
      <c r="AY229" s="53">
        <f t="shared" si="58"/>
        <v>1360324</v>
      </c>
      <c r="AZ229" s="53"/>
      <c r="BA229" s="35" t="s">
        <v>111</v>
      </c>
      <c r="BC229" s="44" t="s">
        <v>80</v>
      </c>
      <c r="BD229" s="53"/>
      <c r="BE229" s="53">
        <v>2681500</v>
      </c>
      <c r="BF229" s="53"/>
      <c r="BG229" s="53">
        <v>0</v>
      </c>
      <c r="BH229" s="53"/>
      <c r="BI229" s="53">
        <v>0</v>
      </c>
      <c r="BJ229" s="53"/>
      <c r="BK229" s="53">
        <v>1604558</v>
      </c>
      <c r="BL229" s="53"/>
      <c r="BM229" s="53">
        <f t="shared" si="59"/>
        <v>4286058</v>
      </c>
      <c r="BN229" s="54" t="s">
        <v>347</v>
      </c>
      <c r="BR229" s="51"/>
      <c r="BS229" s="53"/>
      <c r="BT229" s="53"/>
      <c r="BU229" s="53"/>
      <c r="BV229" s="53"/>
      <c r="BW229" s="53"/>
      <c r="BX229" s="45"/>
      <c r="BY229" s="45"/>
      <c r="BZ229" s="53"/>
      <c r="CA229" s="53"/>
      <c r="CB229" s="53"/>
      <c r="CC229" s="53"/>
      <c r="CD229" s="53"/>
      <c r="CE229" s="53"/>
      <c r="CF229" s="35"/>
      <c r="CH229" s="35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4"/>
    </row>
    <row r="230" spans="1:97" s="143" customFormat="1" ht="12.75" hidden="1" customHeight="1">
      <c r="A230" s="126" t="s">
        <v>265</v>
      </c>
      <c r="B230" s="124"/>
      <c r="C230" s="121" t="s">
        <v>27</v>
      </c>
      <c r="D230" s="121"/>
      <c r="E230" s="140"/>
      <c r="F230" s="140"/>
      <c r="G230" s="140"/>
      <c r="H230" s="140"/>
      <c r="I230" s="140"/>
      <c r="J230" s="140"/>
      <c r="K230" s="140">
        <f t="shared" si="60"/>
        <v>0</v>
      </c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  <c r="W230" s="140">
        <f t="shared" si="61"/>
        <v>0</v>
      </c>
      <c r="X230" s="140"/>
      <c r="Y230" s="126" t="s">
        <v>265</v>
      </c>
      <c r="AA230" s="121" t="s">
        <v>27</v>
      </c>
      <c r="AB230" s="121"/>
      <c r="AC230" s="140"/>
      <c r="AD230" s="140"/>
      <c r="AE230" s="140"/>
      <c r="AF230" s="140"/>
      <c r="AG230" s="140"/>
      <c r="AH230" s="140"/>
      <c r="AI230" s="127">
        <f t="shared" si="56"/>
        <v>0</v>
      </c>
      <c r="AJ230" s="127"/>
      <c r="AK230" s="140"/>
      <c r="AL230" s="127"/>
      <c r="AM230" s="53">
        <v>0</v>
      </c>
      <c r="AN230" s="53"/>
      <c r="AO230" s="53">
        <v>0</v>
      </c>
      <c r="AP230" s="140"/>
      <c r="AQ230" s="140">
        <v>0</v>
      </c>
      <c r="AR230" s="140"/>
      <c r="AS230" s="45">
        <f t="shared" si="57"/>
        <v>0</v>
      </c>
      <c r="AT230" s="127"/>
      <c r="AU230" s="140">
        <v>0</v>
      </c>
      <c r="AV230" s="140"/>
      <c r="AW230" s="140">
        <v>0</v>
      </c>
      <c r="AX230" s="140"/>
      <c r="AY230" s="140">
        <f t="shared" si="58"/>
        <v>0</v>
      </c>
      <c r="AZ230" s="140"/>
      <c r="BA230" s="126" t="s">
        <v>265</v>
      </c>
      <c r="BC230" s="121" t="s">
        <v>27</v>
      </c>
      <c r="BD230" s="140"/>
      <c r="BE230" s="140"/>
      <c r="BF230" s="140"/>
      <c r="BG230" s="140"/>
      <c r="BH230" s="140"/>
      <c r="BI230" s="140"/>
      <c r="BJ230" s="140"/>
      <c r="BK230" s="140"/>
      <c r="BL230" s="140"/>
      <c r="BM230" s="140">
        <f t="shared" si="59"/>
        <v>0</v>
      </c>
      <c r="BN230" s="142" t="s">
        <v>347</v>
      </c>
      <c r="BR230" s="124"/>
      <c r="BS230" s="140"/>
      <c r="BT230" s="140"/>
      <c r="BU230" s="140"/>
      <c r="BV230" s="140"/>
      <c r="BW230" s="140"/>
      <c r="BX230" s="127"/>
      <c r="BY230" s="127"/>
      <c r="BZ230" s="140"/>
      <c r="CA230" s="140"/>
      <c r="CB230" s="140"/>
      <c r="CC230" s="140"/>
      <c r="CD230" s="140"/>
      <c r="CE230" s="140"/>
      <c r="CF230" s="126"/>
      <c r="CH230" s="126"/>
      <c r="CI230" s="140"/>
      <c r="CJ230" s="140"/>
      <c r="CK230" s="140"/>
      <c r="CL230" s="140"/>
      <c r="CM230" s="140"/>
      <c r="CN230" s="140"/>
      <c r="CO230" s="140"/>
      <c r="CP230" s="140"/>
      <c r="CQ230" s="140"/>
      <c r="CR230" s="140"/>
      <c r="CS230" s="142"/>
    </row>
    <row r="231" spans="1:97" s="55" customFormat="1" ht="12.75" customHeight="1">
      <c r="A231" s="35" t="s">
        <v>40</v>
      </c>
      <c r="B231" s="51"/>
      <c r="C231" s="47" t="s">
        <v>451</v>
      </c>
      <c r="D231" s="44"/>
      <c r="E231" s="53">
        <v>638341</v>
      </c>
      <c r="F231" s="53"/>
      <c r="G231" s="53">
        <v>21100492</v>
      </c>
      <c r="H231" s="53"/>
      <c r="I231" s="53">
        <v>21738833</v>
      </c>
      <c r="J231" s="53"/>
      <c r="K231" s="53">
        <f t="shared" si="60"/>
        <v>540999</v>
      </c>
      <c r="L231" s="53"/>
      <c r="M231" s="53">
        <v>4856494</v>
      </c>
      <c r="N231" s="53"/>
      <c r="O231" s="53">
        <v>5397493</v>
      </c>
      <c r="P231" s="53"/>
      <c r="Q231" s="53">
        <v>15940766</v>
      </c>
      <c r="R231" s="53"/>
      <c r="S231" s="53">
        <v>0</v>
      </c>
      <c r="T231" s="53"/>
      <c r="U231" s="53">
        <v>400574</v>
      </c>
      <c r="V231" s="53"/>
      <c r="W231" s="53">
        <f t="shared" si="61"/>
        <v>16341340</v>
      </c>
      <c r="X231" s="53"/>
      <c r="Y231" s="35" t="s">
        <v>40</v>
      </c>
      <c r="AA231" s="47" t="s">
        <v>451</v>
      </c>
      <c r="AB231" s="35"/>
      <c r="AC231" s="53">
        <v>2693396</v>
      </c>
      <c r="AD231" s="53"/>
      <c r="AE231" s="53">
        <f>3030650-539618</f>
        <v>2491032</v>
      </c>
      <c r="AF231" s="53"/>
      <c r="AG231" s="53">
        <v>539618</v>
      </c>
      <c r="AH231" s="53"/>
      <c r="AI231" s="45">
        <f t="shared" si="56"/>
        <v>-337254</v>
      </c>
      <c r="AJ231" s="45"/>
      <c r="AK231" s="53">
        <v>-34751</v>
      </c>
      <c r="AL231" s="45"/>
      <c r="AM231" s="53">
        <v>50057</v>
      </c>
      <c r="AN231" s="53"/>
      <c r="AO231" s="53">
        <v>0</v>
      </c>
      <c r="AP231" s="53"/>
      <c r="AQ231" s="53">
        <v>0</v>
      </c>
      <c r="AR231" s="53"/>
      <c r="AS231" s="45">
        <f t="shared" si="57"/>
        <v>-321948</v>
      </c>
      <c r="AT231" s="45"/>
      <c r="AU231" s="53">
        <v>0</v>
      </c>
      <c r="AV231" s="53"/>
      <c r="AW231" s="53">
        <v>0</v>
      </c>
      <c r="AX231" s="53"/>
      <c r="AY231" s="53">
        <f t="shared" si="58"/>
        <v>97342</v>
      </c>
      <c r="AZ231" s="53"/>
      <c r="BA231" s="35" t="s">
        <v>40</v>
      </c>
      <c r="BC231" s="47" t="s">
        <v>451</v>
      </c>
      <c r="BD231" s="53"/>
      <c r="BE231" s="53">
        <v>0</v>
      </c>
      <c r="BF231" s="53"/>
      <c r="BG231" s="53">
        <v>192088</v>
      </c>
      <c r="BH231" s="53"/>
      <c r="BI231" s="53">
        <v>0</v>
      </c>
      <c r="BJ231" s="53"/>
      <c r="BK231" s="53">
        <f>43649+49942</f>
        <v>93591</v>
      </c>
      <c r="BL231" s="53"/>
      <c r="BM231" s="53">
        <f t="shared" si="59"/>
        <v>285679</v>
      </c>
      <c r="BN231" s="54" t="s">
        <v>347</v>
      </c>
      <c r="BR231" s="51"/>
      <c r="BS231" s="53"/>
      <c r="BT231" s="53"/>
      <c r="BU231" s="53"/>
      <c r="BV231" s="53"/>
      <c r="BW231" s="53"/>
      <c r="BX231" s="45"/>
      <c r="BY231" s="45"/>
      <c r="BZ231" s="53"/>
      <c r="CA231" s="53"/>
      <c r="CB231" s="53"/>
      <c r="CC231" s="53"/>
      <c r="CD231" s="53"/>
      <c r="CE231" s="53"/>
      <c r="CF231" s="35"/>
      <c r="CH231" s="44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4"/>
    </row>
    <row r="232" spans="1:97" s="55" customFormat="1" ht="12.75" customHeight="1">
      <c r="A232" s="35" t="s">
        <v>266</v>
      </c>
      <c r="B232" s="51"/>
      <c r="C232" s="35" t="s">
        <v>267</v>
      </c>
      <c r="D232" s="44"/>
      <c r="E232" s="53">
        <v>2586041</v>
      </c>
      <c r="F232" s="53"/>
      <c r="G232" s="53">
        <v>4555765</v>
      </c>
      <c r="H232" s="53"/>
      <c r="I232" s="53">
        <v>7141806</v>
      </c>
      <c r="J232" s="53"/>
      <c r="K232" s="53">
        <f t="shared" si="60"/>
        <v>43598</v>
      </c>
      <c r="L232" s="53"/>
      <c r="M232" s="53">
        <v>10210</v>
      </c>
      <c r="N232" s="53"/>
      <c r="O232" s="53">
        <v>53808</v>
      </c>
      <c r="P232" s="53"/>
      <c r="Q232" s="53">
        <v>4555765</v>
      </c>
      <c r="R232" s="53"/>
      <c r="S232" s="53">
        <v>0</v>
      </c>
      <c r="T232" s="53"/>
      <c r="U232" s="53">
        <v>2532233</v>
      </c>
      <c r="V232" s="53"/>
      <c r="W232" s="53">
        <f t="shared" si="61"/>
        <v>7087998</v>
      </c>
      <c r="X232" s="53"/>
      <c r="Y232" s="35" t="s">
        <v>266</v>
      </c>
      <c r="AA232" s="35" t="s">
        <v>267</v>
      </c>
      <c r="AB232" s="35"/>
      <c r="AC232" s="53">
        <v>785855</v>
      </c>
      <c r="AD232" s="53"/>
      <c r="AE232" s="53">
        <f>943756-230615</f>
        <v>713141</v>
      </c>
      <c r="AF232" s="53"/>
      <c r="AG232" s="53">
        <v>230615</v>
      </c>
      <c r="AH232" s="53"/>
      <c r="AI232" s="45">
        <f t="shared" si="56"/>
        <v>-157901</v>
      </c>
      <c r="AJ232" s="45"/>
      <c r="AK232" s="53">
        <v>26094</v>
      </c>
      <c r="AL232" s="45"/>
      <c r="AM232" s="53">
        <v>0</v>
      </c>
      <c r="AN232" s="53"/>
      <c r="AO232" s="53">
        <v>0</v>
      </c>
      <c r="AP232" s="53"/>
      <c r="AQ232" s="53">
        <v>239460</v>
      </c>
      <c r="AR232" s="53"/>
      <c r="AS232" s="45">
        <f t="shared" si="57"/>
        <v>107653</v>
      </c>
      <c r="AT232" s="45"/>
      <c r="AU232" s="53">
        <v>0</v>
      </c>
      <c r="AV232" s="53"/>
      <c r="AW232" s="53">
        <v>0</v>
      </c>
      <c r="AX232" s="53"/>
      <c r="AY232" s="53">
        <f t="shared" si="58"/>
        <v>2542443</v>
      </c>
      <c r="AZ232" s="53"/>
      <c r="BA232" s="35" t="s">
        <v>266</v>
      </c>
      <c r="BC232" s="35" t="s">
        <v>267</v>
      </c>
      <c r="BD232" s="53"/>
      <c r="BE232" s="53">
        <v>0</v>
      </c>
      <c r="BF232" s="53"/>
      <c r="BG232" s="53">
        <v>0</v>
      </c>
      <c r="BH232" s="53"/>
      <c r="BI232" s="53">
        <v>0</v>
      </c>
      <c r="BJ232" s="53"/>
      <c r="BK232" s="53">
        <v>0</v>
      </c>
      <c r="BL232" s="53"/>
      <c r="BM232" s="53">
        <f t="shared" si="59"/>
        <v>0</v>
      </c>
      <c r="BN232" s="54" t="s">
        <v>347</v>
      </c>
      <c r="BO232" s="55" t="s">
        <v>404</v>
      </c>
      <c r="BR232" s="51"/>
      <c r="BS232" s="53"/>
      <c r="BT232" s="53"/>
      <c r="BU232" s="53"/>
      <c r="BV232" s="53"/>
      <c r="BW232" s="53"/>
      <c r="BX232" s="45"/>
      <c r="BY232" s="45"/>
      <c r="BZ232" s="53"/>
      <c r="CA232" s="53"/>
      <c r="CB232" s="53"/>
      <c r="CC232" s="53"/>
      <c r="CD232" s="53"/>
      <c r="CE232" s="53"/>
      <c r="CF232" s="35"/>
      <c r="CH232" s="35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4"/>
    </row>
    <row r="233" spans="1:97" s="55" customFormat="1" ht="12.75" customHeight="1">
      <c r="A233" s="35" t="s">
        <v>268</v>
      </c>
      <c r="B233" s="51"/>
      <c r="C233" s="35" t="s">
        <v>269</v>
      </c>
      <c r="D233" s="44"/>
      <c r="E233" s="53">
        <v>171213</v>
      </c>
      <c r="F233" s="53"/>
      <c r="G233" s="53">
        <v>4509981</v>
      </c>
      <c r="H233" s="53"/>
      <c r="I233" s="53">
        <v>4681194</v>
      </c>
      <c r="J233" s="53"/>
      <c r="K233" s="53">
        <f t="shared" si="60"/>
        <v>-144569</v>
      </c>
      <c r="L233" s="53"/>
      <c r="M233" s="53">
        <v>3580722</v>
      </c>
      <c r="N233" s="53"/>
      <c r="O233" s="53">
        <v>3436153</v>
      </c>
      <c r="P233" s="53"/>
      <c r="Q233" s="53">
        <v>1115564</v>
      </c>
      <c r="R233" s="53"/>
      <c r="S233" s="53">
        <v>0</v>
      </c>
      <c r="T233" s="53"/>
      <c r="U233" s="53">
        <v>129477</v>
      </c>
      <c r="V233" s="53"/>
      <c r="W233" s="53">
        <f t="shared" si="61"/>
        <v>1245041</v>
      </c>
      <c r="X233" s="53"/>
      <c r="Y233" s="35" t="s">
        <v>268</v>
      </c>
      <c r="AA233" s="35" t="s">
        <v>269</v>
      </c>
      <c r="AB233" s="35"/>
      <c r="AC233" s="53">
        <v>782810</v>
      </c>
      <c r="AD233" s="53"/>
      <c r="AE233" s="53">
        <f>719251-127562</f>
        <v>591689</v>
      </c>
      <c r="AF233" s="53"/>
      <c r="AG233" s="53">
        <v>127562</v>
      </c>
      <c r="AH233" s="53"/>
      <c r="AI233" s="45">
        <f t="shared" si="56"/>
        <v>63559</v>
      </c>
      <c r="AJ233" s="45"/>
      <c r="AK233" s="53">
        <v>-91783</v>
      </c>
      <c r="AL233" s="45"/>
      <c r="AM233" s="53">
        <v>0</v>
      </c>
      <c r="AN233" s="53"/>
      <c r="AO233" s="53">
        <v>0</v>
      </c>
      <c r="AP233" s="53"/>
      <c r="AQ233" s="53">
        <v>0</v>
      </c>
      <c r="AR233" s="53"/>
      <c r="AS233" s="45">
        <f t="shared" si="57"/>
        <v>-28224</v>
      </c>
      <c r="AT233" s="45"/>
      <c r="AU233" s="53">
        <v>0</v>
      </c>
      <c r="AV233" s="53"/>
      <c r="AW233" s="53">
        <v>0</v>
      </c>
      <c r="AX233" s="53"/>
      <c r="AY233" s="53">
        <f t="shared" si="58"/>
        <v>315782</v>
      </c>
      <c r="AZ233" s="53"/>
      <c r="BA233" s="35" t="s">
        <v>268</v>
      </c>
      <c r="BC233" s="35" t="s">
        <v>269</v>
      </c>
      <c r="BD233" s="53"/>
      <c r="BE233" s="53">
        <f>3170928+101402+105725+16362</f>
        <v>3394417</v>
      </c>
      <c r="BF233" s="53"/>
      <c r="BG233" s="53">
        <v>0</v>
      </c>
      <c r="BH233" s="53"/>
      <c r="BI233" s="53">
        <v>0</v>
      </c>
      <c r="BJ233" s="53"/>
      <c r="BK233" s="53">
        <v>0</v>
      </c>
      <c r="BL233" s="53"/>
      <c r="BM233" s="53">
        <f t="shared" si="59"/>
        <v>3394417</v>
      </c>
      <c r="BN233" s="54" t="s">
        <v>347</v>
      </c>
      <c r="BR233" s="51"/>
      <c r="BS233" s="53"/>
      <c r="BT233" s="53"/>
      <c r="BU233" s="53"/>
      <c r="BV233" s="53"/>
      <c r="BW233" s="53"/>
      <c r="BX233" s="45"/>
      <c r="BY233" s="45"/>
      <c r="BZ233" s="53"/>
      <c r="CA233" s="53"/>
      <c r="CB233" s="53"/>
      <c r="CC233" s="53"/>
      <c r="CD233" s="53"/>
      <c r="CE233" s="53"/>
      <c r="CF233" s="35"/>
      <c r="CH233" s="35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4"/>
    </row>
    <row r="234" spans="1:97" s="55" customFormat="1" ht="12.75" hidden="1" customHeight="1">
      <c r="A234" s="35" t="s">
        <v>270</v>
      </c>
      <c r="B234" s="51"/>
      <c r="C234" s="35" t="s">
        <v>136</v>
      </c>
      <c r="D234" s="44"/>
      <c r="E234" s="53"/>
      <c r="F234" s="53"/>
      <c r="G234" s="53"/>
      <c r="H234" s="53"/>
      <c r="I234" s="53"/>
      <c r="J234" s="53"/>
      <c r="K234" s="53">
        <f>O234-M234</f>
        <v>0</v>
      </c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>
        <f>SUM(Q234:U234)</f>
        <v>0</v>
      </c>
      <c r="X234" s="53"/>
      <c r="Y234" s="35" t="s">
        <v>270</v>
      </c>
      <c r="AA234" s="35" t="s">
        <v>136</v>
      </c>
      <c r="AB234" s="35"/>
      <c r="AC234" s="53"/>
      <c r="AD234" s="53"/>
      <c r="AE234" s="53"/>
      <c r="AF234" s="53"/>
      <c r="AG234" s="53"/>
      <c r="AH234" s="53"/>
      <c r="AI234" s="45">
        <f>+AC234-AE234-AG234</f>
        <v>0</v>
      </c>
      <c r="AJ234" s="45"/>
      <c r="AK234" s="53"/>
      <c r="AL234" s="45"/>
      <c r="AM234" s="53">
        <v>0</v>
      </c>
      <c r="AN234" s="53"/>
      <c r="AO234" s="53">
        <v>0</v>
      </c>
      <c r="AP234" s="53"/>
      <c r="AQ234" s="53">
        <v>0</v>
      </c>
      <c r="AR234" s="53"/>
      <c r="AS234" s="45">
        <f t="shared" si="57"/>
        <v>0</v>
      </c>
      <c r="AT234" s="45"/>
      <c r="AU234" s="53">
        <v>0</v>
      </c>
      <c r="AV234" s="53"/>
      <c r="AW234" s="53">
        <v>0</v>
      </c>
      <c r="AX234" s="53"/>
      <c r="AY234" s="53">
        <f>+E234-K234</f>
        <v>0</v>
      </c>
      <c r="AZ234" s="53"/>
      <c r="BA234" s="35" t="s">
        <v>270</v>
      </c>
      <c r="BC234" s="35" t="s">
        <v>136</v>
      </c>
      <c r="BD234" s="53"/>
      <c r="BE234" s="53"/>
      <c r="BF234" s="53"/>
      <c r="BG234" s="53"/>
      <c r="BH234" s="53"/>
      <c r="BI234" s="53"/>
      <c r="BJ234" s="53"/>
      <c r="BK234" s="53"/>
      <c r="BL234" s="53"/>
      <c r="BM234" s="53">
        <f>SUM(BE234:BK234)</f>
        <v>0</v>
      </c>
      <c r="BN234" s="54" t="s">
        <v>347</v>
      </c>
      <c r="BR234" s="51"/>
      <c r="BS234" s="53"/>
      <c r="BT234" s="53"/>
      <c r="BU234" s="53"/>
      <c r="BV234" s="53"/>
      <c r="BW234" s="53"/>
      <c r="BX234" s="45"/>
      <c r="BY234" s="45"/>
      <c r="BZ234" s="53"/>
      <c r="CA234" s="53"/>
      <c r="CB234" s="53"/>
      <c r="CC234" s="53"/>
      <c r="CD234" s="53"/>
      <c r="CE234" s="53"/>
      <c r="CF234" s="35"/>
      <c r="CH234" s="35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4"/>
    </row>
    <row r="235" spans="1:97" s="55" customFormat="1" ht="12.75" customHeight="1">
      <c r="A235" s="35" t="s">
        <v>271</v>
      </c>
      <c r="B235" s="51"/>
      <c r="C235" s="35" t="s">
        <v>66</v>
      </c>
      <c r="D235" s="44"/>
      <c r="E235" s="53">
        <v>1057932</v>
      </c>
      <c r="F235" s="53"/>
      <c r="G235" s="53">
        <f>24000+368448</f>
        <v>392448</v>
      </c>
      <c r="H235" s="53"/>
      <c r="I235" s="53">
        <v>458580</v>
      </c>
      <c r="J235" s="53"/>
      <c r="K235" s="53">
        <f t="shared" si="60"/>
        <v>325415</v>
      </c>
      <c r="L235" s="53"/>
      <c r="M235" s="53">
        <f>28604+3596714</f>
        <v>3625318</v>
      </c>
      <c r="N235" s="53"/>
      <c r="O235" s="53">
        <v>3950733</v>
      </c>
      <c r="P235" s="53"/>
      <c r="Q235" s="53">
        <v>1299027</v>
      </c>
      <c r="R235" s="53"/>
      <c r="S235" s="53">
        <v>0</v>
      </c>
      <c r="T235" s="53"/>
      <c r="U235" s="53">
        <v>509159</v>
      </c>
      <c r="V235" s="53"/>
      <c r="W235" s="53">
        <f t="shared" si="61"/>
        <v>1808186</v>
      </c>
      <c r="X235" s="53"/>
      <c r="Y235" s="35" t="s">
        <v>271</v>
      </c>
      <c r="AA235" s="35" t="s">
        <v>66</v>
      </c>
      <c r="AB235" s="35"/>
      <c r="AC235" s="53">
        <v>1081852</v>
      </c>
      <c r="AD235" s="53"/>
      <c r="AE235" s="53">
        <f>1299157-79615</f>
        <v>1219542</v>
      </c>
      <c r="AF235" s="53"/>
      <c r="AG235" s="53">
        <v>79615</v>
      </c>
      <c r="AH235" s="53"/>
      <c r="AI235" s="45">
        <f t="shared" si="56"/>
        <v>-217305</v>
      </c>
      <c r="AJ235" s="45"/>
      <c r="AK235" s="53">
        <v>23313</v>
      </c>
      <c r="AL235" s="45"/>
      <c r="AM235" s="53">
        <v>0</v>
      </c>
      <c r="AN235" s="53"/>
      <c r="AO235" s="53">
        <v>0</v>
      </c>
      <c r="AP235" s="53"/>
      <c r="AQ235" s="53">
        <v>0</v>
      </c>
      <c r="AR235" s="53"/>
      <c r="AS235" s="45">
        <f t="shared" si="57"/>
        <v>-193992</v>
      </c>
      <c r="AT235" s="45"/>
      <c r="AU235" s="53">
        <v>0</v>
      </c>
      <c r="AV235" s="53"/>
      <c r="AW235" s="53">
        <v>0</v>
      </c>
      <c r="AX235" s="53"/>
      <c r="AY235" s="53">
        <f t="shared" si="58"/>
        <v>732517</v>
      </c>
      <c r="AZ235" s="53"/>
      <c r="BA235" s="35" t="s">
        <v>271</v>
      </c>
      <c r="BC235" s="35" t="s">
        <v>66</v>
      </c>
      <c r="BD235" s="53"/>
      <c r="BE235" s="53">
        <v>0</v>
      </c>
      <c r="BF235" s="53"/>
      <c r="BG235" s="53">
        <v>0</v>
      </c>
      <c r="BH235" s="53"/>
      <c r="BI235" s="53">
        <v>0</v>
      </c>
      <c r="BJ235" s="53"/>
      <c r="BK235" s="53">
        <v>0</v>
      </c>
      <c r="BL235" s="53"/>
      <c r="BM235" s="53">
        <f t="shared" si="59"/>
        <v>0</v>
      </c>
      <c r="BN235" s="54" t="s">
        <v>347</v>
      </c>
      <c r="BO235" s="55" t="s">
        <v>405</v>
      </c>
      <c r="BR235" s="51"/>
      <c r="BS235" s="53"/>
      <c r="BT235" s="53"/>
      <c r="BU235" s="53"/>
      <c r="BV235" s="53"/>
      <c r="BW235" s="53"/>
      <c r="BX235" s="45"/>
      <c r="BY235" s="45"/>
      <c r="BZ235" s="53"/>
      <c r="CA235" s="53"/>
      <c r="CB235" s="53"/>
      <c r="CC235" s="53"/>
      <c r="CD235" s="53"/>
      <c r="CE235" s="53"/>
      <c r="CF235" s="35"/>
      <c r="CH235" s="35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4"/>
    </row>
    <row r="236" spans="1:97" s="55" customFormat="1" ht="12.75" customHeight="1">
      <c r="A236" s="64" t="s">
        <v>272</v>
      </c>
      <c r="B236" s="90"/>
      <c r="C236" s="64" t="s">
        <v>43</v>
      </c>
      <c r="D236" s="46"/>
      <c r="E236" s="53">
        <v>5957239</v>
      </c>
      <c r="F236" s="53"/>
      <c r="G236" s="53">
        <v>15103071</v>
      </c>
      <c r="H236" s="53"/>
      <c r="I236" s="53">
        <v>21060310</v>
      </c>
      <c r="J236" s="53"/>
      <c r="K236" s="53">
        <f t="shared" si="60"/>
        <v>286121</v>
      </c>
      <c r="L236" s="53"/>
      <c r="M236" s="53">
        <v>14569</v>
      </c>
      <c r="N236" s="53"/>
      <c r="O236" s="53">
        <v>300690</v>
      </c>
      <c r="P236" s="53"/>
      <c r="Q236" s="53">
        <v>14822741</v>
      </c>
      <c r="R236" s="53"/>
      <c r="S236" s="53">
        <v>0</v>
      </c>
      <c r="T236" s="53"/>
      <c r="U236" s="53">
        <v>3236879</v>
      </c>
      <c r="V236" s="53"/>
      <c r="W236" s="53">
        <f t="shared" si="61"/>
        <v>18059620</v>
      </c>
      <c r="X236" s="79"/>
      <c r="Y236" s="64" t="s">
        <v>272</v>
      </c>
      <c r="Z236" s="90"/>
      <c r="AA236" s="64" t="s">
        <v>43</v>
      </c>
      <c r="AB236" s="64"/>
      <c r="AC236" s="53">
        <v>6952072</v>
      </c>
      <c r="AD236" s="53"/>
      <c r="AE236" s="53">
        <f>7142818-444358</f>
        <v>6698460</v>
      </c>
      <c r="AF236" s="53"/>
      <c r="AG236" s="53">
        <v>444358</v>
      </c>
      <c r="AH236" s="53"/>
      <c r="AI236" s="45">
        <f t="shared" si="56"/>
        <v>-190746</v>
      </c>
      <c r="AJ236" s="45"/>
      <c r="AK236" s="53">
        <v>139750</v>
      </c>
      <c r="AL236" s="45"/>
      <c r="AM236" s="53">
        <v>4211</v>
      </c>
      <c r="AN236" s="53"/>
      <c r="AO236" s="53">
        <v>0</v>
      </c>
      <c r="AP236" s="53"/>
      <c r="AQ236" s="53">
        <v>3220</v>
      </c>
      <c r="AR236" s="53"/>
      <c r="AS236" s="45">
        <f t="shared" si="57"/>
        <v>-43565</v>
      </c>
      <c r="AT236" s="45"/>
      <c r="AU236" s="53">
        <v>0</v>
      </c>
      <c r="AV236" s="53"/>
      <c r="AW236" s="53">
        <v>0</v>
      </c>
      <c r="AX236" s="53"/>
      <c r="AY236" s="53">
        <f t="shared" si="58"/>
        <v>5671118</v>
      </c>
      <c r="AZ236" s="79"/>
      <c r="BA236" s="64" t="s">
        <v>272</v>
      </c>
      <c r="BB236" s="90"/>
      <c r="BC236" s="64" t="s">
        <v>43</v>
      </c>
      <c r="BD236" s="79"/>
      <c r="BE236" s="53">
        <f>30053+837000+28629</f>
        <v>895682</v>
      </c>
      <c r="BF236" s="53"/>
      <c r="BG236" s="53">
        <v>0</v>
      </c>
      <c r="BH236" s="53"/>
      <c r="BI236" s="53">
        <v>1724213</v>
      </c>
      <c r="BJ236" s="53"/>
      <c r="BK236" s="53">
        <v>0</v>
      </c>
      <c r="BL236" s="53"/>
      <c r="BM236" s="53">
        <f t="shared" si="59"/>
        <v>2619895</v>
      </c>
      <c r="BN236" s="54" t="s">
        <v>347</v>
      </c>
      <c r="BR236" s="51"/>
      <c r="BS236" s="53"/>
      <c r="BT236" s="53"/>
      <c r="BU236" s="53"/>
      <c r="BV236" s="53"/>
      <c r="BW236" s="53"/>
      <c r="BX236" s="45"/>
      <c r="BY236" s="45"/>
      <c r="BZ236" s="53"/>
      <c r="CA236" s="53"/>
      <c r="CB236" s="53"/>
      <c r="CC236" s="53"/>
      <c r="CD236" s="53"/>
      <c r="CE236" s="53"/>
      <c r="CF236" s="35"/>
      <c r="CH236" s="35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4"/>
    </row>
    <row r="237" spans="1:97" s="55" customFormat="1" ht="12.75" customHeight="1">
      <c r="A237" s="35" t="s">
        <v>273</v>
      </c>
      <c r="B237" s="51"/>
      <c r="C237" s="35" t="s">
        <v>27</v>
      </c>
      <c r="D237" s="44"/>
      <c r="E237" s="53">
        <v>10230663</v>
      </c>
      <c r="F237" s="53"/>
      <c r="G237" s="53">
        <v>39081557</v>
      </c>
      <c r="H237" s="53"/>
      <c r="I237" s="53">
        <v>49312220</v>
      </c>
      <c r="J237" s="53"/>
      <c r="K237" s="53">
        <f t="shared" si="60"/>
        <v>298826</v>
      </c>
      <c r="L237" s="53"/>
      <c r="M237" s="53">
        <v>0</v>
      </c>
      <c r="N237" s="53"/>
      <c r="O237" s="53">
        <v>298826</v>
      </c>
      <c r="P237" s="53"/>
      <c r="Q237" s="53">
        <v>29461992</v>
      </c>
      <c r="R237" s="53"/>
      <c r="S237" s="53">
        <v>0</v>
      </c>
      <c r="T237" s="53"/>
      <c r="U237" s="53">
        <v>19551402</v>
      </c>
      <c r="V237" s="53"/>
      <c r="W237" s="53">
        <f t="shared" si="61"/>
        <v>49013394</v>
      </c>
      <c r="X237" s="53"/>
      <c r="Y237" s="35" t="s">
        <v>273</v>
      </c>
      <c r="AA237" s="35" t="s">
        <v>27</v>
      </c>
      <c r="AB237" s="35"/>
      <c r="AC237" s="53">
        <v>2038961</v>
      </c>
      <c r="AD237" s="53"/>
      <c r="AE237" s="53">
        <f>3216622-1095517</f>
        <v>2121105</v>
      </c>
      <c r="AF237" s="53"/>
      <c r="AG237" s="53">
        <v>1095517</v>
      </c>
      <c r="AH237" s="53"/>
      <c r="AI237" s="45">
        <f t="shared" si="56"/>
        <v>-1177661</v>
      </c>
      <c r="AJ237" s="45"/>
      <c r="AK237" s="53">
        <v>584570</v>
      </c>
      <c r="AL237" s="45"/>
      <c r="AM237" s="53">
        <v>0</v>
      </c>
      <c r="AN237" s="53"/>
      <c r="AO237" s="53">
        <v>0</v>
      </c>
      <c r="AP237" s="53"/>
      <c r="AQ237" s="53">
        <v>0</v>
      </c>
      <c r="AR237" s="53"/>
      <c r="AS237" s="45">
        <f t="shared" si="57"/>
        <v>-593091</v>
      </c>
      <c r="AT237" s="45"/>
      <c r="AU237" s="53">
        <v>0</v>
      </c>
      <c r="AV237" s="53"/>
      <c r="AW237" s="53">
        <v>0</v>
      </c>
      <c r="AX237" s="53"/>
      <c r="AY237" s="53">
        <f t="shared" si="58"/>
        <v>9931837</v>
      </c>
      <c r="AZ237" s="53"/>
      <c r="BA237" s="35" t="s">
        <v>273</v>
      </c>
      <c r="BC237" s="35" t="s">
        <v>27</v>
      </c>
      <c r="BD237" s="53"/>
      <c r="BE237" s="53">
        <v>0</v>
      </c>
      <c r="BF237" s="53"/>
      <c r="BG237" s="53">
        <v>0</v>
      </c>
      <c r="BH237" s="53"/>
      <c r="BI237" s="53">
        <v>0</v>
      </c>
      <c r="BJ237" s="53"/>
      <c r="BK237" s="53">
        <v>0</v>
      </c>
      <c r="BL237" s="53"/>
      <c r="BM237" s="53">
        <f t="shared" si="59"/>
        <v>0</v>
      </c>
      <c r="BN237" s="54" t="s">
        <v>347</v>
      </c>
      <c r="BR237" s="51"/>
      <c r="BS237" s="53"/>
      <c r="BT237" s="53"/>
      <c r="BU237" s="53"/>
      <c r="BV237" s="53"/>
      <c r="BW237" s="53"/>
      <c r="BX237" s="45"/>
      <c r="BY237" s="45"/>
      <c r="BZ237" s="53"/>
      <c r="CA237" s="53"/>
      <c r="CB237" s="53"/>
      <c r="CC237" s="53"/>
      <c r="CD237" s="53"/>
      <c r="CE237" s="53"/>
      <c r="CF237" s="35"/>
      <c r="CH237" s="35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4"/>
    </row>
    <row r="238" spans="1:97" s="55" customFormat="1" ht="12.75" customHeight="1">
      <c r="A238" s="35" t="s">
        <v>275</v>
      </c>
      <c r="B238" s="51"/>
      <c r="C238" s="35" t="s">
        <v>92</v>
      </c>
      <c r="D238" s="44"/>
      <c r="E238" s="53">
        <v>844787</v>
      </c>
      <c r="F238" s="53"/>
      <c r="G238" s="53">
        <v>4200820</v>
      </c>
      <c r="H238" s="53"/>
      <c r="I238" s="53">
        <v>5045607</v>
      </c>
      <c r="J238" s="53"/>
      <c r="K238" s="53">
        <f t="shared" si="60"/>
        <v>9906</v>
      </c>
      <c r="L238" s="53"/>
      <c r="M238" s="53">
        <v>0</v>
      </c>
      <c r="N238" s="53"/>
      <c r="O238" s="53">
        <v>9906</v>
      </c>
      <c r="P238" s="53"/>
      <c r="Q238" s="53">
        <v>4200820</v>
      </c>
      <c r="R238" s="53"/>
      <c r="S238" s="53">
        <v>0</v>
      </c>
      <c r="T238" s="53"/>
      <c r="U238" s="53">
        <v>834881</v>
      </c>
      <c r="V238" s="53"/>
      <c r="W238" s="53">
        <f t="shared" si="61"/>
        <v>5035701</v>
      </c>
      <c r="X238" s="53"/>
      <c r="Y238" s="35" t="s">
        <v>275</v>
      </c>
      <c r="AA238" s="35" t="s">
        <v>92</v>
      </c>
      <c r="AB238" s="35"/>
      <c r="AC238" s="53">
        <v>1672523</v>
      </c>
      <c r="AD238" s="53"/>
      <c r="AE238" s="53">
        <f>1600797-170529</f>
        <v>1430268</v>
      </c>
      <c r="AF238" s="53"/>
      <c r="AG238" s="53">
        <v>170529</v>
      </c>
      <c r="AH238" s="53"/>
      <c r="AI238" s="45">
        <f t="shared" si="56"/>
        <v>71726</v>
      </c>
      <c r="AJ238" s="45"/>
      <c r="AK238" s="53">
        <v>0</v>
      </c>
      <c r="AL238" s="45"/>
      <c r="AM238" s="53">
        <v>0</v>
      </c>
      <c r="AN238" s="53"/>
      <c r="AO238" s="53">
        <v>0</v>
      </c>
      <c r="AP238" s="53"/>
      <c r="AQ238" s="53">
        <v>0</v>
      </c>
      <c r="AR238" s="53"/>
      <c r="AS238" s="45">
        <f t="shared" si="57"/>
        <v>71726</v>
      </c>
      <c r="AT238" s="45"/>
      <c r="AU238" s="53">
        <v>0</v>
      </c>
      <c r="AV238" s="53"/>
      <c r="AW238" s="53">
        <v>0</v>
      </c>
      <c r="AX238" s="53"/>
      <c r="AY238" s="53">
        <f t="shared" si="58"/>
        <v>834881</v>
      </c>
      <c r="AZ238" s="53"/>
      <c r="BA238" s="35" t="s">
        <v>275</v>
      </c>
      <c r="BC238" s="35" t="s">
        <v>92</v>
      </c>
      <c r="BD238" s="53"/>
      <c r="BE238" s="53">
        <v>0</v>
      </c>
      <c r="BF238" s="53"/>
      <c r="BG238" s="53">
        <v>0</v>
      </c>
      <c r="BH238" s="53"/>
      <c r="BI238" s="53">
        <v>0</v>
      </c>
      <c r="BJ238" s="53"/>
      <c r="BK238" s="53">
        <v>0</v>
      </c>
      <c r="BL238" s="53"/>
      <c r="BM238" s="53">
        <f t="shared" si="59"/>
        <v>0</v>
      </c>
      <c r="BN238" s="54" t="s">
        <v>347</v>
      </c>
      <c r="BO238" s="55" t="s">
        <v>404</v>
      </c>
      <c r="BR238" s="51"/>
      <c r="BS238" s="53"/>
      <c r="BT238" s="53"/>
      <c r="BU238" s="53"/>
      <c r="BV238" s="53"/>
      <c r="BW238" s="53"/>
      <c r="BX238" s="45"/>
      <c r="BY238" s="45"/>
      <c r="BZ238" s="53"/>
      <c r="CA238" s="53"/>
      <c r="CB238" s="53"/>
      <c r="CC238" s="53"/>
      <c r="CD238" s="53"/>
      <c r="CE238" s="53"/>
      <c r="CF238" s="35"/>
      <c r="CH238" s="35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4"/>
    </row>
    <row r="239" spans="1:97" s="55" customFormat="1" ht="12.75" customHeight="1">
      <c r="A239" s="35" t="s">
        <v>276</v>
      </c>
      <c r="B239" s="51"/>
      <c r="C239" s="35" t="s">
        <v>38</v>
      </c>
      <c r="D239" s="44"/>
      <c r="E239" s="53">
        <v>2666447</v>
      </c>
      <c r="F239" s="53"/>
      <c r="G239" s="53">
        <v>10523350</v>
      </c>
      <c r="H239" s="53"/>
      <c r="I239" s="53">
        <v>13189797</v>
      </c>
      <c r="J239" s="53"/>
      <c r="K239" s="53">
        <f t="shared" si="60"/>
        <v>183695</v>
      </c>
      <c r="L239" s="53"/>
      <c r="M239" s="53">
        <v>616872</v>
      </c>
      <c r="N239" s="53"/>
      <c r="O239" s="53">
        <v>800567</v>
      </c>
      <c r="P239" s="53"/>
      <c r="Q239" s="53">
        <v>9950166</v>
      </c>
      <c r="R239" s="53"/>
      <c r="S239" s="53">
        <v>0</v>
      </c>
      <c r="T239" s="53"/>
      <c r="U239" s="53">
        <v>2439064</v>
      </c>
      <c r="V239" s="53"/>
      <c r="W239" s="53">
        <f t="shared" si="61"/>
        <v>12389230</v>
      </c>
      <c r="X239" s="53"/>
      <c r="Y239" s="35" t="s">
        <v>276</v>
      </c>
      <c r="AA239" s="35" t="s">
        <v>38</v>
      </c>
      <c r="AB239" s="35"/>
      <c r="AC239" s="53">
        <v>1664672</v>
      </c>
      <c r="AD239" s="53"/>
      <c r="AE239" s="53">
        <f>1869348-418034</f>
        <v>1451314</v>
      </c>
      <c r="AF239" s="53"/>
      <c r="AG239" s="53">
        <v>418034</v>
      </c>
      <c r="AH239" s="53"/>
      <c r="AI239" s="45">
        <f t="shared" si="56"/>
        <v>-204676</v>
      </c>
      <c r="AJ239" s="45"/>
      <c r="AK239" s="53">
        <v>22540</v>
      </c>
      <c r="AL239" s="45"/>
      <c r="AM239" s="53">
        <v>0</v>
      </c>
      <c r="AN239" s="53"/>
      <c r="AO239" s="53">
        <v>30000</v>
      </c>
      <c r="AP239" s="53"/>
      <c r="AQ239" s="53">
        <v>0</v>
      </c>
      <c r="AR239" s="53"/>
      <c r="AS239" s="45">
        <f t="shared" si="57"/>
        <v>-212136</v>
      </c>
      <c r="AT239" s="45"/>
      <c r="AU239" s="53">
        <v>0</v>
      </c>
      <c r="AV239" s="53"/>
      <c r="AW239" s="53">
        <v>0</v>
      </c>
      <c r="AX239" s="53"/>
      <c r="AY239" s="53">
        <f t="shared" si="58"/>
        <v>2482752</v>
      </c>
      <c r="AZ239" s="53"/>
      <c r="BA239" s="35" t="s">
        <v>276</v>
      </c>
      <c r="BC239" s="35" t="s">
        <v>38</v>
      </c>
      <c r="BD239" s="53"/>
      <c r="BE239" s="53">
        <v>0</v>
      </c>
      <c r="BF239" s="53"/>
      <c r="BG239" s="53">
        <v>0</v>
      </c>
      <c r="BH239" s="53"/>
      <c r="BI239" s="53">
        <v>0</v>
      </c>
      <c r="BJ239" s="53"/>
      <c r="BK239" s="53">
        <v>0</v>
      </c>
      <c r="BL239" s="53"/>
      <c r="BM239" s="53">
        <f t="shared" si="59"/>
        <v>0</v>
      </c>
      <c r="BN239" s="54" t="s">
        <v>347</v>
      </c>
      <c r="BO239" s="55" t="s">
        <v>404</v>
      </c>
      <c r="BR239" s="51"/>
      <c r="BS239" s="53"/>
      <c r="BT239" s="53"/>
      <c r="BU239" s="53"/>
      <c r="BV239" s="53"/>
      <c r="BW239" s="53"/>
      <c r="BX239" s="45"/>
      <c r="BY239" s="45"/>
      <c r="BZ239" s="53"/>
      <c r="CA239" s="53"/>
      <c r="CB239" s="53"/>
      <c r="CC239" s="53"/>
      <c r="CD239" s="53"/>
      <c r="CE239" s="53"/>
      <c r="CF239" s="35"/>
      <c r="CH239" s="35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4"/>
    </row>
    <row r="240" spans="1:97" s="55" customFormat="1" ht="12.75" customHeight="1">
      <c r="A240" s="35" t="s">
        <v>277</v>
      </c>
      <c r="B240" s="51"/>
      <c r="C240" s="35" t="s">
        <v>92</v>
      </c>
      <c r="D240" s="44"/>
      <c r="E240" s="53">
        <v>4270606</v>
      </c>
      <c r="F240" s="53"/>
      <c r="G240" s="53">
        <v>30769297</v>
      </c>
      <c r="H240" s="53"/>
      <c r="I240" s="53">
        <v>35039903</v>
      </c>
      <c r="J240" s="53"/>
      <c r="K240" s="53">
        <f t="shared" si="60"/>
        <v>2623195</v>
      </c>
      <c r="L240" s="53"/>
      <c r="M240" s="53">
        <v>6618049</v>
      </c>
      <c r="N240" s="53"/>
      <c r="O240" s="53">
        <v>9241244</v>
      </c>
      <c r="P240" s="53"/>
      <c r="Q240" s="53">
        <v>23523229</v>
      </c>
      <c r="R240" s="53"/>
      <c r="S240" s="53">
        <v>298591</v>
      </c>
      <c r="T240" s="53"/>
      <c r="U240" s="53">
        <v>1976839</v>
      </c>
      <c r="V240" s="53"/>
      <c r="W240" s="53">
        <f t="shared" si="61"/>
        <v>25798659</v>
      </c>
      <c r="X240" s="53"/>
      <c r="Y240" s="35" t="s">
        <v>277</v>
      </c>
      <c r="AA240" s="35" t="s">
        <v>92</v>
      </c>
      <c r="AB240" s="35"/>
      <c r="AC240" s="53">
        <v>3973891</v>
      </c>
      <c r="AD240" s="53"/>
      <c r="AE240" s="53">
        <f>4896614-1438861</f>
        <v>3457753</v>
      </c>
      <c r="AF240" s="53"/>
      <c r="AG240" s="53">
        <v>1438861</v>
      </c>
      <c r="AH240" s="53"/>
      <c r="AI240" s="45">
        <f t="shared" si="56"/>
        <v>-922723</v>
      </c>
      <c r="AJ240" s="45"/>
      <c r="AK240" s="53">
        <v>-156456</v>
      </c>
      <c r="AL240" s="45"/>
      <c r="AM240" s="53">
        <v>0</v>
      </c>
      <c r="AN240" s="53"/>
      <c r="AO240" s="53">
        <v>0</v>
      </c>
      <c r="AP240" s="53"/>
      <c r="AQ240" s="53">
        <v>239440</v>
      </c>
      <c r="AR240" s="53"/>
      <c r="AS240" s="45">
        <f t="shared" si="57"/>
        <v>-839739</v>
      </c>
      <c r="AT240" s="45"/>
      <c r="AU240" s="53">
        <v>0</v>
      </c>
      <c r="AV240" s="53"/>
      <c r="AW240" s="53">
        <v>0</v>
      </c>
      <c r="AX240" s="53"/>
      <c r="AY240" s="53">
        <f t="shared" si="58"/>
        <v>1647411</v>
      </c>
      <c r="AZ240" s="53"/>
      <c r="BA240" s="35" t="s">
        <v>277</v>
      </c>
      <c r="BC240" s="35" t="s">
        <v>92</v>
      </c>
      <c r="BD240" s="53"/>
      <c r="BE240" s="53">
        <v>6648885</v>
      </c>
      <c r="BF240" s="53"/>
      <c r="BG240" s="53">
        <f>150000+2480000</f>
        <v>2630000</v>
      </c>
      <c r="BH240" s="53"/>
      <c r="BI240" s="53">
        <v>0</v>
      </c>
      <c r="BJ240" s="53"/>
      <c r="BK240" s="53">
        <v>737313</v>
      </c>
      <c r="BL240" s="53"/>
      <c r="BM240" s="53">
        <f t="shared" si="59"/>
        <v>10016198</v>
      </c>
      <c r="BN240" s="54" t="s">
        <v>347</v>
      </c>
      <c r="BR240" s="51"/>
      <c r="BS240" s="53"/>
      <c r="BT240" s="53"/>
      <c r="BU240" s="53"/>
      <c r="BV240" s="53"/>
      <c r="BW240" s="53"/>
      <c r="BX240" s="45"/>
      <c r="BY240" s="45"/>
      <c r="BZ240" s="53"/>
      <c r="CA240" s="53"/>
      <c r="CB240" s="53"/>
      <c r="CC240" s="53"/>
      <c r="CD240" s="53"/>
      <c r="CE240" s="53"/>
      <c r="CF240" s="35"/>
      <c r="CH240" s="35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4"/>
    </row>
    <row r="241" spans="1:97" s="55" customFormat="1" ht="12.75" customHeight="1">
      <c r="A241" s="35" t="s">
        <v>278</v>
      </c>
      <c r="B241" s="51"/>
      <c r="C241" s="35" t="s">
        <v>92</v>
      </c>
      <c r="D241" s="44"/>
      <c r="E241" s="53">
        <v>707568</v>
      </c>
      <c r="F241" s="53"/>
      <c r="G241" s="53">
        <v>15038576</v>
      </c>
      <c r="H241" s="53"/>
      <c r="I241" s="53">
        <v>15746144</v>
      </c>
      <c r="J241" s="53"/>
      <c r="K241" s="53">
        <f t="shared" si="60"/>
        <v>364647</v>
      </c>
      <c r="L241" s="53"/>
      <c r="M241" s="53">
        <v>12185626</v>
      </c>
      <c r="N241" s="53"/>
      <c r="O241" s="53">
        <v>12550273</v>
      </c>
      <c r="P241" s="53"/>
      <c r="Q241" s="53">
        <v>2626339</v>
      </c>
      <c r="R241" s="53"/>
      <c r="S241" s="53">
        <v>0</v>
      </c>
      <c r="T241" s="53"/>
      <c r="U241" s="53">
        <v>569532</v>
      </c>
      <c r="V241" s="53"/>
      <c r="W241" s="53">
        <f t="shared" si="61"/>
        <v>3195871</v>
      </c>
      <c r="X241" s="53"/>
      <c r="Y241" s="35" t="s">
        <v>278</v>
      </c>
      <c r="AA241" s="35" t="s">
        <v>92</v>
      </c>
      <c r="AB241" s="35"/>
      <c r="AC241" s="53">
        <v>1119636</v>
      </c>
      <c r="AD241" s="53"/>
      <c r="AE241" s="53">
        <f>944229-92099</f>
        <v>852130</v>
      </c>
      <c r="AF241" s="53"/>
      <c r="AG241" s="53">
        <v>92099</v>
      </c>
      <c r="AH241" s="53"/>
      <c r="AI241" s="45">
        <f t="shared" si="56"/>
        <v>175407</v>
      </c>
      <c r="AJ241" s="45"/>
      <c r="AK241" s="53">
        <v>76127</v>
      </c>
      <c r="AL241" s="45"/>
      <c r="AM241" s="53">
        <v>144445</v>
      </c>
      <c r="AN241" s="53"/>
      <c r="AO241" s="53">
        <v>42943</v>
      </c>
      <c r="AP241" s="53"/>
      <c r="AQ241" s="53">
        <v>0</v>
      </c>
      <c r="AR241" s="53"/>
      <c r="AS241" s="45">
        <f t="shared" si="57"/>
        <v>353036</v>
      </c>
      <c r="AT241" s="45"/>
      <c r="AU241" s="53">
        <v>0</v>
      </c>
      <c r="AV241" s="53"/>
      <c r="AW241" s="53">
        <v>0</v>
      </c>
      <c r="AX241" s="53"/>
      <c r="AY241" s="53">
        <f t="shared" si="58"/>
        <v>342921</v>
      </c>
      <c r="AZ241" s="53"/>
      <c r="BA241" s="35" t="s">
        <v>278</v>
      </c>
      <c r="BC241" s="35" t="s">
        <v>92</v>
      </c>
      <c r="BD241" s="53"/>
      <c r="BE241" s="53">
        <v>11725687</v>
      </c>
      <c r="BF241" s="53"/>
      <c r="BG241" s="53">
        <v>0</v>
      </c>
      <c r="BH241" s="53"/>
      <c r="BI241" s="53">
        <v>686550</v>
      </c>
      <c r="BJ241" s="53"/>
      <c r="BK241" s="53">
        <v>0</v>
      </c>
      <c r="BL241" s="53"/>
      <c r="BM241" s="53">
        <f t="shared" si="59"/>
        <v>12412237</v>
      </c>
      <c r="BN241" s="54" t="s">
        <v>347</v>
      </c>
      <c r="BR241" s="51"/>
      <c r="BS241" s="53"/>
      <c r="BT241" s="53"/>
      <c r="BU241" s="53"/>
      <c r="BV241" s="53"/>
      <c r="BW241" s="53"/>
      <c r="BX241" s="45"/>
      <c r="BY241" s="45"/>
      <c r="BZ241" s="53"/>
      <c r="CA241" s="53"/>
      <c r="CB241" s="53"/>
      <c r="CC241" s="53"/>
      <c r="CD241" s="53"/>
      <c r="CE241" s="53"/>
      <c r="CF241" s="35"/>
      <c r="CH241" s="35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4"/>
    </row>
    <row r="242" spans="1:97" s="55" customFormat="1" ht="12.75" customHeight="1">
      <c r="A242" s="35" t="s">
        <v>279</v>
      </c>
      <c r="B242" s="51"/>
      <c r="C242" s="35" t="s">
        <v>92</v>
      </c>
      <c r="D242" s="44"/>
      <c r="E242" s="53">
        <v>614616</v>
      </c>
      <c r="F242" s="53"/>
      <c r="G242" s="53">
        <v>5930259</v>
      </c>
      <c r="H242" s="53"/>
      <c r="I242" s="53">
        <v>6544875</v>
      </c>
      <c r="J242" s="53"/>
      <c r="K242" s="53">
        <f t="shared" si="60"/>
        <v>1004373</v>
      </c>
      <c r="L242" s="53"/>
      <c r="M242" s="53">
        <v>19404</v>
      </c>
      <c r="N242" s="53"/>
      <c r="O242" s="53">
        <v>1023777</v>
      </c>
      <c r="P242" s="53"/>
      <c r="Q242" s="53">
        <v>5320259</v>
      </c>
      <c r="R242" s="53"/>
      <c r="S242" s="53">
        <v>0</v>
      </c>
      <c r="T242" s="53"/>
      <c r="U242" s="53">
        <v>200839</v>
      </c>
      <c r="V242" s="53"/>
      <c r="W242" s="53">
        <f t="shared" si="61"/>
        <v>5521098</v>
      </c>
      <c r="X242" s="53"/>
      <c r="Y242" s="35" t="s">
        <v>279</v>
      </c>
      <c r="AA242" s="35" t="s">
        <v>92</v>
      </c>
      <c r="AB242" s="35"/>
      <c r="AC242" s="53">
        <v>1424665</v>
      </c>
      <c r="AD242" s="53"/>
      <c r="AE242" s="53">
        <f>1717324-148611</f>
        <v>1568713</v>
      </c>
      <c r="AF242" s="53"/>
      <c r="AG242" s="53">
        <v>148611</v>
      </c>
      <c r="AH242" s="53"/>
      <c r="AI242" s="45">
        <f t="shared" si="56"/>
        <v>-292659</v>
      </c>
      <c r="AJ242" s="45"/>
      <c r="AK242" s="53">
        <v>15597</v>
      </c>
      <c r="AL242" s="45"/>
      <c r="AM242" s="53">
        <v>0</v>
      </c>
      <c r="AN242" s="53"/>
      <c r="AO242" s="53">
        <v>0</v>
      </c>
      <c r="AP242" s="53"/>
      <c r="AQ242" s="53">
        <v>0</v>
      </c>
      <c r="AR242" s="53"/>
      <c r="AS242" s="45">
        <f t="shared" si="57"/>
        <v>-277062</v>
      </c>
      <c r="AT242" s="45"/>
      <c r="AU242" s="53">
        <v>0</v>
      </c>
      <c r="AV242" s="53"/>
      <c r="AW242" s="53">
        <v>0</v>
      </c>
      <c r="AX242" s="53"/>
      <c r="AY242" s="53">
        <f t="shared" si="58"/>
        <v>-389757</v>
      </c>
      <c r="AZ242" s="53"/>
      <c r="BA242" s="35" t="s">
        <v>279</v>
      </c>
      <c r="BC242" s="35" t="s">
        <v>92</v>
      </c>
      <c r="BD242" s="53"/>
      <c r="BE242" s="53">
        <v>605000</v>
      </c>
      <c r="BF242" s="53"/>
      <c r="BG242" s="53">
        <v>0</v>
      </c>
      <c r="BH242" s="53"/>
      <c r="BI242" s="53">
        <v>0</v>
      </c>
      <c r="BJ242" s="53"/>
      <c r="BK242" s="53">
        <v>28785</v>
      </c>
      <c r="BL242" s="53"/>
      <c r="BM242" s="53">
        <f t="shared" si="59"/>
        <v>633785</v>
      </c>
      <c r="BN242" s="54" t="s">
        <v>347</v>
      </c>
      <c r="BO242" s="55" t="s">
        <v>404</v>
      </c>
      <c r="BR242" s="51"/>
      <c r="BS242" s="53"/>
      <c r="BT242" s="53"/>
      <c r="BU242" s="53"/>
      <c r="BV242" s="53"/>
      <c r="BW242" s="53"/>
      <c r="BX242" s="45"/>
      <c r="BY242" s="45"/>
      <c r="BZ242" s="53"/>
      <c r="CA242" s="53"/>
      <c r="CB242" s="53"/>
      <c r="CC242" s="53"/>
      <c r="CD242" s="53"/>
      <c r="CE242" s="53"/>
      <c r="CF242" s="35"/>
      <c r="CH242" s="35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4"/>
    </row>
    <row r="243" spans="1:97" s="55" customFormat="1" ht="12.75" customHeight="1">
      <c r="A243" s="35" t="s">
        <v>280</v>
      </c>
      <c r="B243" s="51"/>
      <c r="C243" s="35" t="s">
        <v>370</v>
      </c>
      <c r="D243" s="44"/>
      <c r="E243" s="53">
        <v>4332996</v>
      </c>
      <c r="F243" s="53"/>
      <c r="G243" s="53">
        <v>12464841</v>
      </c>
      <c r="H243" s="53"/>
      <c r="I243" s="53">
        <v>16797837</v>
      </c>
      <c r="J243" s="53"/>
      <c r="K243" s="53">
        <f t="shared" si="60"/>
        <v>328860</v>
      </c>
      <c r="L243" s="53"/>
      <c r="M243" s="53">
        <v>2049691</v>
      </c>
      <c r="N243" s="53"/>
      <c r="O243" s="53">
        <v>2378551</v>
      </c>
      <c r="P243" s="53"/>
      <c r="Q243" s="53">
        <v>10344841</v>
      </c>
      <c r="R243" s="53"/>
      <c r="S243" s="53">
        <v>771412</v>
      </c>
      <c r="T243" s="53"/>
      <c r="U243" s="53">
        <v>3303033</v>
      </c>
      <c r="V243" s="53"/>
      <c r="W243" s="53">
        <f t="shared" si="61"/>
        <v>14419286</v>
      </c>
      <c r="X243" s="53"/>
      <c r="Y243" s="35" t="s">
        <v>280</v>
      </c>
      <c r="AA243" s="35" t="s">
        <v>370</v>
      </c>
      <c r="AB243" s="35"/>
      <c r="AC243" s="53">
        <v>2871777</v>
      </c>
      <c r="AD243" s="53"/>
      <c r="AE243" s="53">
        <f>2766137-847184</f>
        <v>1918953</v>
      </c>
      <c r="AF243" s="53"/>
      <c r="AG243" s="53">
        <v>847184</v>
      </c>
      <c r="AH243" s="53"/>
      <c r="AI243" s="45">
        <f t="shared" si="56"/>
        <v>105640</v>
      </c>
      <c r="AJ243" s="45"/>
      <c r="AK243" s="53">
        <v>-28517</v>
      </c>
      <c r="AL243" s="45"/>
      <c r="AM243" s="53">
        <v>0</v>
      </c>
      <c r="AN243" s="53"/>
      <c r="AO243" s="53">
        <v>0</v>
      </c>
      <c r="AP243" s="53"/>
      <c r="AQ243" s="53">
        <v>0</v>
      </c>
      <c r="AR243" s="53"/>
      <c r="AS243" s="45">
        <f t="shared" si="57"/>
        <v>77123</v>
      </c>
      <c r="AT243" s="45"/>
      <c r="AU243" s="53">
        <v>0</v>
      </c>
      <c r="AV243" s="53"/>
      <c r="AW243" s="53">
        <v>0</v>
      </c>
      <c r="AX243" s="53"/>
      <c r="AY243" s="53">
        <f t="shared" si="58"/>
        <v>4004136</v>
      </c>
      <c r="AZ243" s="53"/>
      <c r="BA243" s="35" t="s">
        <v>280</v>
      </c>
      <c r="BC243" s="35" t="s">
        <v>370</v>
      </c>
      <c r="BD243" s="53"/>
      <c r="BE243" s="53">
        <v>0</v>
      </c>
      <c r="BF243" s="53"/>
      <c r="BG243" s="53">
        <v>0</v>
      </c>
      <c r="BH243" s="53"/>
      <c r="BI243" s="53">
        <v>0</v>
      </c>
      <c r="BJ243" s="53"/>
      <c r="BK243" s="53">
        <v>0</v>
      </c>
      <c r="BL243" s="53"/>
      <c r="BM243" s="53">
        <f t="shared" si="59"/>
        <v>0</v>
      </c>
      <c r="BN243" s="54" t="s">
        <v>347</v>
      </c>
      <c r="BR243" s="51"/>
      <c r="BS243" s="53"/>
      <c r="BT243" s="53"/>
      <c r="BU243" s="53"/>
      <c r="BV243" s="53"/>
      <c r="BW243" s="45"/>
      <c r="BX243" s="45"/>
      <c r="BY243" s="53"/>
      <c r="BZ243" s="53"/>
      <c r="CA243" s="53"/>
      <c r="CB243" s="53"/>
      <c r="CC243" s="53"/>
      <c r="CD243" s="53"/>
      <c r="CE243" s="53"/>
      <c r="CF243" s="35"/>
      <c r="CH243" s="35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4"/>
    </row>
    <row r="244" spans="1:97" s="143" customFormat="1" ht="12.75" hidden="1" customHeight="1">
      <c r="A244" s="126" t="s">
        <v>282</v>
      </c>
      <c r="B244" s="124"/>
      <c r="C244" s="126" t="s">
        <v>199</v>
      </c>
      <c r="D244" s="121"/>
      <c r="E244" s="140"/>
      <c r="F244" s="140"/>
      <c r="G244" s="140"/>
      <c r="H244" s="140"/>
      <c r="I244" s="140"/>
      <c r="J244" s="140"/>
      <c r="K244" s="140">
        <f t="shared" si="60"/>
        <v>0</v>
      </c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  <c r="W244" s="140">
        <f t="shared" si="61"/>
        <v>0</v>
      </c>
      <c r="X244" s="140"/>
      <c r="Y244" s="126" t="s">
        <v>282</v>
      </c>
      <c r="AA244" s="126" t="s">
        <v>199</v>
      </c>
      <c r="AB244" s="126"/>
      <c r="AC244" s="140"/>
      <c r="AD244" s="140"/>
      <c r="AE244" s="140"/>
      <c r="AF244" s="140"/>
      <c r="AG244" s="140"/>
      <c r="AH244" s="140"/>
      <c r="AI244" s="127">
        <f t="shared" si="56"/>
        <v>0</v>
      </c>
      <c r="AJ244" s="127"/>
      <c r="AK244" s="140"/>
      <c r="AL244" s="127"/>
      <c r="AM244" s="53">
        <v>0</v>
      </c>
      <c r="AN244" s="53"/>
      <c r="AO244" s="53">
        <v>0</v>
      </c>
      <c r="AP244" s="140"/>
      <c r="AQ244" s="140"/>
      <c r="AR244" s="140"/>
      <c r="AS244" s="45">
        <f t="shared" si="57"/>
        <v>0</v>
      </c>
      <c r="AT244" s="127"/>
      <c r="AU244" s="140">
        <v>0</v>
      </c>
      <c r="AV244" s="140"/>
      <c r="AW244" s="140">
        <v>0</v>
      </c>
      <c r="AX244" s="140"/>
      <c r="AY244" s="140">
        <f t="shared" si="58"/>
        <v>0</v>
      </c>
      <c r="AZ244" s="140"/>
      <c r="BA244" s="126" t="s">
        <v>282</v>
      </c>
      <c r="BC244" s="126" t="s">
        <v>199</v>
      </c>
      <c r="BD244" s="140"/>
      <c r="BE244" s="140"/>
      <c r="BF244" s="140"/>
      <c r="BG244" s="140"/>
      <c r="BH244" s="140"/>
      <c r="BI244" s="140"/>
      <c r="BJ244" s="140"/>
      <c r="BK244" s="140"/>
      <c r="BL244" s="140"/>
      <c r="BM244" s="140">
        <f t="shared" si="59"/>
        <v>0</v>
      </c>
      <c r="BN244" s="142" t="s">
        <v>347</v>
      </c>
      <c r="BR244" s="124"/>
      <c r="BS244" s="140"/>
      <c r="BT244" s="140"/>
      <c r="BU244" s="140"/>
      <c r="BV244" s="140"/>
      <c r="BW244" s="127"/>
      <c r="BX244" s="127"/>
      <c r="BY244" s="140"/>
      <c r="BZ244" s="140"/>
      <c r="CA244" s="140"/>
      <c r="CB244" s="140"/>
      <c r="CC244" s="140"/>
      <c r="CD244" s="140"/>
      <c r="CE244" s="140"/>
      <c r="CF244" s="126"/>
      <c r="CH244" s="126"/>
      <c r="CI244" s="140"/>
      <c r="CJ244" s="140"/>
      <c r="CK244" s="140"/>
      <c r="CL244" s="140"/>
      <c r="CM244" s="140"/>
      <c r="CN244" s="140"/>
      <c r="CO244" s="140"/>
      <c r="CP244" s="140"/>
      <c r="CQ244" s="140"/>
      <c r="CR244" s="140"/>
      <c r="CS244" s="142"/>
    </row>
    <row r="245" spans="1:97" s="143" customFormat="1" ht="12.75" hidden="1" customHeight="1">
      <c r="A245" s="126" t="s">
        <v>283</v>
      </c>
      <c r="B245" s="124"/>
      <c r="C245" s="126" t="s">
        <v>43</v>
      </c>
      <c r="D245" s="121"/>
      <c r="E245" s="140"/>
      <c r="F245" s="140"/>
      <c r="G245" s="140"/>
      <c r="H245" s="140"/>
      <c r="I245" s="140"/>
      <c r="J245" s="140"/>
      <c r="K245" s="140">
        <f t="shared" si="60"/>
        <v>0</v>
      </c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  <c r="W245" s="140">
        <f t="shared" si="61"/>
        <v>0</v>
      </c>
      <c r="X245" s="140"/>
      <c r="Y245" s="126" t="s">
        <v>283</v>
      </c>
      <c r="AA245" s="126" t="s">
        <v>43</v>
      </c>
      <c r="AB245" s="126"/>
      <c r="AC245" s="140"/>
      <c r="AD245" s="140"/>
      <c r="AE245" s="140"/>
      <c r="AF245" s="140"/>
      <c r="AG245" s="140"/>
      <c r="AH245" s="140"/>
      <c r="AI245" s="127">
        <f t="shared" si="56"/>
        <v>0</v>
      </c>
      <c r="AJ245" s="127"/>
      <c r="AK245" s="140"/>
      <c r="AL245" s="127"/>
      <c r="AM245" s="53">
        <v>0</v>
      </c>
      <c r="AN245" s="53"/>
      <c r="AO245" s="53">
        <v>0</v>
      </c>
      <c r="AP245" s="140"/>
      <c r="AQ245" s="140">
        <v>0</v>
      </c>
      <c r="AR245" s="140"/>
      <c r="AS245" s="45">
        <f t="shared" si="57"/>
        <v>0</v>
      </c>
      <c r="AT245" s="127"/>
      <c r="AU245" s="140">
        <v>0</v>
      </c>
      <c r="AV245" s="140"/>
      <c r="AW245" s="140">
        <v>0</v>
      </c>
      <c r="AX245" s="140"/>
      <c r="AY245" s="140">
        <f t="shared" si="58"/>
        <v>0</v>
      </c>
      <c r="AZ245" s="140"/>
      <c r="BA245" s="126" t="s">
        <v>283</v>
      </c>
      <c r="BC245" s="126" t="s">
        <v>43</v>
      </c>
      <c r="BD245" s="140"/>
      <c r="BE245" s="140"/>
      <c r="BF245" s="140"/>
      <c r="BG245" s="140"/>
      <c r="BH245" s="140"/>
      <c r="BI245" s="140"/>
      <c r="BJ245" s="140"/>
      <c r="BK245" s="140"/>
      <c r="BL245" s="140"/>
      <c r="BM245" s="140">
        <f t="shared" si="59"/>
        <v>0</v>
      </c>
      <c r="BN245" s="142" t="s">
        <v>347</v>
      </c>
      <c r="BR245" s="124"/>
      <c r="BS245" s="140"/>
      <c r="BT245" s="140"/>
      <c r="BU245" s="140"/>
      <c r="BV245" s="140"/>
      <c r="BW245" s="140"/>
      <c r="BX245" s="127"/>
      <c r="BY245" s="127"/>
      <c r="BZ245" s="140"/>
      <c r="CA245" s="140"/>
      <c r="CB245" s="140"/>
      <c r="CC245" s="140"/>
      <c r="CD245" s="140"/>
      <c r="CE245" s="140"/>
      <c r="CF245" s="126"/>
      <c r="CH245" s="126"/>
      <c r="CI245" s="140"/>
      <c r="CJ245" s="140"/>
      <c r="CK245" s="140"/>
      <c r="CL245" s="140"/>
      <c r="CM245" s="140"/>
      <c r="CN245" s="140"/>
      <c r="CO245" s="140"/>
      <c r="CP245" s="140"/>
      <c r="CQ245" s="140"/>
      <c r="CR245" s="140"/>
      <c r="CS245" s="142"/>
    </row>
    <row r="246" spans="1:97" s="143" customFormat="1" ht="12.75" hidden="1" customHeight="1">
      <c r="A246" s="126" t="s">
        <v>284</v>
      </c>
      <c r="B246" s="124"/>
      <c r="C246" s="126" t="s">
        <v>45</v>
      </c>
      <c r="D246" s="121"/>
      <c r="E246" s="140"/>
      <c r="F246" s="140"/>
      <c r="G246" s="140"/>
      <c r="H246" s="140"/>
      <c r="I246" s="140"/>
      <c r="J246" s="140"/>
      <c r="K246" s="140">
        <f t="shared" si="60"/>
        <v>0</v>
      </c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  <c r="W246" s="140">
        <f t="shared" si="61"/>
        <v>0</v>
      </c>
      <c r="X246" s="140"/>
      <c r="Y246" s="126" t="s">
        <v>284</v>
      </c>
      <c r="AA246" s="126" t="s">
        <v>45</v>
      </c>
      <c r="AB246" s="126"/>
      <c r="AC246" s="140"/>
      <c r="AD246" s="140"/>
      <c r="AE246" s="140"/>
      <c r="AF246" s="140"/>
      <c r="AG246" s="140"/>
      <c r="AH246" s="140"/>
      <c r="AI246" s="127">
        <f t="shared" si="56"/>
        <v>0</v>
      </c>
      <c r="AJ246" s="127"/>
      <c r="AK246" s="140"/>
      <c r="AL246" s="127"/>
      <c r="AM246" s="53">
        <v>0</v>
      </c>
      <c r="AN246" s="53"/>
      <c r="AO246" s="53">
        <v>0</v>
      </c>
      <c r="AP246" s="140"/>
      <c r="AQ246" s="140">
        <v>0</v>
      </c>
      <c r="AR246" s="140"/>
      <c r="AS246" s="45">
        <f t="shared" si="57"/>
        <v>0</v>
      </c>
      <c r="AT246" s="127"/>
      <c r="AU246" s="140">
        <v>0</v>
      </c>
      <c r="AV246" s="140"/>
      <c r="AW246" s="140">
        <v>0</v>
      </c>
      <c r="AX246" s="140"/>
      <c r="AY246" s="140">
        <f t="shared" si="58"/>
        <v>0</v>
      </c>
      <c r="AZ246" s="140"/>
      <c r="BA246" s="126" t="s">
        <v>284</v>
      </c>
      <c r="BC246" s="126" t="s">
        <v>45</v>
      </c>
      <c r="BD246" s="140"/>
      <c r="BE246" s="140"/>
      <c r="BF246" s="140"/>
      <c r="BG246" s="140"/>
      <c r="BH246" s="140"/>
      <c r="BI246" s="140"/>
      <c r="BJ246" s="140"/>
      <c r="BK246" s="140"/>
      <c r="BL246" s="140"/>
      <c r="BM246" s="140">
        <f t="shared" si="59"/>
        <v>0</v>
      </c>
      <c r="BN246" s="142" t="s">
        <v>347</v>
      </c>
      <c r="BR246" s="124"/>
      <c r="BS246" s="140"/>
      <c r="BT246" s="140"/>
      <c r="BU246" s="140"/>
      <c r="BV246" s="140"/>
      <c r="BW246" s="140"/>
      <c r="BX246" s="127"/>
      <c r="BY246" s="127"/>
      <c r="BZ246" s="140"/>
      <c r="CA246" s="140"/>
      <c r="CB246" s="140"/>
      <c r="CC246" s="140"/>
      <c r="CD246" s="140"/>
      <c r="CE246" s="140"/>
      <c r="CF246" s="126"/>
      <c r="CH246" s="126"/>
      <c r="CI246" s="140"/>
      <c r="CJ246" s="140"/>
      <c r="CK246" s="140"/>
      <c r="CL246" s="140"/>
      <c r="CM246" s="140"/>
      <c r="CN246" s="140"/>
      <c r="CO246" s="140"/>
      <c r="CP246" s="140"/>
      <c r="CQ246" s="140"/>
      <c r="CR246" s="140"/>
      <c r="CS246" s="142"/>
    </row>
    <row r="247" spans="1:97" s="55" customFormat="1" ht="12.75" customHeight="1">
      <c r="A247" s="35" t="s">
        <v>285</v>
      </c>
      <c r="B247" s="51"/>
      <c r="C247" s="35" t="s">
        <v>30</v>
      </c>
      <c r="D247" s="44"/>
      <c r="E247" s="53">
        <v>3024752</v>
      </c>
      <c r="F247" s="53"/>
      <c r="G247" s="53">
        <v>13670520</v>
      </c>
      <c r="H247" s="53"/>
      <c r="I247" s="53">
        <v>16695272</v>
      </c>
      <c r="J247" s="53"/>
      <c r="K247" s="53">
        <f t="shared" si="60"/>
        <v>761873</v>
      </c>
      <c r="L247" s="53"/>
      <c r="M247" s="53">
        <v>5869829</v>
      </c>
      <c r="N247" s="53"/>
      <c r="O247" s="53">
        <v>6631702</v>
      </c>
      <c r="P247" s="53"/>
      <c r="Q247" s="53">
        <v>7391900</v>
      </c>
      <c r="R247" s="53"/>
      <c r="S247" s="53">
        <v>0</v>
      </c>
      <c r="T247" s="53"/>
      <c r="U247" s="53">
        <v>2671670</v>
      </c>
      <c r="V247" s="53"/>
      <c r="W247" s="53">
        <f t="shared" si="61"/>
        <v>10063570</v>
      </c>
      <c r="X247" s="53"/>
      <c r="Y247" s="35" t="s">
        <v>285</v>
      </c>
      <c r="AA247" s="35" t="s">
        <v>30</v>
      </c>
      <c r="AB247" s="35"/>
      <c r="AC247" s="53">
        <v>3876121</v>
      </c>
      <c r="AD247" s="53"/>
      <c r="AE247" s="53">
        <f>3989863-1082392</f>
        <v>2907471</v>
      </c>
      <c r="AF247" s="53"/>
      <c r="AG247" s="53">
        <v>1082392</v>
      </c>
      <c r="AH247" s="53"/>
      <c r="AI247" s="45">
        <f t="shared" si="56"/>
        <v>-113742</v>
      </c>
      <c r="AJ247" s="45"/>
      <c r="AK247" s="53">
        <f>241424-202579</f>
        <v>38845</v>
      </c>
      <c r="AL247" s="45"/>
      <c r="AM247" s="53">
        <v>400000</v>
      </c>
      <c r="AN247" s="53"/>
      <c r="AO247" s="53">
        <v>400000</v>
      </c>
      <c r="AP247" s="53"/>
      <c r="AQ247" s="53">
        <v>23025</v>
      </c>
      <c r="AR247" s="53"/>
      <c r="AS247" s="45">
        <f t="shared" si="57"/>
        <v>-51872</v>
      </c>
      <c r="AT247" s="45"/>
      <c r="AU247" s="53">
        <v>0</v>
      </c>
      <c r="AV247" s="53"/>
      <c r="AW247" s="53">
        <v>0</v>
      </c>
      <c r="AX247" s="53"/>
      <c r="AY247" s="53">
        <f t="shared" si="58"/>
        <v>2262879</v>
      </c>
      <c r="AZ247" s="53"/>
      <c r="BA247" s="35" t="s">
        <v>285</v>
      </c>
      <c r="BC247" s="35" t="s">
        <v>30</v>
      </c>
      <c r="BD247" s="53"/>
      <c r="BE247" s="53">
        <v>5430029</v>
      </c>
      <c r="BF247" s="53"/>
      <c r="BG247" s="53">
        <v>0</v>
      </c>
      <c r="BH247" s="53"/>
      <c r="BI247" s="53">
        <v>0</v>
      </c>
      <c r="BJ247" s="53"/>
      <c r="BK247" s="53">
        <v>1697182</v>
      </c>
      <c r="BL247" s="53"/>
      <c r="BM247" s="53">
        <f t="shared" si="59"/>
        <v>7127211</v>
      </c>
      <c r="BN247" s="54" t="s">
        <v>347</v>
      </c>
      <c r="BR247" s="51"/>
      <c r="BS247" s="53"/>
      <c r="BT247" s="53"/>
      <c r="BU247" s="53"/>
      <c r="BV247" s="53"/>
      <c r="BW247" s="53"/>
      <c r="BX247" s="45"/>
      <c r="BY247" s="45"/>
      <c r="BZ247" s="53"/>
      <c r="CA247" s="53"/>
      <c r="CB247" s="53"/>
      <c r="CC247" s="53"/>
      <c r="CD247" s="53"/>
      <c r="CE247" s="53"/>
      <c r="CF247" s="35"/>
      <c r="CH247" s="35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4"/>
    </row>
    <row r="248" spans="1:97" s="55" customFormat="1" ht="12.75" customHeight="1">
      <c r="A248" s="35" t="s">
        <v>286</v>
      </c>
      <c r="C248" s="35" t="s">
        <v>61</v>
      </c>
      <c r="D248" s="44"/>
      <c r="E248" s="53">
        <v>7384613</v>
      </c>
      <c r="F248" s="53"/>
      <c r="G248" s="53">
        <v>41526421</v>
      </c>
      <c r="H248" s="53"/>
      <c r="I248" s="53">
        <v>48911034</v>
      </c>
      <c r="J248" s="53"/>
      <c r="K248" s="53">
        <f t="shared" si="60"/>
        <v>1468620</v>
      </c>
      <c r="L248" s="53"/>
      <c r="M248" s="53">
        <v>6053401</v>
      </c>
      <c r="N248" s="53"/>
      <c r="O248" s="53">
        <v>7522021</v>
      </c>
      <c r="P248" s="53"/>
      <c r="Q248" s="53">
        <v>35865837</v>
      </c>
      <c r="R248" s="53"/>
      <c r="S248" s="53">
        <v>0</v>
      </c>
      <c r="T248" s="53"/>
      <c r="U248" s="53">
        <v>5523176</v>
      </c>
      <c r="V248" s="53"/>
      <c r="W248" s="53">
        <f t="shared" si="61"/>
        <v>41389013</v>
      </c>
      <c r="X248" s="53"/>
      <c r="Y248" s="35" t="s">
        <v>286</v>
      </c>
      <c r="AA248" s="35" t="s">
        <v>61</v>
      </c>
      <c r="AB248" s="35"/>
      <c r="AC248" s="53">
        <v>17577484</v>
      </c>
      <c r="AD248" s="53"/>
      <c r="AE248" s="53">
        <f>15065317-1768215</f>
        <v>13297102</v>
      </c>
      <c r="AF248" s="53"/>
      <c r="AG248" s="53">
        <v>1768215</v>
      </c>
      <c r="AH248" s="53"/>
      <c r="AI248" s="45">
        <f t="shared" si="56"/>
        <v>2512167</v>
      </c>
      <c r="AJ248" s="45"/>
      <c r="AK248" s="53">
        <v>-252760</v>
      </c>
      <c r="AL248" s="45"/>
      <c r="AM248" s="53">
        <v>0</v>
      </c>
      <c r="AN248" s="53"/>
      <c r="AO248" s="53">
        <v>689300</v>
      </c>
      <c r="AP248" s="53"/>
      <c r="AQ248" s="53">
        <v>0</v>
      </c>
      <c r="AR248" s="53"/>
      <c r="AS248" s="45">
        <f t="shared" si="57"/>
        <v>1570107</v>
      </c>
      <c r="AT248" s="45"/>
      <c r="AU248" s="53">
        <v>0</v>
      </c>
      <c r="AV248" s="53"/>
      <c r="AW248" s="53">
        <v>0</v>
      </c>
      <c r="AX248" s="53"/>
      <c r="AY248" s="53">
        <f t="shared" si="58"/>
        <v>5915993</v>
      </c>
      <c r="AZ248" s="53"/>
      <c r="BA248" s="35" t="s">
        <v>286</v>
      </c>
      <c r="BC248" s="35" t="s">
        <v>61</v>
      </c>
      <c r="BD248" s="53"/>
      <c r="BE248" s="53">
        <v>195000</v>
      </c>
      <c r="BF248" s="53"/>
      <c r="BG248" s="53">
        <v>0</v>
      </c>
      <c r="BH248" s="53"/>
      <c r="BI248" s="53">
        <v>0</v>
      </c>
      <c r="BJ248" s="53"/>
      <c r="BK248" s="53">
        <v>0</v>
      </c>
      <c r="BL248" s="53"/>
      <c r="BM248" s="53">
        <f t="shared" si="59"/>
        <v>195000</v>
      </c>
      <c r="BN248" s="54" t="s">
        <v>347</v>
      </c>
      <c r="BR248" s="51"/>
      <c r="BS248" s="53"/>
      <c r="BT248" s="53"/>
      <c r="BU248" s="53"/>
      <c r="BV248" s="53"/>
      <c r="BW248" s="53"/>
      <c r="BX248" s="45"/>
      <c r="BY248" s="45"/>
      <c r="BZ248" s="53"/>
      <c r="CA248" s="53"/>
      <c r="CB248" s="53"/>
      <c r="CC248" s="53"/>
      <c r="CD248" s="53"/>
      <c r="CE248" s="53"/>
      <c r="CF248" s="35"/>
      <c r="CH248" s="35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4"/>
    </row>
    <row r="249" spans="1:97" s="55" customFormat="1" ht="12.75" customHeight="1">
      <c r="A249" s="35" t="s">
        <v>287</v>
      </c>
      <c r="C249" s="35" t="s">
        <v>288</v>
      </c>
      <c r="D249" s="44"/>
      <c r="E249" s="53">
        <v>5835928</v>
      </c>
      <c r="F249" s="53"/>
      <c r="G249" s="53">
        <v>41037838</v>
      </c>
      <c r="H249" s="53"/>
      <c r="I249" s="53">
        <v>46873766</v>
      </c>
      <c r="J249" s="53"/>
      <c r="K249" s="53">
        <f t="shared" si="60"/>
        <v>3411634</v>
      </c>
      <c r="L249" s="53"/>
      <c r="M249" s="53">
        <v>18471321</v>
      </c>
      <c r="N249" s="53"/>
      <c r="O249" s="53">
        <v>21882955</v>
      </c>
      <c r="P249" s="53"/>
      <c r="Q249" s="53">
        <v>19964461</v>
      </c>
      <c r="R249" s="53"/>
      <c r="S249" s="53">
        <v>0</v>
      </c>
      <c r="T249" s="53"/>
      <c r="U249" s="53">
        <v>5026350</v>
      </c>
      <c r="V249" s="53"/>
      <c r="W249" s="53">
        <f t="shared" si="61"/>
        <v>24990811</v>
      </c>
      <c r="X249" s="53"/>
      <c r="Y249" s="35" t="s">
        <v>287</v>
      </c>
      <c r="AA249" s="35" t="s">
        <v>288</v>
      </c>
      <c r="AB249" s="35"/>
      <c r="AC249" s="53">
        <v>6250213</v>
      </c>
      <c r="AD249" s="53"/>
      <c r="AE249" s="53">
        <f>3912585-745210</f>
        <v>3167375</v>
      </c>
      <c r="AF249" s="53"/>
      <c r="AG249" s="53">
        <v>745210</v>
      </c>
      <c r="AH249" s="53"/>
      <c r="AI249" s="45">
        <f t="shared" si="56"/>
        <v>2337628</v>
      </c>
      <c r="AJ249" s="45"/>
      <c r="AK249" s="53">
        <v>-797694</v>
      </c>
      <c r="AL249" s="45"/>
      <c r="AM249" s="53">
        <v>0</v>
      </c>
      <c r="AN249" s="53"/>
      <c r="AO249" s="53">
        <v>0</v>
      </c>
      <c r="AP249" s="53"/>
      <c r="AQ249" s="53">
        <v>0</v>
      </c>
      <c r="AR249" s="53"/>
      <c r="AS249" s="45">
        <f t="shared" si="57"/>
        <v>1539934</v>
      </c>
      <c r="AT249" s="45"/>
      <c r="AU249" s="53">
        <v>0</v>
      </c>
      <c r="AV249" s="53"/>
      <c r="AW249" s="53">
        <v>0</v>
      </c>
      <c r="AX249" s="53"/>
      <c r="AY249" s="53">
        <f t="shared" si="58"/>
        <v>2424294</v>
      </c>
      <c r="AZ249" s="53"/>
      <c r="BA249" s="35" t="s">
        <v>287</v>
      </c>
      <c r="BC249" s="35" t="s">
        <v>288</v>
      </c>
      <c r="BD249" s="53"/>
      <c r="BE249" s="53">
        <f>67500+120000</f>
        <v>187500</v>
      </c>
      <c r="BF249" s="53"/>
      <c r="BG249" s="53">
        <v>0</v>
      </c>
      <c r="BH249" s="53"/>
      <c r="BI249" s="53">
        <v>20885877</v>
      </c>
      <c r="BJ249" s="53"/>
      <c r="BK249" s="53">
        <v>0</v>
      </c>
      <c r="BL249" s="53"/>
      <c r="BM249" s="53">
        <f t="shared" si="59"/>
        <v>21073377</v>
      </c>
      <c r="BN249" s="54" t="s">
        <v>347</v>
      </c>
      <c r="BR249" s="51"/>
      <c r="BS249" s="53"/>
      <c r="BT249" s="53"/>
      <c r="BU249" s="53"/>
      <c r="BV249" s="53"/>
      <c r="BW249" s="53"/>
      <c r="BX249" s="45"/>
      <c r="BY249" s="45"/>
      <c r="BZ249" s="53"/>
      <c r="CA249" s="53"/>
      <c r="CB249" s="53"/>
      <c r="CC249" s="53"/>
      <c r="CD249" s="53"/>
      <c r="CE249" s="53"/>
      <c r="CF249" s="35"/>
      <c r="CH249" s="35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4"/>
    </row>
    <row r="250" spans="1:97" s="55" customFormat="1" ht="12.75" customHeight="1">
      <c r="A250" s="35"/>
      <c r="C250" s="35"/>
      <c r="D250" s="44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35"/>
      <c r="AA250" s="35"/>
      <c r="AB250" s="35"/>
      <c r="AC250" s="53"/>
      <c r="AD250" s="53"/>
      <c r="AE250" s="53"/>
      <c r="AF250" s="53"/>
      <c r="AG250" s="53"/>
      <c r="AH250" s="53"/>
      <c r="AI250" s="45"/>
      <c r="AJ250" s="45"/>
      <c r="AK250" s="45"/>
      <c r="AL250" s="45"/>
      <c r="AM250" s="53"/>
      <c r="AN250" s="53"/>
      <c r="AO250" s="53"/>
      <c r="AP250" s="53"/>
      <c r="AQ250" s="53"/>
      <c r="AR250" s="53"/>
      <c r="AS250" s="45"/>
      <c r="AT250" s="45"/>
      <c r="AU250" s="53"/>
      <c r="AV250" s="53"/>
      <c r="AW250" s="53"/>
      <c r="AX250" s="53"/>
      <c r="AY250" s="53"/>
      <c r="AZ250" s="53"/>
      <c r="BA250" s="35"/>
      <c r="BC250" s="35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4"/>
      <c r="BR250" s="51"/>
      <c r="BS250" s="53"/>
      <c r="BT250" s="53"/>
      <c r="BU250" s="53"/>
      <c r="BV250" s="53"/>
      <c r="BW250" s="53"/>
      <c r="BX250" s="45"/>
      <c r="BY250" s="45"/>
      <c r="BZ250" s="53"/>
      <c r="CA250" s="53"/>
      <c r="CB250" s="53"/>
      <c r="CC250" s="53"/>
      <c r="CD250" s="53"/>
      <c r="CE250" s="53"/>
      <c r="CF250" s="35"/>
      <c r="CH250" s="35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4"/>
    </row>
    <row r="251" spans="1:97" s="55" customFormat="1" ht="12.75" customHeight="1">
      <c r="B251" s="51"/>
      <c r="D251" s="44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AC251" s="53"/>
      <c r="AD251" s="53"/>
      <c r="AE251" s="53"/>
      <c r="AF251" s="53"/>
      <c r="AG251" s="53"/>
      <c r="AH251" s="53"/>
      <c r="AI251" s="45"/>
      <c r="AJ251" s="45"/>
      <c r="AK251" s="45"/>
      <c r="AL251" s="45"/>
      <c r="AM251" s="53"/>
      <c r="AN251" s="53"/>
      <c r="AO251" s="53"/>
      <c r="AP251" s="53"/>
      <c r="AQ251" s="53"/>
      <c r="AR251" s="53"/>
      <c r="AS251" s="45"/>
      <c r="AT251" s="45"/>
      <c r="AU251" s="53"/>
      <c r="AV251" s="53"/>
      <c r="AW251" s="53"/>
      <c r="AX251" s="53"/>
      <c r="AY251" s="53"/>
      <c r="BE251" s="53"/>
      <c r="BF251" s="53"/>
      <c r="BG251" s="53"/>
      <c r="BH251" s="53"/>
      <c r="BI251" s="53"/>
      <c r="BJ251" s="53"/>
      <c r="BK251" s="53"/>
      <c r="BL251" s="53"/>
      <c r="BM251" s="53"/>
      <c r="BP251" s="45"/>
      <c r="BQ251" s="45"/>
      <c r="BR251" s="45"/>
      <c r="BS251" s="45"/>
      <c r="BT251" s="45"/>
      <c r="BU251" s="45"/>
      <c r="BV251" s="45"/>
      <c r="BW251" s="45"/>
      <c r="CG251" s="47"/>
    </row>
    <row r="252" spans="1:97" s="55" customFormat="1" ht="12.75" customHeight="1">
      <c r="B252" s="51"/>
      <c r="D252" s="44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AC252" s="53"/>
      <c r="AD252" s="53"/>
      <c r="AE252" s="53"/>
      <c r="AF252" s="53"/>
      <c r="AG252" s="53"/>
      <c r="AH252" s="53"/>
      <c r="AI252" s="45"/>
      <c r="AJ252" s="45"/>
      <c r="AK252" s="45"/>
      <c r="AL252" s="45"/>
      <c r="AM252" s="53"/>
      <c r="AN252" s="53"/>
      <c r="AO252" s="53"/>
      <c r="AP252" s="53"/>
      <c r="AQ252" s="53"/>
      <c r="AR252" s="53"/>
      <c r="AS252" s="45"/>
      <c r="AT252" s="45"/>
      <c r="AU252" s="53"/>
      <c r="AV252" s="53"/>
      <c r="AW252" s="53"/>
      <c r="AX252" s="53"/>
      <c r="AY252" s="53"/>
      <c r="BE252" s="53"/>
      <c r="BF252" s="53"/>
      <c r="BG252" s="53"/>
      <c r="BH252" s="53"/>
      <c r="BI252" s="53"/>
      <c r="BJ252" s="53"/>
      <c r="BK252" s="53"/>
      <c r="BL252" s="53"/>
      <c r="BM252" s="53"/>
      <c r="BP252" s="45"/>
      <c r="BQ252" s="45"/>
      <c r="BR252" s="45"/>
      <c r="BS252" s="45"/>
      <c r="BT252" s="45"/>
      <c r="BU252" s="45"/>
      <c r="BV252" s="45"/>
      <c r="BW252" s="45"/>
      <c r="CG252" s="47"/>
    </row>
    <row r="253" spans="1:97" s="55" customFormat="1" ht="12.75" customHeight="1">
      <c r="A253" s="44"/>
      <c r="B253" s="51"/>
      <c r="C253" s="44"/>
      <c r="D253" s="44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44"/>
      <c r="AA253" s="44"/>
      <c r="AB253" s="44"/>
      <c r="AC253" s="53"/>
      <c r="AD253" s="53"/>
      <c r="AE253" s="53"/>
      <c r="AF253" s="53"/>
      <c r="AG253" s="53"/>
      <c r="AH253" s="53"/>
      <c r="AI253" s="45"/>
      <c r="AJ253" s="45"/>
      <c r="AK253" s="45"/>
      <c r="AL253" s="45"/>
      <c r="AM253" s="53"/>
      <c r="AN253" s="53"/>
      <c r="AO253" s="53"/>
      <c r="AP253" s="53"/>
      <c r="AQ253" s="53"/>
      <c r="AR253" s="53"/>
      <c r="AS253" s="45"/>
      <c r="AT253" s="45"/>
      <c r="AU253" s="53"/>
      <c r="AV253" s="53"/>
      <c r="AW253" s="53"/>
      <c r="AX253" s="53"/>
      <c r="AY253" s="53"/>
      <c r="AZ253" s="53"/>
      <c r="BA253" s="44"/>
      <c r="BC253" s="44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4"/>
      <c r="BR253" s="51"/>
      <c r="BS253" s="53"/>
      <c r="BT253" s="53"/>
      <c r="BU253" s="53"/>
      <c r="BV253" s="53"/>
      <c r="BW253" s="53"/>
      <c r="BX253" s="45"/>
      <c r="BY253" s="45"/>
      <c r="BZ253" s="53"/>
      <c r="CA253" s="53"/>
      <c r="CB253" s="53"/>
      <c r="CC253" s="53"/>
      <c r="CD253" s="53"/>
      <c r="CE253" s="53"/>
      <c r="CF253" s="44"/>
      <c r="CH253" s="44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4"/>
    </row>
    <row r="254" spans="1:97" s="55" customFormat="1" ht="12.75" customHeight="1">
      <c r="B254" s="51"/>
      <c r="D254" s="44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53"/>
      <c r="AN254" s="53"/>
      <c r="AO254" s="53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B254" s="47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R254" s="51"/>
      <c r="BS254" s="35"/>
      <c r="BT254" s="35"/>
      <c r="BU254" s="35"/>
      <c r="BV254" s="35"/>
      <c r="BW254" s="35"/>
      <c r="BX254" s="45"/>
      <c r="BY254" s="45"/>
      <c r="BZ254" s="35"/>
      <c r="CA254" s="35"/>
      <c r="CB254" s="35"/>
      <c r="CC254" s="35"/>
      <c r="CD254" s="35"/>
      <c r="CE254" s="35"/>
      <c r="CG254" s="47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</row>
    <row r="255" spans="1:97" s="55" customFormat="1" ht="12.75" customHeight="1">
      <c r="B255" s="51"/>
      <c r="D255" s="44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53"/>
      <c r="AN255" s="53"/>
      <c r="AO255" s="53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E255" s="47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G255" s="47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</row>
    <row r="256" spans="1:97" s="55" customFormat="1" ht="12.75" customHeight="1">
      <c r="B256" s="51"/>
      <c r="D256" s="44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53"/>
      <c r="AN256" s="53"/>
      <c r="AO256" s="53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E256" s="47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G256" s="47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</row>
    <row r="257" spans="2:97" s="55" customFormat="1" ht="12.75" customHeight="1">
      <c r="B257" s="51"/>
      <c r="D257" s="44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53"/>
      <c r="AN257" s="53"/>
      <c r="AO257" s="53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E257" s="47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G257" s="47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</row>
    <row r="258" spans="2:97" s="55" customFormat="1" ht="12.75" customHeight="1">
      <c r="B258" s="51"/>
      <c r="D258" s="44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53"/>
      <c r="AN258" s="53"/>
      <c r="AO258" s="53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E258" s="47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G258" s="47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</row>
    <row r="259" spans="2:97" s="55" customFormat="1" ht="12.75" customHeight="1">
      <c r="B259" s="51"/>
      <c r="D259" s="44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53"/>
      <c r="AN259" s="53"/>
      <c r="AO259" s="53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E259" s="47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G259" s="47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</row>
    <row r="260" spans="2:97" s="55" customFormat="1" ht="12.75" customHeight="1">
      <c r="B260" s="51"/>
      <c r="D260" s="44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53"/>
      <c r="AN260" s="53"/>
      <c r="AO260" s="53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E260" s="47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G260" s="47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</row>
    <row r="261" spans="2:97" s="55" customFormat="1" ht="12.75" customHeight="1">
      <c r="B261" s="51"/>
      <c r="D261" s="44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53"/>
      <c r="AN261" s="53"/>
      <c r="AO261" s="53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E261" s="47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G261" s="47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</row>
    <row r="262" spans="2:97" s="55" customFormat="1" ht="12.75" customHeight="1">
      <c r="B262" s="51"/>
      <c r="D262" s="44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53"/>
      <c r="AN262" s="53"/>
      <c r="AO262" s="53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E262" s="47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G262" s="47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</row>
    <row r="263" spans="2:97" s="55" customFormat="1" ht="12.75" customHeight="1">
      <c r="B263" s="51"/>
      <c r="D263" s="44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53"/>
      <c r="AN263" s="53"/>
      <c r="AO263" s="53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E263" s="47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G263" s="47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</row>
    <row r="264" spans="2:97" s="55" customFormat="1" ht="12.75" customHeight="1">
      <c r="B264" s="51"/>
      <c r="D264" s="44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53"/>
      <c r="AN264" s="53"/>
      <c r="AO264" s="53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E264" s="47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G264" s="47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</row>
    <row r="265" spans="2:97" s="55" customFormat="1" ht="12.75" customHeight="1">
      <c r="B265" s="51"/>
      <c r="D265" s="44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53"/>
      <c r="AN265" s="53"/>
      <c r="AO265" s="53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E265" s="47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G265" s="47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</row>
    <row r="266" spans="2:97" s="55" customFormat="1" ht="12.75" customHeight="1">
      <c r="B266" s="51"/>
      <c r="D266" s="44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53"/>
      <c r="AN266" s="53"/>
      <c r="AO266" s="53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E266" s="47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G266" s="47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</row>
    <row r="267" spans="2:97" s="55" customFormat="1" ht="12.75" customHeight="1">
      <c r="B267" s="51"/>
      <c r="D267" s="44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53"/>
      <c r="AN267" s="53"/>
      <c r="AO267" s="53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E267" s="47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G267" s="47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</row>
    <row r="268" spans="2:97" s="55" customFormat="1" ht="12.75" customHeight="1">
      <c r="B268" s="51"/>
      <c r="D268" s="44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53"/>
      <c r="AN268" s="53"/>
      <c r="AO268" s="53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E268" s="47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G268" s="47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</row>
    <row r="269" spans="2:97" s="55" customFormat="1" ht="12.75" customHeight="1">
      <c r="B269" s="51"/>
      <c r="D269" s="44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53"/>
      <c r="AN269" s="53"/>
      <c r="AO269" s="53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E269" s="47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G269" s="47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</row>
    <row r="270" spans="2:97" s="55" customFormat="1" ht="12.75" customHeight="1">
      <c r="B270" s="51"/>
      <c r="D270" s="44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53"/>
      <c r="AN270" s="53"/>
      <c r="AO270" s="53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E270" s="47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G270" s="47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</row>
    <row r="271" spans="2:97" s="55" customFormat="1" ht="12.75" customHeight="1">
      <c r="B271" s="51"/>
      <c r="D271" s="44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53"/>
      <c r="AN271" s="53"/>
      <c r="AO271" s="53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E271" s="47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G271" s="47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</row>
    <row r="272" spans="2:97" s="55" customFormat="1" ht="12.75" customHeight="1">
      <c r="B272" s="51"/>
      <c r="D272" s="44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53"/>
      <c r="AN272" s="53"/>
      <c r="AO272" s="53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E272" s="47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G272" s="47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</row>
    <row r="273" spans="2:97" s="55" customFormat="1" ht="12.75" customHeight="1">
      <c r="B273" s="51"/>
      <c r="D273" s="44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53"/>
      <c r="AN273" s="53"/>
      <c r="AO273" s="53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E273" s="47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G273" s="47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</row>
    <row r="274" spans="2:97" s="55" customFormat="1" ht="12.75" customHeight="1">
      <c r="B274" s="51"/>
      <c r="D274" s="44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53"/>
      <c r="AN274" s="53"/>
      <c r="AO274" s="53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E274" s="47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G274" s="47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</row>
    <row r="275" spans="2:97" s="55" customFormat="1" ht="12.75" customHeight="1">
      <c r="B275" s="51"/>
      <c r="D275" s="44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53"/>
      <c r="AN275" s="53"/>
      <c r="AO275" s="53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E275" s="47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G275" s="47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</row>
    <row r="276" spans="2:97" s="55" customFormat="1" ht="12.75" customHeight="1">
      <c r="B276" s="51"/>
      <c r="D276" s="44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53"/>
      <c r="AN276" s="53"/>
      <c r="AO276" s="53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E276" s="47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G276" s="47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</row>
    <row r="277" spans="2:97" s="55" customFormat="1" ht="12.75" customHeight="1">
      <c r="B277" s="51"/>
      <c r="D277" s="44"/>
      <c r="AM277" s="53"/>
      <c r="AN277" s="53"/>
      <c r="AO277" s="53"/>
      <c r="BE277" s="47"/>
      <c r="BP277" s="45"/>
      <c r="BQ277" s="45"/>
      <c r="BR277" s="45"/>
      <c r="BS277" s="45"/>
      <c r="BT277" s="45"/>
      <c r="BU277" s="45"/>
      <c r="BV277" s="45"/>
      <c r="BW277" s="45"/>
      <c r="CG277" s="47"/>
    </row>
    <row r="278" spans="2:97" s="55" customFormat="1" ht="12.75" customHeight="1">
      <c r="B278" s="51"/>
      <c r="D278" s="44"/>
      <c r="AM278" s="53"/>
      <c r="AN278" s="53"/>
      <c r="AO278" s="53"/>
      <c r="BE278" s="47"/>
      <c r="BP278" s="45"/>
      <c r="BQ278" s="45"/>
      <c r="BR278" s="45"/>
      <c r="BS278" s="45"/>
      <c r="BT278" s="45"/>
      <c r="BU278" s="45"/>
      <c r="BV278" s="45"/>
      <c r="BW278" s="45"/>
      <c r="CG278" s="47"/>
    </row>
    <row r="279" spans="2:97" s="55" customFormat="1" ht="12.75" customHeight="1">
      <c r="B279" s="51"/>
      <c r="D279" s="44"/>
      <c r="AM279" s="53"/>
      <c r="AN279" s="53"/>
      <c r="AO279" s="53"/>
      <c r="BE279" s="47"/>
      <c r="BP279" s="45"/>
      <c r="BQ279" s="45"/>
      <c r="BR279" s="45"/>
      <c r="BS279" s="45"/>
      <c r="BT279" s="45"/>
      <c r="BU279" s="45"/>
      <c r="BV279" s="45"/>
      <c r="BW279" s="45"/>
      <c r="CG279" s="47"/>
    </row>
    <row r="280" spans="2:97" s="55" customFormat="1" ht="12.75" customHeight="1">
      <c r="B280" s="51"/>
      <c r="D280" s="44"/>
      <c r="AM280" s="53"/>
      <c r="AN280" s="53"/>
      <c r="AO280" s="53"/>
      <c r="BE280" s="47"/>
      <c r="BP280" s="45"/>
      <c r="BQ280" s="45"/>
      <c r="BR280" s="45"/>
      <c r="BS280" s="45"/>
      <c r="BT280" s="45"/>
      <c r="BU280" s="45"/>
      <c r="BV280" s="45"/>
      <c r="BW280" s="45"/>
      <c r="CG280" s="47"/>
    </row>
    <row r="281" spans="2:97" s="55" customFormat="1" ht="12.75" customHeight="1">
      <c r="B281" s="51"/>
      <c r="D281" s="44"/>
      <c r="AM281" s="53"/>
      <c r="AN281" s="53"/>
      <c r="AO281" s="53"/>
      <c r="BE281" s="47"/>
      <c r="BP281" s="45"/>
      <c r="BQ281" s="45"/>
      <c r="BR281" s="45"/>
      <c r="BS281" s="45"/>
      <c r="BT281" s="45"/>
      <c r="BU281" s="45"/>
      <c r="BV281" s="45"/>
      <c r="BW281" s="45"/>
      <c r="CG281" s="47"/>
    </row>
    <row r="282" spans="2:97" s="55" customFormat="1" ht="12.75" customHeight="1">
      <c r="B282" s="51"/>
      <c r="D282" s="44"/>
      <c r="AM282" s="53"/>
      <c r="AN282" s="53"/>
      <c r="AO282" s="53"/>
      <c r="BE282" s="47"/>
      <c r="BP282" s="45"/>
      <c r="BQ282" s="45"/>
      <c r="BR282" s="45"/>
      <c r="BS282" s="45"/>
      <c r="BT282" s="45"/>
      <c r="BU282" s="45"/>
      <c r="BV282" s="45"/>
      <c r="BW282" s="45"/>
      <c r="CG282" s="47"/>
    </row>
    <row r="283" spans="2:97" s="55" customFormat="1" ht="12.75" customHeight="1">
      <c r="B283" s="51"/>
      <c r="D283" s="44"/>
      <c r="AM283" s="53"/>
      <c r="AN283" s="53"/>
      <c r="AO283" s="53"/>
      <c r="BE283" s="47"/>
      <c r="BP283" s="45"/>
      <c r="BQ283" s="45"/>
      <c r="BR283" s="45"/>
      <c r="BS283" s="45"/>
      <c r="BT283" s="45"/>
      <c r="BU283" s="45"/>
      <c r="BV283" s="45"/>
      <c r="BW283" s="45"/>
      <c r="CG283" s="47"/>
    </row>
    <row r="284" spans="2:97" s="55" customFormat="1" ht="12.75" customHeight="1">
      <c r="B284" s="51"/>
      <c r="D284" s="44"/>
      <c r="AM284" s="53"/>
      <c r="AN284" s="53"/>
      <c r="AO284" s="53"/>
      <c r="BE284" s="47"/>
      <c r="BP284" s="45"/>
      <c r="BQ284" s="45"/>
      <c r="BR284" s="45"/>
      <c r="BS284" s="45"/>
      <c r="BT284" s="45"/>
      <c r="BU284" s="45"/>
      <c r="BV284" s="45"/>
      <c r="BW284" s="45"/>
      <c r="CG284" s="47"/>
    </row>
    <row r="285" spans="2:97" s="55" customFormat="1" ht="12.75" customHeight="1">
      <c r="B285" s="51"/>
      <c r="D285" s="44"/>
      <c r="AM285" s="53"/>
      <c r="AN285" s="53"/>
      <c r="AO285" s="53"/>
      <c r="BE285" s="47"/>
      <c r="BP285" s="45"/>
      <c r="BQ285" s="45"/>
      <c r="BR285" s="45"/>
      <c r="BS285" s="45"/>
      <c r="BT285" s="45"/>
      <c r="BU285" s="45"/>
      <c r="BV285" s="45"/>
      <c r="BW285" s="45"/>
      <c r="CG285" s="47"/>
    </row>
    <row r="286" spans="2:97" s="55" customFormat="1" ht="12.75" customHeight="1">
      <c r="B286" s="51"/>
      <c r="D286" s="44"/>
      <c r="AM286" s="53"/>
      <c r="AN286" s="53"/>
      <c r="AO286" s="53"/>
      <c r="BE286" s="47"/>
      <c r="BP286" s="45"/>
      <c r="BQ286" s="45"/>
      <c r="BR286" s="45"/>
      <c r="BS286" s="45"/>
      <c r="BT286" s="45"/>
      <c r="BU286" s="45"/>
      <c r="BV286" s="45"/>
      <c r="BW286" s="45"/>
      <c r="CG286" s="47"/>
    </row>
    <row r="287" spans="2:97" s="55" customFormat="1" ht="12.75" customHeight="1">
      <c r="B287" s="51"/>
      <c r="D287" s="44"/>
      <c r="AM287" s="53"/>
      <c r="AN287" s="53"/>
      <c r="AO287" s="53"/>
      <c r="BE287" s="47"/>
      <c r="BP287" s="45"/>
      <c r="BQ287" s="45"/>
      <c r="BR287" s="45"/>
      <c r="BS287" s="45"/>
      <c r="BT287" s="45"/>
      <c r="BU287" s="45"/>
      <c r="BV287" s="45"/>
      <c r="BW287" s="45"/>
      <c r="CG287" s="47"/>
    </row>
    <row r="288" spans="2:97" s="55" customFormat="1" ht="12.75" customHeight="1">
      <c r="B288" s="51"/>
      <c r="D288" s="44"/>
      <c r="AM288" s="53"/>
      <c r="AN288" s="53"/>
      <c r="AO288" s="53"/>
      <c r="BE288" s="47"/>
      <c r="BP288" s="45"/>
      <c r="BQ288" s="45"/>
      <c r="BR288" s="45"/>
      <c r="BS288" s="45"/>
      <c r="BT288" s="45"/>
      <c r="BU288" s="45"/>
      <c r="BV288" s="45"/>
      <c r="BW288" s="45"/>
      <c r="CG288" s="47"/>
    </row>
    <row r="289" spans="2:85" s="55" customFormat="1" ht="12.75" customHeight="1">
      <c r="B289" s="51"/>
      <c r="D289" s="44"/>
      <c r="AM289" s="53"/>
      <c r="AN289" s="53"/>
      <c r="AO289" s="53"/>
      <c r="BE289" s="47"/>
      <c r="BP289" s="45"/>
      <c r="BQ289" s="45"/>
      <c r="BR289" s="45"/>
      <c r="BS289" s="45"/>
      <c r="BT289" s="45"/>
      <c r="BU289" s="45"/>
      <c r="BV289" s="45"/>
      <c r="BW289" s="45"/>
      <c r="CG289" s="47"/>
    </row>
    <row r="290" spans="2:85" s="55" customFormat="1" ht="12.75" customHeight="1">
      <c r="B290" s="51"/>
      <c r="D290" s="44"/>
      <c r="AM290" s="53"/>
      <c r="AN290" s="53"/>
      <c r="AO290" s="53"/>
      <c r="BE290" s="47"/>
      <c r="BP290" s="45"/>
      <c r="BQ290" s="45"/>
      <c r="BR290" s="45"/>
      <c r="BS290" s="45"/>
      <c r="BT290" s="45"/>
      <c r="BU290" s="45"/>
      <c r="BV290" s="45"/>
      <c r="BW290" s="45"/>
      <c r="CG290" s="47"/>
    </row>
    <row r="291" spans="2:85" s="55" customFormat="1" ht="12.75" customHeight="1">
      <c r="B291" s="51"/>
      <c r="D291" s="44"/>
      <c r="AM291" s="53"/>
      <c r="AN291" s="53"/>
      <c r="AO291" s="53"/>
      <c r="BE291" s="47"/>
      <c r="BP291" s="45"/>
      <c r="BQ291" s="45"/>
      <c r="BR291" s="45"/>
      <c r="BS291" s="45"/>
      <c r="BT291" s="45"/>
      <c r="BU291" s="45"/>
      <c r="BV291" s="45"/>
      <c r="BW291" s="45"/>
      <c r="CG291" s="47"/>
    </row>
    <row r="292" spans="2:85" s="55" customFormat="1" ht="12.75" customHeight="1">
      <c r="B292" s="51"/>
      <c r="D292" s="44"/>
      <c r="AM292" s="53"/>
      <c r="AN292" s="53"/>
      <c r="AO292" s="53"/>
      <c r="BE292" s="47"/>
      <c r="BP292" s="45"/>
      <c r="BQ292" s="45"/>
      <c r="BR292" s="45"/>
      <c r="BS292" s="45"/>
      <c r="BT292" s="45"/>
      <c r="BU292" s="45"/>
      <c r="BV292" s="45"/>
      <c r="BW292" s="45"/>
      <c r="CG292" s="47"/>
    </row>
    <row r="293" spans="2:85" s="55" customFormat="1" ht="12.75" customHeight="1">
      <c r="B293" s="51"/>
      <c r="D293" s="44"/>
      <c r="AM293" s="53"/>
      <c r="AN293" s="53"/>
      <c r="AO293" s="53"/>
      <c r="BE293" s="47"/>
      <c r="BP293" s="45"/>
      <c r="BQ293" s="45"/>
      <c r="BR293" s="45"/>
      <c r="BS293" s="45"/>
      <c r="BT293" s="45"/>
      <c r="BU293" s="45"/>
      <c r="BV293" s="45"/>
      <c r="BW293" s="45"/>
      <c r="CG293" s="47"/>
    </row>
    <row r="294" spans="2:85" s="55" customFormat="1" ht="12.75" customHeight="1">
      <c r="B294" s="51"/>
      <c r="D294" s="44"/>
      <c r="AM294" s="53"/>
      <c r="AN294" s="53"/>
      <c r="AO294" s="53"/>
      <c r="BE294" s="47"/>
      <c r="BP294" s="45"/>
      <c r="BQ294" s="45"/>
      <c r="BR294" s="45"/>
      <c r="BS294" s="45"/>
      <c r="BT294" s="45"/>
      <c r="BU294" s="45"/>
      <c r="BV294" s="45"/>
      <c r="BW294" s="45"/>
      <c r="CG294" s="47"/>
    </row>
    <row r="295" spans="2:85" s="55" customFormat="1" ht="12.75" customHeight="1">
      <c r="B295" s="51"/>
      <c r="D295" s="44"/>
      <c r="AM295" s="53"/>
      <c r="AN295" s="53"/>
      <c r="AO295" s="53"/>
      <c r="BE295" s="47"/>
      <c r="BP295" s="45"/>
      <c r="BQ295" s="45"/>
      <c r="BR295" s="45"/>
      <c r="BS295" s="45"/>
      <c r="BT295" s="45"/>
      <c r="BU295" s="45"/>
      <c r="BV295" s="45"/>
      <c r="BW295" s="45"/>
      <c r="CG295" s="47"/>
    </row>
    <row r="296" spans="2:85" s="55" customFormat="1" ht="12.75" customHeight="1">
      <c r="B296" s="51"/>
      <c r="D296" s="44"/>
      <c r="AM296" s="53"/>
      <c r="AN296" s="53"/>
      <c r="AO296" s="53"/>
      <c r="BE296" s="47"/>
      <c r="BP296" s="45"/>
      <c r="BQ296" s="45"/>
      <c r="BR296" s="45"/>
      <c r="BS296" s="45"/>
      <c r="BT296" s="45"/>
      <c r="BU296" s="45"/>
      <c r="BV296" s="45"/>
      <c r="BW296" s="45"/>
      <c r="CG296" s="47"/>
    </row>
    <row r="297" spans="2:85" s="55" customFormat="1" ht="12.75" customHeight="1">
      <c r="B297" s="51"/>
      <c r="D297" s="44"/>
      <c r="AM297" s="53"/>
      <c r="AN297" s="53"/>
      <c r="AO297" s="53"/>
      <c r="BE297" s="47"/>
      <c r="BP297" s="45"/>
      <c r="BQ297" s="45"/>
      <c r="BR297" s="45"/>
      <c r="BS297" s="45"/>
      <c r="BT297" s="45"/>
      <c r="BU297" s="45"/>
      <c r="BV297" s="45"/>
      <c r="BW297" s="45"/>
      <c r="CG297" s="47"/>
    </row>
    <row r="298" spans="2:85" s="55" customFormat="1" ht="12.75" customHeight="1">
      <c r="B298" s="51"/>
      <c r="D298" s="44"/>
      <c r="AM298" s="53"/>
      <c r="AN298" s="53"/>
      <c r="AO298" s="53"/>
      <c r="BE298" s="47"/>
      <c r="BP298" s="45"/>
      <c r="BQ298" s="45"/>
      <c r="BR298" s="45"/>
      <c r="BS298" s="45"/>
      <c r="BT298" s="45"/>
      <c r="BU298" s="45"/>
      <c r="BV298" s="45"/>
      <c r="BW298" s="45"/>
      <c r="CG298" s="47"/>
    </row>
    <row r="299" spans="2:85" s="55" customFormat="1" ht="12.75" customHeight="1">
      <c r="B299" s="51"/>
      <c r="D299" s="44"/>
      <c r="BE299" s="47"/>
      <c r="BP299" s="45"/>
      <c r="BQ299" s="45"/>
      <c r="BR299" s="45"/>
      <c r="BS299" s="45"/>
      <c r="BT299" s="45"/>
      <c r="BU299" s="45"/>
      <c r="BV299" s="45"/>
      <c r="BW299" s="45"/>
      <c r="CG299" s="47"/>
    </row>
    <row r="300" spans="2:85" s="55" customFormat="1" ht="12.75" customHeight="1">
      <c r="B300" s="51"/>
      <c r="D300" s="44"/>
      <c r="BE300" s="47"/>
      <c r="BP300" s="45"/>
      <c r="BQ300" s="45"/>
      <c r="BR300" s="45"/>
      <c r="BS300" s="45"/>
      <c r="BT300" s="45"/>
      <c r="BU300" s="45"/>
      <c r="BV300" s="45"/>
      <c r="BW300" s="45"/>
      <c r="CG300" s="47"/>
    </row>
    <row r="301" spans="2:85" s="55" customFormat="1" ht="12.75" customHeight="1">
      <c r="B301" s="51"/>
      <c r="D301" s="44"/>
      <c r="BE301" s="47"/>
      <c r="BP301" s="45"/>
      <c r="BQ301" s="45"/>
      <c r="BR301" s="45"/>
      <c r="BS301" s="45"/>
      <c r="BT301" s="45"/>
      <c r="BU301" s="45"/>
      <c r="BV301" s="45"/>
      <c r="BW301" s="45"/>
      <c r="CG301" s="47"/>
    </row>
    <row r="302" spans="2:85" s="55" customFormat="1" ht="12.75" customHeight="1">
      <c r="B302" s="51"/>
      <c r="D302" s="44"/>
      <c r="BE302" s="47"/>
      <c r="BP302" s="45"/>
      <c r="BQ302" s="45"/>
      <c r="BR302" s="45"/>
      <c r="BS302" s="45"/>
      <c r="BT302" s="45"/>
      <c r="BU302" s="45"/>
      <c r="BV302" s="45"/>
      <c r="BW302" s="45"/>
      <c r="CG302" s="47"/>
    </row>
    <row r="303" spans="2:85" s="55" customFormat="1" ht="12.75" customHeight="1">
      <c r="B303" s="51"/>
      <c r="D303" s="44"/>
      <c r="BE303" s="47"/>
      <c r="BP303" s="45"/>
      <c r="BQ303" s="45"/>
      <c r="BR303" s="45"/>
      <c r="BS303" s="45"/>
      <c r="BT303" s="45"/>
      <c r="BU303" s="45"/>
      <c r="BV303" s="45"/>
      <c r="BW303" s="45"/>
      <c r="CG303" s="47"/>
    </row>
    <row r="304" spans="2:85" s="55" customFormat="1" ht="12.75" customHeight="1">
      <c r="B304" s="51"/>
      <c r="D304" s="44"/>
      <c r="BE304" s="47"/>
      <c r="BP304" s="45"/>
      <c r="BQ304" s="45"/>
      <c r="BR304" s="45"/>
      <c r="BS304" s="45"/>
      <c r="BT304" s="45"/>
      <c r="BU304" s="45"/>
      <c r="BV304" s="45"/>
      <c r="BW304" s="45"/>
      <c r="CG304" s="47"/>
    </row>
    <row r="305" spans="2:85" s="55" customFormat="1" ht="12.75" customHeight="1">
      <c r="B305" s="51"/>
      <c r="D305" s="44"/>
      <c r="BE305" s="47"/>
      <c r="BP305" s="45"/>
      <c r="BQ305" s="45"/>
      <c r="BR305" s="45"/>
      <c r="BS305" s="45"/>
      <c r="BT305" s="45"/>
      <c r="BU305" s="45"/>
      <c r="BV305" s="45"/>
      <c r="BW305" s="45"/>
      <c r="CG305" s="47"/>
    </row>
    <row r="306" spans="2:85" s="55" customFormat="1" ht="12.75" customHeight="1">
      <c r="B306" s="51"/>
      <c r="D306" s="44"/>
      <c r="BE306" s="47"/>
      <c r="BP306" s="45"/>
      <c r="BQ306" s="45"/>
      <c r="BR306" s="45"/>
      <c r="BS306" s="45"/>
      <c r="BT306" s="45"/>
      <c r="BU306" s="45"/>
      <c r="BV306" s="45"/>
      <c r="BW306" s="45"/>
      <c r="CG306" s="47"/>
    </row>
    <row r="307" spans="2:85" s="55" customFormat="1" ht="12.75" customHeight="1">
      <c r="B307" s="51"/>
      <c r="D307" s="44"/>
      <c r="BE307" s="47"/>
      <c r="BP307" s="45"/>
      <c r="BQ307" s="45"/>
      <c r="BR307" s="45"/>
      <c r="BS307" s="45"/>
      <c r="BT307" s="45"/>
      <c r="BU307" s="45"/>
      <c r="BV307" s="45"/>
      <c r="BW307" s="45"/>
      <c r="CG307" s="47"/>
    </row>
    <row r="308" spans="2:85" s="55" customFormat="1" ht="12.75" customHeight="1">
      <c r="B308" s="51"/>
      <c r="D308" s="44"/>
      <c r="BE308" s="47"/>
      <c r="BP308" s="45"/>
      <c r="BQ308" s="45"/>
      <c r="BR308" s="45"/>
      <c r="BS308" s="45"/>
      <c r="BT308" s="45"/>
      <c r="BU308" s="45"/>
      <c r="BV308" s="45"/>
      <c r="BW308" s="45"/>
      <c r="CG308" s="47"/>
    </row>
    <row r="309" spans="2:85" s="55" customFormat="1" ht="12.75" customHeight="1">
      <c r="B309" s="51"/>
      <c r="D309" s="44"/>
      <c r="BE309" s="47"/>
      <c r="BP309" s="45"/>
      <c r="BQ309" s="45"/>
      <c r="BR309" s="45"/>
      <c r="BS309" s="45"/>
      <c r="BT309" s="45"/>
      <c r="BU309" s="45"/>
      <c r="BV309" s="45"/>
      <c r="BW309" s="45"/>
      <c r="CG309" s="47"/>
    </row>
    <row r="310" spans="2:85" s="55" customFormat="1" ht="12.75" customHeight="1">
      <c r="B310" s="51"/>
      <c r="D310" s="44"/>
      <c r="BE310" s="47"/>
      <c r="BP310" s="45"/>
      <c r="BQ310" s="45"/>
      <c r="BR310" s="45"/>
      <c r="BS310" s="45"/>
      <c r="BT310" s="45"/>
      <c r="BU310" s="45"/>
      <c r="BV310" s="45"/>
      <c r="BW310" s="45"/>
      <c r="CG310" s="47"/>
    </row>
    <row r="311" spans="2:85" s="55" customFormat="1" ht="12.75" customHeight="1">
      <c r="B311" s="51"/>
      <c r="D311" s="44"/>
      <c r="BE311" s="47"/>
      <c r="BP311" s="45"/>
      <c r="BQ311" s="45"/>
      <c r="BR311" s="45"/>
      <c r="BS311" s="45"/>
      <c r="BT311" s="45"/>
      <c r="BU311" s="45"/>
      <c r="BV311" s="45"/>
      <c r="BW311" s="45"/>
      <c r="CG311" s="47"/>
    </row>
    <row r="312" spans="2:85" s="55" customFormat="1" ht="12.75" customHeight="1">
      <c r="B312" s="51"/>
      <c r="D312" s="44"/>
      <c r="BE312" s="47"/>
      <c r="BP312" s="45"/>
      <c r="BQ312" s="45"/>
      <c r="BR312" s="45"/>
      <c r="BS312" s="45"/>
      <c r="BT312" s="45"/>
      <c r="BU312" s="45"/>
      <c r="BV312" s="45"/>
      <c r="BW312" s="45"/>
      <c r="CG312" s="47"/>
    </row>
    <row r="313" spans="2:85" s="55" customFormat="1" ht="12.75" customHeight="1">
      <c r="B313" s="51"/>
      <c r="D313" s="44"/>
      <c r="BE313" s="47"/>
      <c r="BP313" s="45"/>
      <c r="BQ313" s="45"/>
      <c r="BR313" s="45"/>
      <c r="BS313" s="45"/>
      <c r="BT313" s="45"/>
      <c r="BU313" s="45"/>
      <c r="BV313" s="45"/>
      <c r="BW313" s="45"/>
      <c r="CG313" s="47"/>
    </row>
    <row r="314" spans="2:85" s="55" customFormat="1" ht="12.75" customHeight="1">
      <c r="B314" s="51"/>
      <c r="D314" s="44"/>
      <c r="BE314" s="47"/>
      <c r="BP314" s="45"/>
      <c r="BQ314" s="45"/>
      <c r="BR314" s="45"/>
      <c r="BS314" s="45"/>
      <c r="BT314" s="45"/>
      <c r="BU314" s="45"/>
      <c r="BV314" s="45"/>
      <c r="BW314" s="45"/>
      <c r="CG314" s="47"/>
    </row>
    <row r="315" spans="2:85" s="55" customFormat="1" ht="12.75" customHeight="1">
      <c r="B315" s="51"/>
      <c r="D315" s="44"/>
      <c r="BE315" s="47"/>
      <c r="BP315" s="45"/>
      <c r="BQ315" s="45"/>
      <c r="BR315" s="45"/>
      <c r="BS315" s="45"/>
      <c r="BT315" s="45"/>
      <c r="BU315" s="45"/>
      <c r="BV315" s="45"/>
      <c r="BW315" s="45"/>
      <c r="CG315" s="47"/>
    </row>
  </sheetData>
  <mergeCells count="1">
    <mergeCell ref="Q5:U5"/>
  </mergeCells>
  <phoneticPr fontId="4" type="noConversion"/>
  <pageMargins left="0.75" right="0.75" top="0.5" bottom="0.5" header="0" footer="0.25"/>
  <pageSetup scale="84" firstPageNumber="92" pageOrder="overThenDown" orientation="portrait" useFirstPageNumber="1" r:id="rId1"/>
  <headerFooter alignWithMargins="0">
    <oddFooter>&amp;C&amp;"Times New Roman,Regular"&amp;11&amp;P</oddFooter>
  </headerFooter>
  <rowBreaks count="6" manualBreakCount="6">
    <brk id="88" max="22" man="1"/>
    <brk id="88" min="24" max="50" man="1"/>
    <brk id="88" min="52" max="64" man="1"/>
    <brk id="174" max="22" man="1"/>
    <brk id="174" min="24" max="50" man="1"/>
    <brk id="174" min="52" max="64" man="1"/>
  </rowBreaks>
  <colBreaks count="2" manualBreakCount="2">
    <brk id="12" min="9" max="250" man="1"/>
    <brk id="38" min="9" max="25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dimension ref="A1:BV314"/>
  <sheetViews>
    <sheetView view="pageBreakPreview" zoomScaleNormal="100" zoomScaleSheetLayoutView="100" workbookViewId="0">
      <pane xSplit="3" ySplit="9" topLeftCell="D10" activePane="bottomRight" state="frozen"/>
      <selection sqref="A1:IV65536"/>
      <selection pane="topRight" sqref="A1:IV65536"/>
      <selection pane="bottomLeft" sqref="A1:IV65536"/>
      <selection pane="bottomRight" activeCell="A39" sqref="A39:XFD39"/>
    </sheetView>
  </sheetViews>
  <sheetFormatPr defaultColWidth="8.44140625" defaultRowHeight="12.75" customHeight="1"/>
  <cols>
    <col min="1" max="1" width="15.33203125" style="55" customWidth="1"/>
    <col min="2" max="2" width="1.6640625" style="51" customWidth="1"/>
    <col min="3" max="3" width="10.5546875" style="55" customWidth="1"/>
    <col min="4" max="4" width="1.6640625" style="55" customWidth="1"/>
    <col min="5" max="5" width="11.6640625" style="55" customWidth="1"/>
    <col min="6" max="6" width="1.6640625" style="55" customWidth="1"/>
    <col min="7" max="7" width="11.6640625" style="55" customWidth="1"/>
    <col min="8" max="8" width="1.6640625" style="55" customWidth="1"/>
    <col min="9" max="9" width="11.6640625" style="55" customWidth="1"/>
    <col min="10" max="10" width="1.6640625" style="55" customWidth="1"/>
    <col min="11" max="11" width="11.6640625" style="55" customWidth="1"/>
    <col min="12" max="12" width="1.6640625" style="55" customWidth="1"/>
    <col min="13" max="13" width="11.6640625" style="55" customWidth="1"/>
    <col min="14" max="14" width="1.6640625" style="55" customWidth="1"/>
    <col min="15" max="15" width="11.6640625" style="55" customWidth="1"/>
    <col min="16" max="16" width="1.6640625" style="55" customWidth="1"/>
    <col min="17" max="17" width="11.6640625" style="55" customWidth="1"/>
    <col min="18" max="18" width="1.88671875" style="55" customWidth="1"/>
    <col min="19" max="19" width="11.6640625" style="55" customWidth="1"/>
    <col min="20" max="20" width="1.6640625" style="55" customWidth="1"/>
    <col min="21" max="21" width="11.6640625" style="55" customWidth="1"/>
    <col min="22" max="22" width="1.6640625" style="55" customWidth="1"/>
    <col min="23" max="23" width="11.6640625" style="55" customWidth="1"/>
    <col min="24" max="24" width="14.5546875" style="55" customWidth="1"/>
    <col min="25" max="25" width="15.33203125" style="55" customWidth="1"/>
    <col min="26" max="26" width="1.6640625" style="47" customWidth="1"/>
    <col min="27" max="27" width="10.5546875" style="55" customWidth="1"/>
    <col min="28" max="28" width="1.6640625" style="55" customWidth="1"/>
    <col min="29" max="29" width="11.6640625" style="55" customWidth="1"/>
    <col min="30" max="30" width="1.6640625" style="55" customWidth="1"/>
    <col min="31" max="31" width="11.6640625" style="55" customWidth="1"/>
    <col min="32" max="32" width="1.6640625" style="55" customWidth="1"/>
    <col min="33" max="33" width="11.6640625" style="55" customWidth="1"/>
    <col min="34" max="34" width="1.6640625" style="55" customWidth="1"/>
    <col min="35" max="35" width="11.6640625" style="55" customWidth="1"/>
    <col min="36" max="36" width="1.6640625" style="55" customWidth="1"/>
    <col min="37" max="37" width="11.6640625" style="45" customWidth="1"/>
    <col min="38" max="38" width="1.6640625" style="45" customWidth="1"/>
    <col min="39" max="39" width="11.6640625" style="45" customWidth="1"/>
    <col min="40" max="40" width="1.6640625" style="45" customWidth="1"/>
    <col min="41" max="41" width="11.6640625" style="45" customWidth="1"/>
    <col min="42" max="42" width="1.6640625" style="45" customWidth="1"/>
    <col min="43" max="43" width="11.6640625" style="45" customWidth="1"/>
    <col min="44" max="44" width="1.6640625" style="45" customWidth="1"/>
    <col min="45" max="45" width="11.6640625" style="55" customWidth="1"/>
    <col min="46" max="46" width="1.6640625" style="55" customWidth="1"/>
    <col min="47" max="47" width="11.6640625" style="55" hidden="1" customWidth="1"/>
    <col min="48" max="48" width="1.6640625" style="55" hidden="1" customWidth="1"/>
    <col min="49" max="49" width="11.6640625" style="55" hidden="1" customWidth="1"/>
    <col min="50" max="50" width="1.6640625" style="55" hidden="1" customWidth="1"/>
    <col min="51" max="52" width="11.6640625" style="55" customWidth="1"/>
    <col min="53" max="53" width="15.33203125" style="55" customWidth="1"/>
    <col min="54" max="54" width="1.6640625" style="47" customWidth="1"/>
    <col min="55" max="55" width="10.5546875" style="55" customWidth="1"/>
    <col min="56" max="56" width="1.6640625" style="55" customWidth="1"/>
    <col min="57" max="57" width="11.6640625" style="55" customWidth="1"/>
    <col min="58" max="58" width="1.6640625" style="55" customWidth="1"/>
    <col min="59" max="59" width="11.6640625" style="55" customWidth="1"/>
    <col min="60" max="60" width="1.6640625" style="55" customWidth="1"/>
    <col min="61" max="61" width="11.6640625" style="55" customWidth="1"/>
    <col min="62" max="62" width="1.6640625" style="55" customWidth="1"/>
    <col min="63" max="63" width="11.6640625" style="55" customWidth="1"/>
    <col min="64" max="64" width="1.6640625" style="55" customWidth="1"/>
    <col min="65" max="65" width="11.6640625" style="55" customWidth="1"/>
    <col min="66" max="66" width="1.6640625" style="55" hidden="1" customWidth="1"/>
    <col min="67" max="67" width="11.6640625" style="55" hidden="1" customWidth="1"/>
    <col min="68" max="68" width="1.6640625" style="55" hidden="1" customWidth="1"/>
    <col min="69" max="69" width="11.6640625" style="55" hidden="1" customWidth="1"/>
    <col min="70" max="70" width="1.6640625" style="55" customWidth="1"/>
    <col min="71" max="71" width="11.6640625" style="55" customWidth="1"/>
    <col min="72" max="72" width="1.6640625" style="55" customWidth="1"/>
    <col min="73" max="73" width="11.6640625" style="55" customWidth="1"/>
    <col min="74" max="74" width="1.6640625" style="55" customWidth="1"/>
    <col min="75" max="75" width="11.6640625" style="55" customWidth="1"/>
    <col min="76" max="76" width="1.6640625" style="55" customWidth="1"/>
    <col min="77" max="77" width="11.6640625" style="55" customWidth="1"/>
    <col min="78" max="78" width="1.6640625" style="55" customWidth="1"/>
    <col min="79" max="79" width="11.6640625" style="55" customWidth="1"/>
    <col min="80" max="80" width="1.6640625" style="55" customWidth="1"/>
    <col min="81" max="81" width="11.6640625" style="55" customWidth="1"/>
    <col min="82" max="82" width="1.6640625" style="55" customWidth="1"/>
    <col min="83" max="83" width="11.6640625" style="55" customWidth="1"/>
    <col min="84" max="84" width="1.6640625" style="55" customWidth="1"/>
    <col min="85" max="85" width="11.6640625" style="55" customWidth="1"/>
    <col min="86" max="86" width="1.6640625" style="55" customWidth="1"/>
    <col min="87" max="16384" width="8.44140625" style="55"/>
  </cols>
  <sheetData>
    <row r="1" spans="1:66" s="85" customFormat="1" ht="12.75" customHeight="1">
      <c r="A1" s="74" t="s">
        <v>393</v>
      </c>
      <c r="C1" s="86"/>
      <c r="D1" s="86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4" t="s">
        <v>393</v>
      </c>
      <c r="AA1" s="86"/>
      <c r="AB1" s="86"/>
      <c r="AC1" s="74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74" t="s">
        <v>393</v>
      </c>
      <c r="BC1" s="86"/>
      <c r="BD1" s="86"/>
      <c r="BE1" s="35"/>
      <c r="BF1" s="35"/>
      <c r="BG1" s="35"/>
      <c r="BH1" s="35"/>
      <c r="BI1" s="35"/>
      <c r="BJ1" s="35"/>
      <c r="BK1" s="35"/>
      <c r="BL1" s="35"/>
      <c r="BM1" s="75"/>
      <c r="BN1" s="75"/>
    </row>
    <row r="2" spans="1:66" s="85" customFormat="1" ht="12.75" customHeight="1">
      <c r="A2" s="92" t="s">
        <v>472</v>
      </c>
      <c r="C2" s="86"/>
      <c r="D2" s="86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92" t="s">
        <v>473</v>
      </c>
      <c r="AA2" s="86"/>
      <c r="AB2" s="86"/>
      <c r="AC2" s="92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76" t="s">
        <v>348</v>
      </c>
      <c r="BC2" s="86"/>
      <c r="BD2" s="86"/>
      <c r="BE2" s="35"/>
      <c r="BF2" s="35"/>
      <c r="BG2" s="35"/>
      <c r="BH2" s="35"/>
      <c r="BI2" s="35"/>
      <c r="BJ2" s="35"/>
      <c r="BK2" s="35"/>
      <c r="BL2" s="35"/>
      <c r="BM2" s="75"/>
      <c r="BN2" s="75"/>
    </row>
    <row r="3" spans="1:66" ht="12.75" customHeight="1">
      <c r="A3" s="74" t="s">
        <v>495</v>
      </c>
      <c r="C3" s="87"/>
      <c r="D3" s="87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74" t="s">
        <v>495</v>
      </c>
      <c r="Z3" s="55"/>
      <c r="AA3" s="87"/>
      <c r="AB3" s="87"/>
      <c r="AC3" s="74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74" t="s">
        <v>495</v>
      </c>
      <c r="BB3" s="55"/>
      <c r="BC3" s="87"/>
      <c r="BD3" s="87"/>
      <c r="BE3" s="35"/>
      <c r="BF3" s="35"/>
      <c r="BG3" s="35"/>
      <c r="BH3" s="35"/>
      <c r="BI3" s="35"/>
      <c r="BJ3" s="35"/>
      <c r="BK3" s="35"/>
      <c r="BL3" s="35"/>
      <c r="BM3" s="35"/>
      <c r="BN3" s="35"/>
    </row>
    <row r="4" spans="1:66" ht="12.75" customHeight="1">
      <c r="A4" s="88" t="s">
        <v>289</v>
      </c>
      <c r="C4" s="87"/>
      <c r="D4" s="87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88" t="s">
        <v>289</v>
      </c>
      <c r="Z4" s="55"/>
      <c r="AA4" s="87"/>
      <c r="AB4" s="87"/>
      <c r="AC4" s="8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88" t="s">
        <v>289</v>
      </c>
      <c r="BB4" s="55"/>
      <c r="BC4" s="87"/>
      <c r="BD4" s="87"/>
      <c r="BE4" s="35"/>
      <c r="BF4" s="35"/>
      <c r="BG4" s="35"/>
      <c r="BH4" s="35"/>
      <c r="BI4" s="35"/>
      <c r="BJ4" s="35"/>
      <c r="BK4" s="35"/>
      <c r="BL4" s="35"/>
      <c r="BM4" s="35"/>
      <c r="BN4" s="35"/>
    </row>
    <row r="5" spans="1:66" ht="12.75" customHeight="1">
      <c r="A5" s="88"/>
      <c r="C5" s="87"/>
      <c r="D5" s="87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V5" s="35"/>
      <c r="W5" s="35"/>
      <c r="X5" s="35"/>
      <c r="Y5" s="88"/>
      <c r="Z5" s="55"/>
      <c r="AA5" s="87"/>
      <c r="AB5" s="87"/>
      <c r="AC5" s="74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88"/>
      <c r="BB5" s="55"/>
      <c r="BC5" s="87"/>
      <c r="BD5" s="87"/>
      <c r="BL5" s="35"/>
      <c r="BM5" s="35"/>
      <c r="BN5" s="35"/>
    </row>
    <row r="6" spans="1:66" ht="12.75" customHeight="1">
      <c r="A6" s="89"/>
      <c r="C6" s="89"/>
      <c r="D6" s="89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158" t="s">
        <v>2</v>
      </c>
      <c r="R6" s="158"/>
      <c r="S6" s="158"/>
      <c r="T6" s="158"/>
      <c r="U6" s="158"/>
      <c r="V6" s="93"/>
      <c r="W6" s="93"/>
      <c r="X6" s="77"/>
      <c r="Y6" s="89"/>
      <c r="Z6" s="55"/>
      <c r="AA6" s="89"/>
      <c r="AB6" s="89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8" t="s">
        <v>411</v>
      </c>
      <c r="AV6" s="35"/>
      <c r="AW6" s="8" t="s">
        <v>412</v>
      </c>
      <c r="AX6" s="35"/>
      <c r="AY6" s="35"/>
      <c r="AZ6" s="35"/>
      <c r="BA6" s="89"/>
      <c r="BB6" s="55"/>
      <c r="BC6" s="89"/>
      <c r="BD6" s="89"/>
      <c r="BE6" s="34" t="s">
        <v>348</v>
      </c>
      <c r="BF6" s="34"/>
      <c r="BG6" s="34"/>
      <c r="BH6" s="34"/>
      <c r="BI6" s="34"/>
      <c r="BJ6" s="34"/>
      <c r="BK6" s="34"/>
      <c r="BL6" s="77"/>
      <c r="BM6" s="35"/>
      <c r="BN6" s="35"/>
    </row>
    <row r="7" spans="1:66" s="89" customFormat="1" ht="12.75" customHeight="1"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 t="s">
        <v>7</v>
      </c>
      <c r="AC7" s="8"/>
      <c r="AD7" s="8"/>
      <c r="AE7" s="8"/>
      <c r="AF7" s="8"/>
      <c r="AG7" s="8"/>
      <c r="AH7" s="8"/>
      <c r="AI7" s="8"/>
      <c r="AJ7" s="8"/>
      <c r="AK7" s="8" t="s">
        <v>354</v>
      </c>
      <c r="AL7" s="8"/>
      <c r="AM7" s="8"/>
      <c r="AN7" s="8"/>
      <c r="AO7" s="8"/>
      <c r="AP7" s="8"/>
      <c r="AQ7" s="8"/>
      <c r="AR7" s="8"/>
      <c r="AS7" s="8"/>
      <c r="AT7" s="8"/>
      <c r="AU7" s="8" t="s">
        <v>349</v>
      </c>
      <c r="AV7" s="8"/>
      <c r="AW7" s="8" t="s">
        <v>349</v>
      </c>
      <c r="AX7" s="8"/>
      <c r="AY7" s="8"/>
      <c r="AZ7" s="8"/>
      <c r="BE7" s="8" t="s">
        <v>296</v>
      </c>
      <c r="BF7" s="8"/>
      <c r="BG7" s="8" t="s">
        <v>350</v>
      </c>
      <c r="BH7" s="8"/>
      <c r="BI7" s="8"/>
      <c r="BJ7" s="8"/>
      <c r="BK7" s="8" t="s">
        <v>294</v>
      </c>
      <c r="BL7" s="8"/>
      <c r="BM7" s="8" t="s">
        <v>6</v>
      </c>
      <c r="BN7" s="54"/>
    </row>
    <row r="8" spans="1:66" s="89" customFormat="1" ht="12.75" customHeight="1">
      <c r="E8" s="8" t="s">
        <v>3</v>
      </c>
      <c r="F8" s="8"/>
      <c r="G8" s="8" t="s">
        <v>351</v>
      </c>
      <c r="H8" s="8"/>
      <c r="I8" s="8" t="s">
        <v>6</v>
      </c>
      <c r="J8" s="8"/>
      <c r="K8" s="8" t="s">
        <v>3</v>
      </c>
      <c r="L8" s="8"/>
      <c r="M8" s="8" t="s">
        <v>352</v>
      </c>
      <c r="N8" s="8"/>
      <c r="O8" s="8" t="s">
        <v>6</v>
      </c>
      <c r="P8" s="8"/>
      <c r="Q8" s="89" t="s">
        <v>4</v>
      </c>
      <c r="R8" s="8"/>
      <c r="S8" s="8"/>
      <c r="T8" s="8"/>
      <c r="U8" s="8"/>
      <c r="V8" s="8"/>
      <c r="W8" s="8" t="s">
        <v>6</v>
      </c>
      <c r="X8" s="8"/>
      <c r="AC8" s="8" t="s">
        <v>345</v>
      </c>
      <c r="AD8" s="8"/>
      <c r="AE8" s="8" t="s">
        <v>353</v>
      </c>
      <c r="AF8" s="8"/>
      <c r="AG8" s="8"/>
      <c r="AH8" s="8"/>
      <c r="AI8" s="8" t="s">
        <v>345</v>
      </c>
      <c r="AJ8" s="8"/>
      <c r="AK8" s="89" t="s">
        <v>373</v>
      </c>
      <c r="AL8" s="8"/>
      <c r="AM8" s="8"/>
      <c r="AN8" s="8"/>
      <c r="AO8" s="8"/>
      <c r="AP8" s="8"/>
      <c r="AQ8" s="8" t="s">
        <v>4</v>
      </c>
      <c r="AR8" s="8"/>
      <c r="AS8" s="8" t="s">
        <v>368</v>
      </c>
      <c r="AT8" s="8"/>
      <c r="AU8" s="8" t="s">
        <v>413</v>
      </c>
      <c r="AV8" s="8"/>
      <c r="AW8" s="8" t="s">
        <v>419</v>
      </c>
      <c r="AX8" s="8"/>
      <c r="AY8" s="8" t="s">
        <v>355</v>
      </c>
      <c r="AZ8" s="8"/>
      <c r="BE8" s="8" t="s">
        <v>356</v>
      </c>
      <c r="BF8" s="8"/>
      <c r="BG8" s="8" t="s">
        <v>302</v>
      </c>
      <c r="BH8" s="8"/>
      <c r="BI8" s="8"/>
      <c r="BJ8" s="8"/>
      <c r="BK8" s="8" t="s">
        <v>352</v>
      </c>
      <c r="BL8" s="8"/>
      <c r="BM8" s="8" t="s">
        <v>352</v>
      </c>
      <c r="BN8" s="54"/>
    </row>
    <row r="9" spans="1:66" s="89" customFormat="1" ht="12.75" customHeight="1">
      <c r="A9" s="7" t="s">
        <v>8</v>
      </c>
      <c r="C9" s="7" t="s">
        <v>9</v>
      </c>
      <c r="D9" s="8"/>
      <c r="E9" s="7" t="s">
        <v>0</v>
      </c>
      <c r="F9" s="8"/>
      <c r="G9" s="7" t="s">
        <v>0</v>
      </c>
      <c r="H9" s="8"/>
      <c r="I9" s="7" t="s">
        <v>0</v>
      </c>
      <c r="J9" s="8"/>
      <c r="K9" s="7" t="s">
        <v>1</v>
      </c>
      <c r="L9" s="8"/>
      <c r="M9" s="7" t="s">
        <v>1</v>
      </c>
      <c r="N9" s="7"/>
      <c r="O9" s="7" t="s">
        <v>1</v>
      </c>
      <c r="P9" s="8"/>
      <c r="Q9" s="7" t="s">
        <v>0</v>
      </c>
      <c r="R9" s="8"/>
      <c r="S9" s="7" t="s">
        <v>10</v>
      </c>
      <c r="T9" s="8"/>
      <c r="U9" s="7" t="s">
        <v>11</v>
      </c>
      <c r="V9" s="8"/>
      <c r="W9" s="7" t="s">
        <v>2</v>
      </c>
      <c r="X9" s="8"/>
      <c r="Y9" s="7" t="s">
        <v>8</v>
      </c>
      <c r="AA9" s="7" t="s">
        <v>9</v>
      </c>
      <c r="AB9" s="8"/>
      <c r="AC9" s="78" t="s">
        <v>302</v>
      </c>
      <c r="AD9" s="8"/>
      <c r="AE9" s="78" t="s">
        <v>357</v>
      </c>
      <c r="AF9" s="8"/>
      <c r="AG9" s="78" t="s">
        <v>357</v>
      </c>
      <c r="AH9" s="8"/>
      <c r="AI9" s="78" t="s">
        <v>358</v>
      </c>
      <c r="AJ9" s="8"/>
      <c r="AK9" s="78" t="s">
        <v>374</v>
      </c>
      <c r="AL9" s="8"/>
      <c r="AM9" s="78" t="s">
        <v>359</v>
      </c>
      <c r="AN9" s="8"/>
      <c r="AO9" s="78" t="s">
        <v>360</v>
      </c>
      <c r="AP9" s="8"/>
      <c r="AQ9" s="7" t="s">
        <v>361</v>
      </c>
      <c r="AR9" s="8"/>
      <c r="AS9" s="78" t="s">
        <v>2</v>
      </c>
      <c r="AT9" s="8"/>
      <c r="AU9" s="7" t="s">
        <v>415</v>
      </c>
      <c r="AV9" s="8"/>
      <c r="AW9" s="7" t="s">
        <v>415</v>
      </c>
      <c r="AX9" s="8"/>
      <c r="AY9" s="78" t="s">
        <v>4</v>
      </c>
      <c r="AZ9" s="8"/>
      <c r="BA9" s="7" t="s">
        <v>8</v>
      </c>
      <c r="BC9" s="7" t="s">
        <v>9</v>
      </c>
      <c r="BD9" s="8"/>
      <c r="BE9" s="78" t="s">
        <v>362</v>
      </c>
      <c r="BF9" s="8"/>
      <c r="BG9" s="78" t="s">
        <v>362</v>
      </c>
      <c r="BH9" s="8"/>
      <c r="BI9" s="78" t="s">
        <v>363</v>
      </c>
      <c r="BJ9" s="8"/>
      <c r="BK9" s="78" t="s">
        <v>364</v>
      </c>
      <c r="BL9" s="8"/>
      <c r="BM9" s="7" t="s">
        <v>364</v>
      </c>
      <c r="BN9" s="54"/>
    </row>
    <row r="10" spans="1:66" s="89" customFormat="1" ht="12.75" customHeight="1">
      <c r="A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54"/>
    </row>
    <row r="11" spans="1:66" ht="12.75" hidden="1" customHeight="1">
      <c r="A11" s="35" t="s">
        <v>12</v>
      </c>
      <c r="C11" s="35" t="s">
        <v>13</v>
      </c>
      <c r="D11" s="35"/>
      <c r="E11" s="35">
        <f t="shared" ref="E11:E74" si="0">I11-G11</f>
        <v>0</v>
      </c>
      <c r="F11" s="35"/>
      <c r="G11" s="35"/>
      <c r="H11" s="35"/>
      <c r="I11" s="35"/>
      <c r="J11" s="35"/>
      <c r="K11" s="35">
        <f t="shared" ref="K11:K74" si="1">O11-M11</f>
        <v>0</v>
      </c>
      <c r="L11" s="35"/>
      <c r="M11" s="35">
        <f t="shared" ref="M11:M38" si="2">SUM(BM11)</f>
        <v>0</v>
      </c>
      <c r="N11" s="35"/>
      <c r="O11" s="35"/>
      <c r="P11" s="35"/>
      <c r="Q11" s="35"/>
      <c r="R11" s="35"/>
      <c r="S11" s="35"/>
      <c r="T11" s="35"/>
      <c r="U11" s="35"/>
      <c r="V11" s="35"/>
      <c r="W11" s="35">
        <f t="shared" ref="W11:W33" si="3">SUM(Q11:U11)</f>
        <v>0</v>
      </c>
      <c r="X11" s="35"/>
      <c r="Y11" s="35" t="s">
        <v>12</v>
      </c>
      <c r="Z11" s="55"/>
      <c r="AA11" s="35" t="s">
        <v>13</v>
      </c>
      <c r="AB11" s="35"/>
      <c r="AC11" s="35"/>
      <c r="AD11" s="35"/>
      <c r="AE11" s="35"/>
      <c r="AF11" s="35"/>
      <c r="AG11" s="35"/>
      <c r="AH11" s="35"/>
      <c r="AI11" s="45">
        <f>+AC11-AE11-AG11</f>
        <v>0</v>
      </c>
      <c r="AJ11" s="45"/>
      <c r="AK11" s="35"/>
      <c r="AL11" s="35"/>
      <c r="AM11" s="35"/>
      <c r="AN11" s="35"/>
      <c r="AO11" s="35"/>
      <c r="AP11" s="35"/>
      <c r="AQ11" s="35"/>
      <c r="AR11" s="35"/>
      <c r="AS11" s="45">
        <f>+AI11+AK11+AM11-AO11+AQ11</f>
        <v>0</v>
      </c>
      <c r="AT11" s="45"/>
      <c r="AU11" s="35">
        <v>0</v>
      </c>
      <c r="AV11" s="35"/>
      <c r="AW11" s="35">
        <v>0</v>
      </c>
      <c r="AX11" s="35"/>
      <c r="AY11" s="35">
        <f t="shared" ref="AY11:AY42" si="4">+E11-K11</f>
        <v>0</v>
      </c>
      <c r="AZ11" s="35"/>
      <c r="BA11" s="35" t="s">
        <v>12</v>
      </c>
      <c r="BB11" s="55"/>
      <c r="BC11" s="35" t="s">
        <v>13</v>
      </c>
      <c r="BD11" s="35"/>
      <c r="BE11" s="35"/>
      <c r="BF11" s="35"/>
      <c r="BG11" s="35"/>
      <c r="BH11" s="35"/>
      <c r="BI11" s="35"/>
      <c r="BJ11" s="35"/>
      <c r="BK11" s="35"/>
      <c r="BL11" s="35"/>
      <c r="BM11" s="35">
        <f t="shared" ref="BM11:BM27" si="5">SUM(BE11:BK11)</f>
        <v>0</v>
      </c>
      <c r="BN11" s="54" t="s">
        <v>347</v>
      </c>
    </row>
    <row r="12" spans="1:66" ht="12.75" hidden="1" customHeight="1">
      <c r="A12" s="35" t="s">
        <v>14</v>
      </c>
      <c r="C12" s="35" t="s">
        <v>15</v>
      </c>
      <c r="D12" s="35"/>
      <c r="E12" s="35">
        <f t="shared" si="0"/>
        <v>0</v>
      </c>
      <c r="F12" s="35"/>
      <c r="G12" s="35">
        <v>0</v>
      </c>
      <c r="H12" s="35"/>
      <c r="I12" s="35">
        <v>0</v>
      </c>
      <c r="J12" s="35"/>
      <c r="K12" s="35">
        <f t="shared" si="1"/>
        <v>0</v>
      </c>
      <c r="L12" s="35"/>
      <c r="M12" s="35">
        <f t="shared" si="2"/>
        <v>0</v>
      </c>
      <c r="N12" s="35"/>
      <c r="O12" s="35">
        <v>0</v>
      </c>
      <c r="P12" s="35"/>
      <c r="Q12" s="35">
        <v>0</v>
      </c>
      <c r="R12" s="35"/>
      <c r="S12" s="35">
        <v>0</v>
      </c>
      <c r="T12" s="35"/>
      <c r="U12" s="35">
        <v>0</v>
      </c>
      <c r="V12" s="35"/>
      <c r="W12" s="35">
        <f t="shared" si="3"/>
        <v>0</v>
      </c>
      <c r="X12" s="35"/>
      <c r="Y12" s="35" t="s">
        <v>14</v>
      </c>
      <c r="Z12" s="55"/>
      <c r="AA12" s="35" t="s">
        <v>15</v>
      </c>
      <c r="AB12" s="35"/>
      <c r="AC12" s="35">
        <v>0</v>
      </c>
      <c r="AD12" s="35"/>
      <c r="AE12" s="35">
        <v>0</v>
      </c>
      <c r="AF12" s="35"/>
      <c r="AG12" s="35">
        <v>0</v>
      </c>
      <c r="AH12" s="35"/>
      <c r="AI12" s="45">
        <v>0</v>
      </c>
      <c r="AJ12" s="45"/>
      <c r="AK12" s="35">
        <v>0</v>
      </c>
      <c r="AL12" s="35"/>
      <c r="AM12" s="35">
        <v>0</v>
      </c>
      <c r="AN12" s="35"/>
      <c r="AO12" s="35">
        <v>0</v>
      </c>
      <c r="AP12" s="35"/>
      <c r="AQ12" s="35">
        <v>0</v>
      </c>
      <c r="AR12" s="35"/>
      <c r="AS12" s="45">
        <v>0</v>
      </c>
      <c r="AT12" s="45"/>
      <c r="AU12" s="35">
        <v>0</v>
      </c>
      <c r="AV12" s="35"/>
      <c r="AW12" s="35">
        <v>0</v>
      </c>
      <c r="AX12" s="35"/>
      <c r="AY12" s="35">
        <f t="shared" si="4"/>
        <v>0</v>
      </c>
      <c r="AZ12" s="35"/>
      <c r="BA12" s="35" t="s">
        <v>14</v>
      </c>
      <c r="BB12" s="55"/>
      <c r="BC12" s="35" t="s">
        <v>15</v>
      </c>
      <c r="BD12" s="35"/>
      <c r="BE12" s="35">
        <v>0</v>
      </c>
      <c r="BF12" s="35"/>
      <c r="BG12" s="35">
        <v>0</v>
      </c>
      <c r="BH12" s="35"/>
      <c r="BI12" s="35">
        <v>0</v>
      </c>
      <c r="BJ12" s="35"/>
      <c r="BK12" s="35">
        <v>0</v>
      </c>
      <c r="BL12" s="35"/>
      <c r="BM12" s="35">
        <f t="shared" si="5"/>
        <v>0</v>
      </c>
      <c r="BN12" s="54" t="s">
        <v>347</v>
      </c>
    </row>
    <row r="13" spans="1:66" s="90" customFormat="1" ht="12.75" hidden="1" customHeight="1">
      <c r="A13" s="35" t="s">
        <v>16</v>
      </c>
      <c r="B13" s="51"/>
      <c r="C13" s="35" t="s">
        <v>17</v>
      </c>
      <c r="D13" s="35"/>
      <c r="E13" s="64">
        <f t="shared" si="0"/>
        <v>0</v>
      </c>
      <c r="F13" s="64"/>
      <c r="G13" s="64"/>
      <c r="H13" s="64"/>
      <c r="I13" s="64"/>
      <c r="J13" s="64"/>
      <c r="K13" s="64">
        <f t="shared" si="1"/>
        <v>0</v>
      </c>
      <c r="L13" s="64"/>
      <c r="M13" s="64">
        <v>0</v>
      </c>
      <c r="N13" s="64"/>
      <c r="O13" s="64"/>
      <c r="P13" s="64"/>
      <c r="Q13" s="64"/>
      <c r="R13" s="64"/>
      <c r="S13" s="64">
        <v>0</v>
      </c>
      <c r="T13" s="64"/>
      <c r="U13" s="64"/>
      <c r="V13" s="64"/>
      <c r="W13" s="64">
        <f t="shared" si="3"/>
        <v>0</v>
      </c>
      <c r="X13" s="35"/>
      <c r="Y13" s="35" t="s">
        <v>16</v>
      </c>
      <c r="Z13" s="55"/>
      <c r="AA13" s="35" t="s">
        <v>17</v>
      </c>
      <c r="AB13" s="35"/>
      <c r="AC13" s="64">
        <v>0</v>
      </c>
      <c r="AD13" s="64"/>
      <c r="AE13" s="64">
        <v>0</v>
      </c>
      <c r="AF13" s="64"/>
      <c r="AG13" s="64">
        <v>0</v>
      </c>
      <c r="AH13" s="64"/>
      <c r="AI13" s="94">
        <f>+AC13-AE13-AG13</f>
        <v>0</v>
      </c>
      <c r="AJ13" s="94"/>
      <c r="AK13" s="64"/>
      <c r="AL13" s="64"/>
      <c r="AM13" s="64">
        <v>0</v>
      </c>
      <c r="AN13" s="64"/>
      <c r="AO13" s="64">
        <v>0</v>
      </c>
      <c r="AP13" s="64"/>
      <c r="AQ13" s="64">
        <v>0</v>
      </c>
      <c r="AR13" s="64"/>
      <c r="AS13" s="94">
        <f>+AI13+AK13+AM13-AO13+AQ13</f>
        <v>0</v>
      </c>
      <c r="AT13" s="94"/>
      <c r="AU13" s="64">
        <v>0</v>
      </c>
      <c r="AV13" s="64"/>
      <c r="AW13" s="64">
        <v>0</v>
      </c>
      <c r="AX13" s="64"/>
      <c r="AY13" s="64">
        <f t="shared" si="4"/>
        <v>0</v>
      </c>
      <c r="AZ13" s="35"/>
      <c r="BA13" s="35" t="s">
        <v>16</v>
      </c>
      <c r="BB13" s="55"/>
      <c r="BC13" s="35" t="s">
        <v>17</v>
      </c>
      <c r="BD13" s="35"/>
      <c r="BE13" s="64">
        <f>358101+850000</f>
        <v>1208101</v>
      </c>
      <c r="BF13" s="64"/>
      <c r="BG13" s="64"/>
      <c r="BH13" s="64"/>
      <c r="BI13" s="64"/>
      <c r="BJ13" s="64"/>
      <c r="BK13" s="64"/>
      <c r="BL13" s="64"/>
      <c r="BM13" s="64">
        <f t="shared" si="5"/>
        <v>1208101</v>
      </c>
      <c r="BN13" s="91" t="s">
        <v>347</v>
      </c>
    </row>
    <row r="14" spans="1:66" ht="12.75" hidden="1" customHeight="1">
      <c r="A14" s="35" t="s">
        <v>18</v>
      </c>
      <c r="C14" s="35" t="s">
        <v>18</v>
      </c>
      <c r="D14" s="35"/>
      <c r="E14" s="35">
        <f t="shared" si="0"/>
        <v>0</v>
      </c>
      <c r="F14" s="35"/>
      <c r="G14" s="35"/>
      <c r="H14" s="35"/>
      <c r="I14" s="35"/>
      <c r="J14" s="35"/>
      <c r="K14" s="35">
        <f t="shared" si="1"/>
        <v>0</v>
      </c>
      <c r="L14" s="35"/>
      <c r="M14" s="35">
        <f t="shared" si="2"/>
        <v>0</v>
      </c>
      <c r="N14" s="35"/>
      <c r="O14" s="35"/>
      <c r="P14" s="35"/>
      <c r="Q14" s="35"/>
      <c r="R14" s="35"/>
      <c r="S14" s="35">
        <v>0</v>
      </c>
      <c r="T14" s="35"/>
      <c r="U14" s="35"/>
      <c r="V14" s="35"/>
      <c r="W14" s="35">
        <f t="shared" si="3"/>
        <v>0</v>
      </c>
      <c r="X14" s="35"/>
      <c r="Y14" s="35" t="s">
        <v>18</v>
      </c>
      <c r="Z14" s="55"/>
      <c r="AA14" s="35" t="s">
        <v>18</v>
      </c>
      <c r="AB14" s="35"/>
      <c r="AC14" s="35">
        <v>0</v>
      </c>
      <c r="AD14" s="35"/>
      <c r="AE14" s="35">
        <v>0</v>
      </c>
      <c r="AF14" s="35"/>
      <c r="AG14" s="35">
        <v>0</v>
      </c>
      <c r="AH14" s="35"/>
      <c r="AI14" s="45">
        <f>+AC14-AE14-AG14</f>
        <v>0</v>
      </c>
      <c r="AJ14" s="45"/>
      <c r="AK14" s="35"/>
      <c r="AL14" s="35"/>
      <c r="AM14" s="35">
        <v>0</v>
      </c>
      <c r="AN14" s="35"/>
      <c r="AO14" s="35">
        <v>0</v>
      </c>
      <c r="AP14" s="35"/>
      <c r="AQ14" s="35">
        <v>0</v>
      </c>
      <c r="AR14" s="35"/>
      <c r="AS14" s="45">
        <f>+AI14+AK14+AM14-AO14+AQ14</f>
        <v>0</v>
      </c>
      <c r="AT14" s="45"/>
      <c r="AU14" s="35">
        <v>0</v>
      </c>
      <c r="AV14" s="35"/>
      <c r="AW14" s="35">
        <v>0</v>
      </c>
      <c r="AX14" s="35"/>
      <c r="AY14" s="35">
        <f t="shared" si="4"/>
        <v>0</v>
      </c>
      <c r="AZ14" s="35"/>
      <c r="BA14" s="35" t="s">
        <v>18</v>
      </c>
      <c r="BB14" s="55"/>
      <c r="BC14" s="35" t="s">
        <v>18</v>
      </c>
      <c r="BD14" s="35"/>
      <c r="BE14" s="35"/>
      <c r="BF14" s="35"/>
      <c r="BG14" s="35"/>
      <c r="BH14" s="35"/>
      <c r="BI14" s="35"/>
      <c r="BJ14" s="35"/>
      <c r="BK14" s="35"/>
      <c r="BL14" s="35"/>
      <c r="BM14" s="35">
        <f t="shared" si="5"/>
        <v>0</v>
      </c>
      <c r="BN14" s="54" t="s">
        <v>347</v>
      </c>
    </row>
    <row r="15" spans="1:66" ht="12.75" hidden="1" customHeight="1">
      <c r="A15" s="35" t="s">
        <v>19</v>
      </c>
      <c r="C15" s="35" t="s">
        <v>19</v>
      </c>
      <c r="D15" s="35"/>
      <c r="E15" s="35">
        <f t="shared" si="0"/>
        <v>0</v>
      </c>
      <c r="F15" s="35"/>
      <c r="G15" s="35"/>
      <c r="H15" s="35"/>
      <c r="I15" s="35"/>
      <c r="J15" s="35"/>
      <c r="K15" s="35">
        <f t="shared" si="1"/>
        <v>0</v>
      </c>
      <c r="L15" s="35"/>
      <c r="M15" s="35">
        <f t="shared" si="2"/>
        <v>0</v>
      </c>
      <c r="N15" s="35"/>
      <c r="O15" s="35"/>
      <c r="P15" s="35"/>
      <c r="Q15" s="35"/>
      <c r="R15" s="35"/>
      <c r="S15" s="35">
        <v>0</v>
      </c>
      <c r="T15" s="35"/>
      <c r="U15" s="35"/>
      <c r="V15" s="35"/>
      <c r="W15" s="35">
        <f t="shared" si="3"/>
        <v>0</v>
      </c>
      <c r="X15" s="35"/>
      <c r="Y15" s="35" t="s">
        <v>19</v>
      </c>
      <c r="Z15" s="55"/>
      <c r="AA15" s="35" t="s">
        <v>19</v>
      </c>
      <c r="AB15" s="35"/>
      <c r="AC15" s="35">
        <v>0</v>
      </c>
      <c r="AD15" s="35"/>
      <c r="AE15" s="35">
        <v>0</v>
      </c>
      <c r="AF15" s="35"/>
      <c r="AG15" s="35">
        <v>0</v>
      </c>
      <c r="AH15" s="35"/>
      <c r="AI15" s="45">
        <v>0</v>
      </c>
      <c r="AJ15" s="45"/>
      <c r="AK15" s="35"/>
      <c r="AL15" s="35"/>
      <c r="AM15" s="35">
        <v>0</v>
      </c>
      <c r="AN15" s="35"/>
      <c r="AO15" s="35">
        <v>0</v>
      </c>
      <c r="AP15" s="35"/>
      <c r="AQ15" s="35">
        <v>0</v>
      </c>
      <c r="AR15" s="35"/>
      <c r="AS15" s="45">
        <f>+AI15+AK15+AM15-AO15+AQ15</f>
        <v>0</v>
      </c>
      <c r="AT15" s="45"/>
      <c r="AU15" s="35">
        <v>0</v>
      </c>
      <c r="AV15" s="35"/>
      <c r="AW15" s="35">
        <v>0</v>
      </c>
      <c r="AX15" s="35"/>
      <c r="AY15" s="35">
        <f t="shared" si="4"/>
        <v>0</v>
      </c>
      <c r="AZ15" s="35"/>
      <c r="BA15" s="35" t="s">
        <v>19</v>
      </c>
      <c r="BB15" s="55"/>
      <c r="BC15" s="35" t="s">
        <v>19</v>
      </c>
      <c r="BD15" s="35"/>
      <c r="BE15" s="35"/>
      <c r="BF15" s="35"/>
      <c r="BG15" s="35"/>
      <c r="BH15" s="35"/>
      <c r="BI15" s="35"/>
      <c r="BJ15" s="35"/>
      <c r="BK15" s="35"/>
      <c r="BL15" s="35"/>
      <c r="BM15" s="35">
        <f t="shared" si="5"/>
        <v>0</v>
      </c>
      <c r="BN15" s="54" t="s">
        <v>347</v>
      </c>
    </row>
    <row r="16" spans="1:66" ht="12.75" hidden="1" customHeight="1">
      <c r="A16" s="35" t="s">
        <v>20</v>
      </c>
      <c r="C16" s="35" t="s">
        <v>20</v>
      </c>
      <c r="D16" s="35"/>
      <c r="E16" s="35">
        <f t="shared" si="0"/>
        <v>0</v>
      </c>
      <c r="F16" s="35"/>
      <c r="G16" s="35"/>
      <c r="H16" s="35"/>
      <c r="I16" s="35"/>
      <c r="J16" s="35"/>
      <c r="K16" s="35">
        <f t="shared" si="1"/>
        <v>0</v>
      </c>
      <c r="L16" s="35"/>
      <c r="M16" s="35">
        <f t="shared" si="2"/>
        <v>0</v>
      </c>
      <c r="N16" s="35"/>
      <c r="O16" s="35"/>
      <c r="P16" s="35"/>
      <c r="Q16" s="35"/>
      <c r="R16" s="35"/>
      <c r="S16" s="35">
        <v>0</v>
      </c>
      <c r="T16" s="35"/>
      <c r="U16" s="35"/>
      <c r="V16" s="35"/>
      <c r="W16" s="35">
        <f t="shared" si="3"/>
        <v>0</v>
      </c>
      <c r="X16" s="35"/>
      <c r="Y16" s="35" t="s">
        <v>20</v>
      </c>
      <c r="Z16" s="55"/>
      <c r="AA16" s="35" t="s">
        <v>20</v>
      </c>
      <c r="AB16" s="35"/>
      <c r="AC16" s="35">
        <v>0</v>
      </c>
      <c r="AD16" s="35"/>
      <c r="AE16" s="35">
        <v>0</v>
      </c>
      <c r="AF16" s="35"/>
      <c r="AG16" s="35">
        <v>0</v>
      </c>
      <c r="AH16" s="35"/>
      <c r="AI16" s="45">
        <v>0</v>
      </c>
      <c r="AJ16" s="45"/>
      <c r="AK16" s="35"/>
      <c r="AL16" s="35"/>
      <c r="AM16" s="35">
        <v>0</v>
      </c>
      <c r="AN16" s="35"/>
      <c r="AO16" s="35">
        <v>0</v>
      </c>
      <c r="AP16" s="35"/>
      <c r="AQ16" s="35">
        <v>0</v>
      </c>
      <c r="AR16" s="35"/>
      <c r="AS16" s="45">
        <f>+AI16+AK16+AM16-AO16+AQ16</f>
        <v>0</v>
      </c>
      <c r="AT16" s="45"/>
      <c r="AU16" s="35">
        <v>0</v>
      </c>
      <c r="AV16" s="35"/>
      <c r="AW16" s="35">
        <v>0</v>
      </c>
      <c r="AX16" s="35"/>
      <c r="AY16" s="35">
        <f t="shared" si="4"/>
        <v>0</v>
      </c>
      <c r="AZ16" s="35"/>
      <c r="BA16" s="35" t="s">
        <v>20</v>
      </c>
      <c r="BB16" s="55"/>
      <c r="BC16" s="35" t="s">
        <v>20</v>
      </c>
      <c r="BD16" s="35"/>
      <c r="BE16" s="35"/>
      <c r="BF16" s="35"/>
      <c r="BG16" s="35"/>
      <c r="BH16" s="35"/>
      <c r="BI16" s="35"/>
      <c r="BJ16" s="35"/>
      <c r="BK16" s="35"/>
      <c r="BL16" s="35"/>
      <c r="BM16" s="35">
        <f t="shared" si="5"/>
        <v>0</v>
      </c>
      <c r="BN16" s="54" t="s">
        <v>347</v>
      </c>
    </row>
    <row r="17" spans="1:67" ht="12.75" hidden="1" customHeight="1">
      <c r="A17" s="35" t="s">
        <v>21</v>
      </c>
      <c r="C17" s="35" t="s">
        <v>22</v>
      </c>
      <c r="D17" s="35"/>
      <c r="E17" s="35">
        <f t="shared" si="0"/>
        <v>0</v>
      </c>
      <c r="F17" s="35"/>
      <c r="G17" s="35"/>
      <c r="H17" s="35"/>
      <c r="I17" s="35"/>
      <c r="J17" s="35"/>
      <c r="K17" s="35">
        <f t="shared" si="1"/>
        <v>0</v>
      </c>
      <c r="L17" s="35"/>
      <c r="M17" s="35">
        <f t="shared" si="2"/>
        <v>0</v>
      </c>
      <c r="N17" s="35"/>
      <c r="O17" s="35"/>
      <c r="P17" s="35"/>
      <c r="Q17" s="35"/>
      <c r="R17" s="35"/>
      <c r="S17" s="35">
        <v>0</v>
      </c>
      <c r="T17" s="35"/>
      <c r="U17" s="35"/>
      <c r="V17" s="35"/>
      <c r="W17" s="35">
        <f t="shared" si="3"/>
        <v>0</v>
      </c>
      <c r="X17" s="35"/>
      <c r="Y17" s="35" t="s">
        <v>21</v>
      </c>
      <c r="Z17" s="55"/>
      <c r="AA17" s="35" t="s">
        <v>22</v>
      </c>
      <c r="AB17" s="35"/>
      <c r="AC17" s="35">
        <v>0</v>
      </c>
      <c r="AD17" s="35"/>
      <c r="AE17" s="35">
        <v>0</v>
      </c>
      <c r="AF17" s="35"/>
      <c r="AG17" s="35">
        <v>0</v>
      </c>
      <c r="AH17" s="35"/>
      <c r="AI17" s="45">
        <f t="shared" ref="AI17:AI31" si="6">+AC17-AE17-AG17</f>
        <v>0</v>
      </c>
      <c r="AJ17" s="45"/>
      <c r="AK17" s="35"/>
      <c r="AL17" s="35"/>
      <c r="AM17" s="35">
        <v>0</v>
      </c>
      <c r="AN17" s="35"/>
      <c r="AO17" s="35">
        <v>0</v>
      </c>
      <c r="AP17" s="35"/>
      <c r="AQ17" s="35">
        <v>0</v>
      </c>
      <c r="AR17" s="35"/>
      <c r="AS17" s="45">
        <f>+AI17+AK17+AM17-AO17+AQ17</f>
        <v>0</v>
      </c>
      <c r="AT17" s="45"/>
      <c r="AU17" s="35">
        <v>0</v>
      </c>
      <c r="AV17" s="35"/>
      <c r="AW17" s="35">
        <v>0</v>
      </c>
      <c r="AX17" s="35"/>
      <c r="AY17" s="35">
        <f t="shared" si="4"/>
        <v>0</v>
      </c>
      <c r="AZ17" s="35"/>
      <c r="BA17" s="35" t="s">
        <v>21</v>
      </c>
      <c r="BB17" s="55"/>
      <c r="BC17" s="35" t="s">
        <v>22</v>
      </c>
      <c r="BD17" s="35"/>
      <c r="BE17" s="35"/>
      <c r="BF17" s="35"/>
      <c r="BG17" s="35"/>
      <c r="BH17" s="35"/>
      <c r="BI17" s="35"/>
      <c r="BJ17" s="35"/>
      <c r="BK17" s="35"/>
      <c r="BL17" s="35"/>
      <c r="BM17" s="35">
        <f t="shared" si="5"/>
        <v>0</v>
      </c>
      <c r="BN17" s="54" t="s">
        <v>347</v>
      </c>
    </row>
    <row r="18" spans="1:67" ht="12.75" hidden="1" customHeight="1">
      <c r="A18" s="35" t="s">
        <v>23</v>
      </c>
      <c r="C18" s="35" t="s">
        <v>17</v>
      </c>
      <c r="D18" s="35"/>
      <c r="E18" s="35">
        <f t="shared" si="0"/>
        <v>0</v>
      </c>
      <c r="F18" s="35"/>
      <c r="G18" s="35"/>
      <c r="H18" s="35"/>
      <c r="I18" s="35"/>
      <c r="J18" s="35"/>
      <c r="K18" s="35">
        <f t="shared" si="1"/>
        <v>0</v>
      </c>
      <c r="L18" s="35"/>
      <c r="M18" s="35">
        <f t="shared" si="2"/>
        <v>0</v>
      </c>
      <c r="N18" s="35"/>
      <c r="O18" s="35"/>
      <c r="P18" s="35"/>
      <c r="Q18" s="35"/>
      <c r="R18" s="35"/>
      <c r="S18" s="35">
        <v>0</v>
      </c>
      <c r="T18" s="35"/>
      <c r="U18" s="35"/>
      <c r="V18" s="35"/>
      <c r="W18" s="35">
        <f t="shared" si="3"/>
        <v>0</v>
      </c>
      <c r="X18" s="35"/>
      <c r="Y18" s="35" t="s">
        <v>23</v>
      </c>
      <c r="Z18" s="55"/>
      <c r="AA18" s="35" t="s">
        <v>17</v>
      </c>
      <c r="AB18" s="35"/>
      <c r="AC18" s="35">
        <v>0</v>
      </c>
      <c r="AD18" s="35"/>
      <c r="AE18" s="35">
        <v>0</v>
      </c>
      <c r="AF18" s="35"/>
      <c r="AG18" s="35">
        <v>0</v>
      </c>
      <c r="AH18" s="35"/>
      <c r="AI18" s="45">
        <f t="shared" si="6"/>
        <v>0</v>
      </c>
      <c r="AJ18" s="45"/>
      <c r="AK18" s="35"/>
      <c r="AL18" s="35"/>
      <c r="AM18" s="35">
        <v>0</v>
      </c>
      <c r="AN18" s="35"/>
      <c r="AO18" s="35">
        <v>0</v>
      </c>
      <c r="AP18" s="35"/>
      <c r="AQ18" s="35">
        <v>0</v>
      </c>
      <c r="AR18" s="35"/>
      <c r="AS18" s="45">
        <v>0</v>
      </c>
      <c r="AT18" s="45"/>
      <c r="AU18" s="35">
        <v>0</v>
      </c>
      <c r="AV18" s="35"/>
      <c r="AW18" s="35">
        <v>0</v>
      </c>
      <c r="AX18" s="35"/>
      <c r="AY18" s="35">
        <f t="shared" si="4"/>
        <v>0</v>
      </c>
      <c r="AZ18" s="35"/>
      <c r="BA18" s="35" t="s">
        <v>23</v>
      </c>
      <c r="BB18" s="55"/>
      <c r="BC18" s="35" t="s">
        <v>17</v>
      </c>
      <c r="BD18" s="35"/>
      <c r="BE18" s="35"/>
      <c r="BF18" s="35"/>
      <c r="BG18" s="35"/>
      <c r="BH18" s="35"/>
      <c r="BI18" s="35"/>
      <c r="BJ18" s="35"/>
      <c r="BK18" s="35"/>
      <c r="BL18" s="35"/>
      <c r="BM18" s="35">
        <f t="shared" si="5"/>
        <v>0</v>
      </c>
      <c r="BN18" s="54" t="s">
        <v>347</v>
      </c>
    </row>
    <row r="19" spans="1:67" ht="12.75" hidden="1" customHeight="1">
      <c r="A19" s="35" t="s">
        <v>24</v>
      </c>
      <c r="C19" s="35" t="s">
        <v>17</v>
      </c>
      <c r="D19" s="35"/>
      <c r="E19" s="35">
        <f t="shared" si="0"/>
        <v>0</v>
      </c>
      <c r="F19" s="35"/>
      <c r="G19" s="35"/>
      <c r="H19" s="35"/>
      <c r="I19" s="35"/>
      <c r="J19" s="35"/>
      <c r="K19" s="35">
        <f t="shared" si="1"/>
        <v>0</v>
      </c>
      <c r="L19" s="35"/>
      <c r="M19" s="35">
        <f t="shared" si="2"/>
        <v>0</v>
      </c>
      <c r="N19" s="35"/>
      <c r="O19" s="35"/>
      <c r="P19" s="35"/>
      <c r="Q19" s="35"/>
      <c r="R19" s="35"/>
      <c r="S19" s="35"/>
      <c r="T19" s="35"/>
      <c r="U19" s="35"/>
      <c r="V19" s="35"/>
      <c r="W19" s="35">
        <f t="shared" si="3"/>
        <v>0</v>
      </c>
      <c r="X19" s="35"/>
      <c r="Y19" s="35" t="s">
        <v>24</v>
      </c>
      <c r="Z19" s="55"/>
      <c r="AA19" s="35" t="s">
        <v>17</v>
      </c>
      <c r="AB19" s="35"/>
      <c r="AC19" s="35"/>
      <c r="AD19" s="35"/>
      <c r="AE19" s="35"/>
      <c r="AF19" s="35"/>
      <c r="AG19" s="35"/>
      <c r="AH19" s="35"/>
      <c r="AI19" s="45">
        <f t="shared" si="6"/>
        <v>0</v>
      </c>
      <c r="AJ19" s="45"/>
      <c r="AK19" s="35"/>
      <c r="AL19" s="35"/>
      <c r="AM19" s="35"/>
      <c r="AN19" s="35"/>
      <c r="AO19" s="35"/>
      <c r="AP19" s="35"/>
      <c r="AQ19" s="35"/>
      <c r="AR19" s="35"/>
      <c r="AS19" s="45">
        <f t="shared" ref="AS19:AS27" si="7">+AI19+AK19+AM19-AO19+AQ19</f>
        <v>0</v>
      </c>
      <c r="AT19" s="45"/>
      <c r="AU19" s="35">
        <v>0</v>
      </c>
      <c r="AV19" s="35"/>
      <c r="AW19" s="35">
        <v>0</v>
      </c>
      <c r="AX19" s="35"/>
      <c r="AY19" s="35">
        <f t="shared" si="4"/>
        <v>0</v>
      </c>
      <c r="AZ19" s="35"/>
      <c r="BA19" s="35" t="s">
        <v>24</v>
      </c>
      <c r="BB19" s="55"/>
      <c r="BC19" s="35" t="s">
        <v>17</v>
      </c>
      <c r="BD19" s="35"/>
      <c r="BE19" s="35"/>
      <c r="BF19" s="35"/>
      <c r="BG19" s="35"/>
      <c r="BH19" s="35"/>
      <c r="BI19" s="35"/>
      <c r="BJ19" s="35"/>
      <c r="BK19" s="35"/>
      <c r="BL19" s="35"/>
      <c r="BM19" s="35">
        <f t="shared" si="5"/>
        <v>0</v>
      </c>
      <c r="BN19" s="54" t="s">
        <v>347</v>
      </c>
    </row>
    <row r="20" spans="1:67" ht="12.75" hidden="1" customHeight="1">
      <c r="A20" s="35" t="s">
        <v>25</v>
      </c>
      <c r="C20" s="35" t="s">
        <v>13</v>
      </c>
      <c r="D20" s="35"/>
      <c r="E20" s="35">
        <f t="shared" si="0"/>
        <v>0</v>
      </c>
      <c r="F20" s="35"/>
      <c r="G20" s="35"/>
      <c r="H20" s="35"/>
      <c r="I20" s="35"/>
      <c r="J20" s="35"/>
      <c r="K20" s="35">
        <f t="shared" si="1"/>
        <v>0</v>
      </c>
      <c r="L20" s="35"/>
      <c r="M20" s="35">
        <f t="shared" si="2"/>
        <v>0</v>
      </c>
      <c r="N20" s="35"/>
      <c r="O20" s="35"/>
      <c r="P20" s="35"/>
      <c r="Q20" s="35"/>
      <c r="R20" s="35"/>
      <c r="S20" s="35">
        <v>0</v>
      </c>
      <c r="T20" s="35"/>
      <c r="U20" s="35"/>
      <c r="V20" s="35"/>
      <c r="W20" s="35">
        <f t="shared" si="3"/>
        <v>0</v>
      </c>
      <c r="X20" s="35"/>
      <c r="Y20" s="35" t="s">
        <v>25</v>
      </c>
      <c r="Z20" s="55"/>
      <c r="AA20" s="35" t="s">
        <v>13</v>
      </c>
      <c r="AB20" s="35"/>
      <c r="AC20" s="35">
        <v>0</v>
      </c>
      <c r="AD20" s="35"/>
      <c r="AE20" s="35">
        <v>0</v>
      </c>
      <c r="AF20" s="35"/>
      <c r="AG20" s="35">
        <v>0</v>
      </c>
      <c r="AH20" s="35"/>
      <c r="AI20" s="45">
        <f t="shared" si="6"/>
        <v>0</v>
      </c>
      <c r="AJ20" s="45"/>
      <c r="AK20" s="35"/>
      <c r="AL20" s="35"/>
      <c r="AM20" s="35">
        <v>0</v>
      </c>
      <c r="AN20" s="35"/>
      <c r="AO20" s="35">
        <v>0</v>
      </c>
      <c r="AP20" s="35"/>
      <c r="AQ20" s="35">
        <v>0</v>
      </c>
      <c r="AR20" s="35"/>
      <c r="AS20" s="45">
        <f t="shared" si="7"/>
        <v>0</v>
      </c>
      <c r="AT20" s="45"/>
      <c r="AU20" s="35">
        <v>0</v>
      </c>
      <c r="AV20" s="35"/>
      <c r="AW20" s="35">
        <v>0</v>
      </c>
      <c r="AX20" s="35"/>
      <c r="AY20" s="35">
        <f t="shared" si="4"/>
        <v>0</v>
      </c>
      <c r="AZ20" s="35"/>
      <c r="BA20" s="35" t="s">
        <v>25</v>
      </c>
      <c r="BB20" s="55"/>
      <c r="BC20" s="35" t="s">
        <v>13</v>
      </c>
      <c r="BD20" s="35"/>
      <c r="BE20" s="35"/>
      <c r="BF20" s="35"/>
      <c r="BG20" s="35"/>
      <c r="BH20" s="35"/>
      <c r="BI20" s="35"/>
      <c r="BJ20" s="35"/>
      <c r="BK20" s="35"/>
      <c r="BL20" s="35"/>
      <c r="BM20" s="35">
        <f t="shared" si="5"/>
        <v>0</v>
      </c>
      <c r="BN20" s="54" t="s">
        <v>347</v>
      </c>
    </row>
    <row r="21" spans="1:67" ht="12.75" hidden="1" customHeight="1">
      <c r="A21" s="35" t="s">
        <v>26</v>
      </c>
      <c r="C21" s="35" t="s">
        <v>27</v>
      </c>
      <c r="D21" s="35"/>
      <c r="E21" s="35">
        <f t="shared" si="0"/>
        <v>0</v>
      </c>
      <c r="F21" s="35"/>
      <c r="G21" s="35"/>
      <c r="H21" s="35"/>
      <c r="I21" s="35"/>
      <c r="J21" s="35"/>
      <c r="K21" s="35">
        <f t="shared" si="1"/>
        <v>0</v>
      </c>
      <c r="L21" s="35"/>
      <c r="M21" s="35">
        <f t="shared" si="2"/>
        <v>0</v>
      </c>
      <c r="N21" s="35"/>
      <c r="O21" s="35"/>
      <c r="P21" s="35"/>
      <c r="Q21" s="35"/>
      <c r="R21" s="35"/>
      <c r="S21" s="35">
        <v>0</v>
      </c>
      <c r="T21" s="35"/>
      <c r="U21" s="35"/>
      <c r="V21" s="35"/>
      <c r="W21" s="35">
        <f t="shared" si="3"/>
        <v>0</v>
      </c>
      <c r="X21" s="35"/>
      <c r="Y21" s="35" t="s">
        <v>26</v>
      </c>
      <c r="Z21" s="55"/>
      <c r="AA21" s="35" t="s">
        <v>27</v>
      </c>
      <c r="AB21" s="35"/>
      <c r="AC21" s="35">
        <v>0</v>
      </c>
      <c r="AD21" s="35"/>
      <c r="AE21" s="35">
        <v>0</v>
      </c>
      <c r="AF21" s="35"/>
      <c r="AG21" s="35">
        <v>0</v>
      </c>
      <c r="AH21" s="35"/>
      <c r="AI21" s="45">
        <f t="shared" si="6"/>
        <v>0</v>
      </c>
      <c r="AJ21" s="45"/>
      <c r="AK21" s="35"/>
      <c r="AL21" s="35"/>
      <c r="AM21" s="35">
        <v>0</v>
      </c>
      <c r="AN21" s="35"/>
      <c r="AO21" s="35">
        <v>0</v>
      </c>
      <c r="AP21" s="35"/>
      <c r="AQ21" s="35">
        <v>0</v>
      </c>
      <c r="AR21" s="35"/>
      <c r="AS21" s="45">
        <f t="shared" si="7"/>
        <v>0</v>
      </c>
      <c r="AT21" s="45"/>
      <c r="AU21" s="35">
        <v>0</v>
      </c>
      <c r="AV21" s="35"/>
      <c r="AW21" s="35">
        <v>0</v>
      </c>
      <c r="AX21" s="35"/>
      <c r="AY21" s="35">
        <f t="shared" si="4"/>
        <v>0</v>
      </c>
      <c r="AZ21" s="35"/>
      <c r="BA21" s="35" t="s">
        <v>26</v>
      </c>
      <c r="BB21" s="55"/>
      <c r="BC21" s="35" t="s">
        <v>27</v>
      </c>
      <c r="BD21" s="35"/>
      <c r="BE21" s="35"/>
      <c r="BF21" s="35"/>
      <c r="BG21" s="35"/>
      <c r="BH21" s="35"/>
      <c r="BI21" s="35"/>
      <c r="BJ21" s="35"/>
      <c r="BK21" s="35"/>
      <c r="BL21" s="35"/>
      <c r="BM21" s="35">
        <f t="shared" si="5"/>
        <v>0</v>
      </c>
      <c r="BN21" s="54" t="s">
        <v>347</v>
      </c>
    </row>
    <row r="22" spans="1:67" ht="12.75" hidden="1" customHeight="1">
      <c r="A22" s="35" t="s">
        <v>28</v>
      </c>
      <c r="C22" s="35" t="s">
        <v>27</v>
      </c>
      <c r="D22" s="35"/>
      <c r="E22" s="35">
        <f t="shared" si="0"/>
        <v>0</v>
      </c>
      <c r="F22" s="35"/>
      <c r="G22" s="35"/>
      <c r="H22" s="35"/>
      <c r="I22" s="35"/>
      <c r="J22" s="35"/>
      <c r="K22" s="35">
        <f t="shared" si="1"/>
        <v>0</v>
      </c>
      <c r="L22" s="35"/>
      <c r="M22" s="35">
        <f t="shared" si="2"/>
        <v>0</v>
      </c>
      <c r="N22" s="35"/>
      <c r="O22" s="35"/>
      <c r="P22" s="35"/>
      <c r="Q22" s="35"/>
      <c r="R22" s="35"/>
      <c r="S22" s="35">
        <v>0</v>
      </c>
      <c r="T22" s="35"/>
      <c r="U22" s="35"/>
      <c r="V22" s="35"/>
      <c r="W22" s="35">
        <f t="shared" si="3"/>
        <v>0</v>
      </c>
      <c r="X22" s="35"/>
      <c r="Y22" s="35" t="s">
        <v>28</v>
      </c>
      <c r="Z22" s="55"/>
      <c r="AA22" s="35" t="s">
        <v>27</v>
      </c>
      <c r="AB22" s="35"/>
      <c r="AC22" s="35">
        <v>0</v>
      </c>
      <c r="AD22" s="35"/>
      <c r="AE22" s="35">
        <v>0</v>
      </c>
      <c r="AF22" s="35"/>
      <c r="AG22" s="35">
        <v>0</v>
      </c>
      <c r="AH22" s="35"/>
      <c r="AI22" s="45">
        <f t="shared" si="6"/>
        <v>0</v>
      </c>
      <c r="AJ22" s="45"/>
      <c r="AK22" s="35"/>
      <c r="AL22" s="35"/>
      <c r="AM22" s="35">
        <v>0</v>
      </c>
      <c r="AN22" s="35"/>
      <c r="AO22" s="35">
        <v>0</v>
      </c>
      <c r="AP22" s="35"/>
      <c r="AQ22" s="35">
        <v>0</v>
      </c>
      <c r="AR22" s="35"/>
      <c r="AS22" s="45">
        <f t="shared" si="7"/>
        <v>0</v>
      </c>
      <c r="AT22" s="45"/>
      <c r="AU22" s="35">
        <v>0</v>
      </c>
      <c r="AV22" s="35"/>
      <c r="AW22" s="35">
        <v>0</v>
      </c>
      <c r="AX22" s="35"/>
      <c r="AY22" s="35">
        <f t="shared" si="4"/>
        <v>0</v>
      </c>
      <c r="AZ22" s="35"/>
      <c r="BA22" s="35" t="s">
        <v>28</v>
      </c>
      <c r="BB22" s="55"/>
      <c r="BC22" s="35" t="s">
        <v>27</v>
      </c>
      <c r="BD22" s="35"/>
      <c r="BE22" s="35"/>
      <c r="BF22" s="35"/>
      <c r="BG22" s="35"/>
      <c r="BH22" s="35"/>
      <c r="BI22" s="35"/>
      <c r="BJ22" s="35"/>
      <c r="BK22" s="35"/>
      <c r="BL22" s="35"/>
      <c r="BM22" s="35">
        <f t="shared" si="5"/>
        <v>0</v>
      </c>
      <c r="BN22" s="54" t="s">
        <v>347</v>
      </c>
    </row>
    <row r="23" spans="1:67" ht="12.75" hidden="1" customHeight="1">
      <c r="A23" s="35" t="s">
        <v>29</v>
      </c>
      <c r="C23" s="35" t="s">
        <v>30</v>
      </c>
      <c r="D23" s="35"/>
      <c r="E23" s="35">
        <f t="shared" si="0"/>
        <v>0</v>
      </c>
      <c r="F23" s="35"/>
      <c r="G23" s="35"/>
      <c r="H23" s="35"/>
      <c r="I23" s="35"/>
      <c r="J23" s="35"/>
      <c r="K23" s="35">
        <f t="shared" si="1"/>
        <v>0</v>
      </c>
      <c r="L23" s="35"/>
      <c r="M23" s="35">
        <f t="shared" si="2"/>
        <v>0</v>
      </c>
      <c r="N23" s="35"/>
      <c r="O23" s="35"/>
      <c r="P23" s="35"/>
      <c r="Q23" s="35"/>
      <c r="R23" s="35"/>
      <c r="S23" s="35"/>
      <c r="T23" s="35"/>
      <c r="U23" s="35"/>
      <c r="V23" s="35"/>
      <c r="W23" s="35">
        <f t="shared" si="3"/>
        <v>0</v>
      </c>
      <c r="X23" s="35"/>
      <c r="Y23" s="35" t="s">
        <v>29</v>
      </c>
      <c r="Z23" s="55"/>
      <c r="AA23" s="35" t="s">
        <v>30</v>
      </c>
      <c r="AB23" s="35"/>
      <c r="AC23" s="35"/>
      <c r="AD23" s="35"/>
      <c r="AE23" s="35"/>
      <c r="AF23" s="35"/>
      <c r="AG23" s="35"/>
      <c r="AH23" s="35"/>
      <c r="AI23" s="45">
        <f t="shared" si="6"/>
        <v>0</v>
      </c>
      <c r="AJ23" s="45"/>
      <c r="AK23" s="35"/>
      <c r="AL23" s="35"/>
      <c r="AM23" s="35"/>
      <c r="AN23" s="35"/>
      <c r="AO23" s="35"/>
      <c r="AP23" s="35"/>
      <c r="AQ23" s="35"/>
      <c r="AR23" s="35"/>
      <c r="AS23" s="45">
        <f t="shared" si="7"/>
        <v>0</v>
      </c>
      <c r="AT23" s="45"/>
      <c r="AU23" s="35">
        <v>0</v>
      </c>
      <c r="AV23" s="35"/>
      <c r="AW23" s="35">
        <v>0</v>
      </c>
      <c r="AX23" s="35"/>
      <c r="AY23" s="35">
        <f t="shared" si="4"/>
        <v>0</v>
      </c>
      <c r="AZ23" s="35"/>
      <c r="BA23" s="35" t="s">
        <v>29</v>
      </c>
      <c r="BB23" s="55"/>
      <c r="BC23" s="35" t="s">
        <v>30</v>
      </c>
      <c r="BD23" s="35"/>
      <c r="BE23" s="35"/>
      <c r="BF23" s="35"/>
      <c r="BG23" s="35"/>
      <c r="BH23" s="35"/>
      <c r="BI23" s="35"/>
      <c r="BJ23" s="35"/>
      <c r="BK23" s="35"/>
      <c r="BL23" s="35"/>
      <c r="BM23" s="35">
        <f t="shared" si="5"/>
        <v>0</v>
      </c>
      <c r="BN23" s="54" t="s">
        <v>347</v>
      </c>
    </row>
    <row r="24" spans="1:67" ht="12.75" hidden="1" customHeight="1">
      <c r="A24" s="35" t="s">
        <v>31</v>
      </c>
      <c r="C24" s="35" t="s">
        <v>27</v>
      </c>
      <c r="D24" s="35"/>
      <c r="E24" s="35">
        <f t="shared" si="0"/>
        <v>0</v>
      </c>
      <c r="F24" s="35"/>
      <c r="G24" s="35"/>
      <c r="H24" s="35"/>
      <c r="I24" s="35"/>
      <c r="J24" s="35"/>
      <c r="K24" s="35">
        <f t="shared" si="1"/>
        <v>0</v>
      </c>
      <c r="L24" s="35"/>
      <c r="M24" s="35">
        <f t="shared" si="2"/>
        <v>0</v>
      </c>
      <c r="N24" s="35"/>
      <c r="O24" s="35"/>
      <c r="P24" s="35"/>
      <c r="Q24" s="35"/>
      <c r="R24" s="35"/>
      <c r="S24" s="35">
        <v>0</v>
      </c>
      <c r="T24" s="35"/>
      <c r="U24" s="35"/>
      <c r="V24" s="35"/>
      <c r="W24" s="35">
        <f t="shared" si="3"/>
        <v>0</v>
      </c>
      <c r="X24" s="35"/>
      <c r="Y24" s="35" t="s">
        <v>31</v>
      </c>
      <c r="Z24" s="55"/>
      <c r="AA24" s="35" t="s">
        <v>27</v>
      </c>
      <c r="AB24" s="35"/>
      <c r="AC24" s="35">
        <v>0</v>
      </c>
      <c r="AD24" s="35"/>
      <c r="AE24" s="35">
        <v>0</v>
      </c>
      <c r="AF24" s="35"/>
      <c r="AG24" s="35">
        <v>0</v>
      </c>
      <c r="AH24" s="35"/>
      <c r="AI24" s="45">
        <f t="shared" si="6"/>
        <v>0</v>
      </c>
      <c r="AJ24" s="45"/>
      <c r="AK24" s="35"/>
      <c r="AL24" s="35"/>
      <c r="AM24" s="35">
        <v>0</v>
      </c>
      <c r="AN24" s="35"/>
      <c r="AO24" s="35">
        <v>0</v>
      </c>
      <c r="AP24" s="35"/>
      <c r="AQ24" s="35">
        <v>0</v>
      </c>
      <c r="AR24" s="35"/>
      <c r="AS24" s="45">
        <f t="shared" si="7"/>
        <v>0</v>
      </c>
      <c r="AT24" s="45"/>
      <c r="AU24" s="35">
        <v>0</v>
      </c>
      <c r="AV24" s="35"/>
      <c r="AW24" s="35">
        <v>0</v>
      </c>
      <c r="AX24" s="35"/>
      <c r="AY24" s="35">
        <f t="shared" si="4"/>
        <v>0</v>
      </c>
      <c r="AZ24" s="35"/>
      <c r="BA24" s="35" t="s">
        <v>31</v>
      </c>
      <c r="BB24" s="55"/>
      <c r="BC24" s="35" t="s">
        <v>27</v>
      </c>
      <c r="BD24" s="35"/>
      <c r="BE24" s="35"/>
      <c r="BF24" s="35"/>
      <c r="BG24" s="35"/>
      <c r="BH24" s="35"/>
      <c r="BI24" s="35"/>
      <c r="BJ24" s="35"/>
      <c r="BK24" s="35"/>
      <c r="BL24" s="35"/>
      <c r="BM24" s="35">
        <f t="shared" si="5"/>
        <v>0</v>
      </c>
      <c r="BN24" s="54" t="s">
        <v>347</v>
      </c>
      <c r="BO24" s="55" t="s">
        <v>371</v>
      </c>
    </row>
    <row r="25" spans="1:67" ht="12.75" hidden="1" customHeight="1">
      <c r="A25" s="35" t="s">
        <v>32</v>
      </c>
      <c r="C25" s="35" t="s">
        <v>27</v>
      </c>
      <c r="D25" s="35"/>
      <c r="E25" s="35">
        <f t="shared" si="0"/>
        <v>0</v>
      </c>
      <c r="F25" s="35"/>
      <c r="G25" s="35"/>
      <c r="H25" s="35"/>
      <c r="I25" s="35"/>
      <c r="J25" s="35"/>
      <c r="K25" s="35">
        <f t="shared" si="1"/>
        <v>0</v>
      </c>
      <c r="L25" s="35"/>
      <c r="M25" s="35">
        <f t="shared" si="2"/>
        <v>0</v>
      </c>
      <c r="N25" s="35"/>
      <c r="O25" s="35"/>
      <c r="P25" s="35"/>
      <c r="Q25" s="35"/>
      <c r="R25" s="35"/>
      <c r="S25" s="35">
        <v>0</v>
      </c>
      <c r="T25" s="35"/>
      <c r="U25" s="35"/>
      <c r="V25" s="35"/>
      <c r="W25" s="35">
        <f t="shared" si="3"/>
        <v>0</v>
      </c>
      <c r="X25" s="35"/>
      <c r="Y25" s="35" t="s">
        <v>32</v>
      </c>
      <c r="Z25" s="55"/>
      <c r="AA25" s="35" t="s">
        <v>27</v>
      </c>
      <c r="AB25" s="35"/>
      <c r="AC25" s="35">
        <v>0</v>
      </c>
      <c r="AD25" s="35"/>
      <c r="AE25" s="35">
        <v>0</v>
      </c>
      <c r="AF25" s="35"/>
      <c r="AG25" s="35">
        <v>0</v>
      </c>
      <c r="AH25" s="35"/>
      <c r="AI25" s="45">
        <f t="shared" si="6"/>
        <v>0</v>
      </c>
      <c r="AJ25" s="45"/>
      <c r="AK25" s="35"/>
      <c r="AL25" s="35"/>
      <c r="AM25" s="35">
        <v>0</v>
      </c>
      <c r="AN25" s="35"/>
      <c r="AO25" s="35">
        <v>0</v>
      </c>
      <c r="AP25" s="35"/>
      <c r="AQ25" s="35">
        <v>0</v>
      </c>
      <c r="AR25" s="35"/>
      <c r="AS25" s="45">
        <f t="shared" si="7"/>
        <v>0</v>
      </c>
      <c r="AT25" s="45"/>
      <c r="AU25" s="35">
        <v>0</v>
      </c>
      <c r="AV25" s="35"/>
      <c r="AW25" s="35">
        <v>0</v>
      </c>
      <c r="AX25" s="35"/>
      <c r="AY25" s="35">
        <f t="shared" si="4"/>
        <v>0</v>
      </c>
      <c r="AZ25" s="35"/>
      <c r="BA25" s="35" t="s">
        <v>32</v>
      </c>
      <c r="BB25" s="55"/>
      <c r="BC25" s="35" t="s">
        <v>27</v>
      </c>
      <c r="BD25" s="35"/>
      <c r="BE25" s="35"/>
      <c r="BF25" s="35"/>
      <c r="BG25" s="35"/>
      <c r="BH25" s="35"/>
      <c r="BI25" s="35"/>
      <c r="BJ25" s="35"/>
      <c r="BK25" s="35"/>
      <c r="BL25" s="35"/>
      <c r="BM25" s="35">
        <f t="shared" si="5"/>
        <v>0</v>
      </c>
      <c r="BN25" s="54" t="s">
        <v>347</v>
      </c>
    </row>
    <row r="26" spans="1:67" ht="12.75" hidden="1" customHeight="1">
      <c r="A26" s="35" t="s">
        <v>34</v>
      </c>
      <c r="C26" s="35" t="s">
        <v>30</v>
      </c>
      <c r="D26" s="35"/>
      <c r="E26" s="35">
        <f t="shared" si="0"/>
        <v>0</v>
      </c>
      <c r="F26" s="35"/>
      <c r="G26" s="35"/>
      <c r="H26" s="35"/>
      <c r="I26" s="35"/>
      <c r="J26" s="35"/>
      <c r="K26" s="35">
        <f t="shared" si="1"/>
        <v>0</v>
      </c>
      <c r="L26" s="35"/>
      <c r="M26" s="35">
        <f t="shared" si="2"/>
        <v>0</v>
      </c>
      <c r="N26" s="35"/>
      <c r="O26" s="35"/>
      <c r="P26" s="35"/>
      <c r="Q26" s="35"/>
      <c r="R26" s="35"/>
      <c r="S26" s="35">
        <v>0</v>
      </c>
      <c r="T26" s="35"/>
      <c r="U26" s="35"/>
      <c r="V26" s="35"/>
      <c r="W26" s="35">
        <f t="shared" si="3"/>
        <v>0</v>
      </c>
      <c r="X26" s="35"/>
      <c r="Y26" s="35" t="s">
        <v>34</v>
      </c>
      <c r="Z26" s="55"/>
      <c r="AA26" s="35" t="s">
        <v>30</v>
      </c>
      <c r="AB26" s="35"/>
      <c r="AC26" s="35">
        <v>0</v>
      </c>
      <c r="AD26" s="35"/>
      <c r="AE26" s="35">
        <v>0</v>
      </c>
      <c r="AF26" s="35"/>
      <c r="AG26" s="35">
        <v>0</v>
      </c>
      <c r="AH26" s="35"/>
      <c r="AI26" s="45">
        <f t="shared" si="6"/>
        <v>0</v>
      </c>
      <c r="AJ26" s="45"/>
      <c r="AK26" s="35"/>
      <c r="AL26" s="35"/>
      <c r="AM26" s="35">
        <v>0</v>
      </c>
      <c r="AN26" s="35"/>
      <c r="AO26" s="35">
        <v>0</v>
      </c>
      <c r="AP26" s="35"/>
      <c r="AQ26" s="35">
        <v>0</v>
      </c>
      <c r="AR26" s="35"/>
      <c r="AS26" s="45">
        <f t="shared" si="7"/>
        <v>0</v>
      </c>
      <c r="AT26" s="45"/>
      <c r="AU26" s="35">
        <v>0</v>
      </c>
      <c r="AV26" s="35"/>
      <c r="AW26" s="35">
        <v>0</v>
      </c>
      <c r="AX26" s="35"/>
      <c r="AY26" s="35">
        <f t="shared" si="4"/>
        <v>0</v>
      </c>
      <c r="AZ26" s="35"/>
      <c r="BA26" s="35" t="s">
        <v>34</v>
      </c>
      <c r="BB26" s="55"/>
      <c r="BC26" s="35" t="s">
        <v>30</v>
      </c>
      <c r="BD26" s="35"/>
      <c r="BE26" s="35"/>
      <c r="BF26" s="35"/>
      <c r="BG26" s="35"/>
      <c r="BH26" s="35"/>
      <c r="BI26" s="35"/>
      <c r="BJ26" s="35"/>
      <c r="BK26" s="35"/>
      <c r="BL26" s="35"/>
      <c r="BM26" s="35">
        <f t="shared" si="5"/>
        <v>0</v>
      </c>
      <c r="BN26" s="54" t="s">
        <v>347</v>
      </c>
    </row>
    <row r="27" spans="1:67" ht="12.75" hidden="1" customHeight="1">
      <c r="A27" s="35" t="s">
        <v>35</v>
      </c>
      <c r="C27" s="35" t="s">
        <v>36</v>
      </c>
      <c r="D27" s="35"/>
      <c r="E27" s="35">
        <f t="shared" si="0"/>
        <v>0</v>
      </c>
      <c r="F27" s="35"/>
      <c r="G27" s="35"/>
      <c r="H27" s="35"/>
      <c r="I27" s="35"/>
      <c r="J27" s="35"/>
      <c r="K27" s="35">
        <f t="shared" si="1"/>
        <v>0</v>
      </c>
      <c r="L27" s="35"/>
      <c r="M27" s="35">
        <f t="shared" si="2"/>
        <v>0</v>
      </c>
      <c r="N27" s="35"/>
      <c r="O27" s="35"/>
      <c r="P27" s="35"/>
      <c r="Q27" s="35"/>
      <c r="R27" s="35"/>
      <c r="S27" s="35">
        <v>0</v>
      </c>
      <c r="T27" s="35"/>
      <c r="U27" s="35"/>
      <c r="V27" s="35"/>
      <c r="W27" s="35">
        <f t="shared" si="3"/>
        <v>0</v>
      </c>
      <c r="X27" s="35"/>
      <c r="Y27" s="35" t="s">
        <v>35</v>
      </c>
      <c r="Z27" s="55"/>
      <c r="AA27" s="35" t="s">
        <v>36</v>
      </c>
      <c r="AB27" s="35"/>
      <c r="AC27" s="35">
        <v>0</v>
      </c>
      <c r="AD27" s="35"/>
      <c r="AE27" s="35">
        <v>0</v>
      </c>
      <c r="AF27" s="35"/>
      <c r="AG27" s="35">
        <v>0</v>
      </c>
      <c r="AH27" s="35"/>
      <c r="AI27" s="45">
        <f t="shared" si="6"/>
        <v>0</v>
      </c>
      <c r="AJ27" s="45"/>
      <c r="AK27" s="35"/>
      <c r="AL27" s="35"/>
      <c r="AM27" s="35">
        <v>0</v>
      </c>
      <c r="AN27" s="35"/>
      <c r="AO27" s="35">
        <v>0</v>
      </c>
      <c r="AP27" s="35"/>
      <c r="AQ27" s="35">
        <v>0</v>
      </c>
      <c r="AR27" s="35"/>
      <c r="AS27" s="45">
        <f t="shared" si="7"/>
        <v>0</v>
      </c>
      <c r="AT27" s="45"/>
      <c r="AU27" s="35">
        <v>0</v>
      </c>
      <c r="AV27" s="35"/>
      <c r="AW27" s="35">
        <v>0</v>
      </c>
      <c r="AX27" s="35"/>
      <c r="AY27" s="35">
        <f t="shared" si="4"/>
        <v>0</v>
      </c>
      <c r="AZ27" s="35"/>
      <c r="BA27" s="35" t="s">
        <v>35</v>
      </c>
      <c r="BB27" s="55"/>
      <c r="BC27" s="35" t="s">
        <v>36</v>
      </c>
      <c r="BD27" s="35"/>
      <c r="BE27" s="35"/>
      <c r="BF27" s="35"/>
      <c r="BG27" s="35"/>
      <c r="BH27" s="35"/>
      <c r="BI27" s="35"/>
      <c r="BJ27" s="35"/>
      <c r="BK27" s="35"/>
      <c r="BL27" s="35"/>
      <c r="BM27" s="35">
        <f t="shared" si="5"/>
        <v>0</v>
      </c>
      <c r="BN27" s="54" t="s">
        <v>347</v>
      </c>
    </row>
    <row r="28" spans="1:67" ht="12.75" hidden="1" customHeight="1">
      <c r="A28" s="35" t="s">
        <v>37</v>
      </c>
      <c r="C28" s="35" t="s">
        <v>38</v>
      </c>
      <c r="D28" s="35"/>
      <c r="E28" s="35">
        <f t="shared" si="0"/>
        <v>0</v>
      </c>
      <c r="F28" s="35"/>
      <c r="G28" s="35"/>
      <c r="H28" s="35"/>
      <c r="I28" s="35"/>
      <c r="J28" s="35"/>
      <c r="K28" s="35">
        <f t="shared" si="1"/>
        <v>0</v>
      </c>
      <c r="L28" s="35"/>
      <c r="M28" s="35">
        <f t="shared" si="2"/>
        <v>0</v>
      </c>
      <c r="N28" s="35"/>
      <c r="O28" s="35"/>
      <c r="P28" s="35"/>
      <c r="Q28" s="35"/>
      <c r="R28" s="35"/>
      <c r="S28" s="35">
        <v>0</v>
      </c>
      <c r="T28" s="35"/>
      <c r="U28" s="35"/>
      <c r="V28" s="35"/>
      <c r="W28" s="35">
        <f t="shared" si="3"/>
        <v>0</v>
      </c>
      <c r="X28" s="35"/>
      <c r="Y28" s="35" t="s">
        <v>37</v>
      </c>
      <c r="Z28" s="55"/>
      <c r="AA28" s="35" t="s">
        <v>38</v>
      </c>
      <c r="AB28" s="35"/>
      <c r="AC28" s="35">
        <v>0</v>
      </c>
      <c r="AD28" s="35"/>
      <c r="AE28" s="35">
        <v>0</v>
      </c>
      <c r="AF28" s="35"/>
      <c r="AG28" s="35">
        <v>0</v>
      </c>
      <c r="AH28" s="35"/>
      <c r="AI28" s="45">
        <f t="shared" si="6"/>
        <v>0</v>
      </c>
      <c r="AJ28" s="45"/>
      <c r="AK28" s="35"/>
      <c r="AL28" s="35"/>
      <c r="AM28" s="35">
        <v>0</v>
      </c>
      <c r="AN28" s="35"/>
      <c r="AO28" s="35">
        <v>0</v>
      </c>
      <c r="AP28" s="35"/>
      <c r="AQ28" s="35">
        <v>0</v>
      </c>
      <c r="AR28" s="35"/>
      <c r="AS28" s="45">
        <v>0</v>
      </c>
      <c r="AT28" s="45"/>
      <c r="AU28" s="35">
        <v>0</v>
      </c>
      <c r="AV28" s="35"/>
      <c r="AW28" s="35">
        <v>0</v>
      </c>
      <c r="AX28" s="35"/>
      <c r="AY28" s="35">
        <f t="shared" si="4"/>
        <v>0</v>
      </c>
      <c r="AZ28" s="35"/>
      <c r="BA28" s="35" t="s">
        <v>37</v>
      </c>
      <c r="BB28" s="55"/>
      <c r="BC28" s="35" t="s">
        <v>38</v>
      </c>
      <c r="BD28" s="35"/>
      <c r="BE28" s="35"/>
      <c r="BF28" s="35"/>
      <c r="BG28" s="35"/>
      <c r="BH28" s="35"/>
      <c r="BI28" s="35"/>
      <c r="BJ28" s="35"/>
      <c r="BK28" s="35"/>
      <c r="BL28" s="35"/>
      <c r="BM28" s="35">
        <v>0</v>
      </c>
      <c r="BN28" s="54" t="s">
        <v>347</v>
      </c>
    </row>
    <row r="29" spans="1:67" ht="12.75" hidden="1" customHeight="1">
      <c r="A29" s="35" t="s">
        <v>39</v>
      </c>
      <c r="C29" s="35" t="s">
        <v>40</v>
      </c>
      <c r="D29" s="35"/>
      <c r="E29" s="35">
        <f t="shared" si="0"/>
        <v>0</v>
      </c>
      <c r="F29" s="35"/>
      <c r="G29" s="35"/>
      <c r="H29" s="35"/>
      <c r="I29" s="35"/>
      <c r="J29" s="35"/>
      <c r="K29" s="35">
        <f t="shared" si="1"/>
        <v>0</v>
      </c>
      <c r="L29" s="35"/>
      <c r="M29" s="35">
        <f t="shared" si="2"/>
        <v>0</v>
      </c>
      <c r="N29" s="35"/>
      <c r="O29" s="35"/>
      <c r="P29" s="35"/>
      <c r="Q29" s="35"/>
      <c r="R29" s="35"/>
      <c r="S29" s="35">
        <v>0</v>
      </c>
      <c r="T29" s="35"/>
      <c r="U29" s="35"/>
      <c r="V29" s="35"/>
      <c r="W29" s="35">
        <f t="shared" si="3"/>
        <v>0</v>
      </c>
      <c r="X29" s="35"/>
      <c r="Y29" s="35" t="s">
        <v>39</v>
      </c>
      <c r="Z29" s="55"/>
      <c r="AA29" s="35" t="s">
        <v>40</v>
      </c>
      <c r="AB29" s="35"/>
      <c r="AC29" s="35">
        <v>0</v>
      </c>
      <c r="AD29" s="35"/>
      <c r="AE29" s="35">
        <v>0</v>
      </c>
      <c r="AF29" s="35"/>
      <c r="AG29" s="35">
        <v>0</v>
      </c>
      <c r="AH29" s="35"/>
      <c r="AI29" s="45">
        <f t="shared" si="6"/>
        <v>0</v>
      </c>
      <c r="AJ29" s="45"/>
      <c r="AK29" s="35"/>
      <c r="AL29" s="35"/>
      <c r="AM29" s="35">
        <v>0</v>
      </c>
      <c r="AN29" s="35"/>
      <c r="AO29" s="35">
        <v>0</v>
      </c>
      <c r="AP29" s="35"/>
      <c r="AQ29" s="35">
        <v>0</v>
      </c>
      <c r="AR29" s="35"/>
      <c r="AS29" s="45">
        <f t="shared" ref="AS29:AS34" si="8">+AI29+AK29+AM29-AO29+AQ29</f>
        <v>0</v>
      </c>
      <c r="AT29" s="45"/>
      <c r="AU29" s="35">
        <v>0</v>
      </c>
      <c r="AV29" s="35"/>
      <c r="AW29" s="35">
        <v>0</v>
      </c>
      <c r="AX29" s="35"/>
      <c r="AY29" s="35">
        <f t="shared" si="4"/>
        <v>0</v>
      </c>
      <c r="AZ29" s="35"/>
      <c r="BA29" s="35" t="s">
        <v>39</v>
      </c>
      <c r="BB29" s="55"/>
      <c r="BC29" s="35" t="s">
        <v>40</v>
      </c>
      <c r="BD29" s="35"/>
      <c r="BE29" s="35"/>
      <c r="BF29" s="35"/>
      <c r="BG29" s="35"/>
      <c r="BH29" s="35"/>
      <c r="BI29" s="35"/>
      <c r="BJ29" s="35"/>
      <c r="BK29" s="35"/>
      <c r="BL29" s="35"/>
      <c r="BM29" s="35">
        <f>SUM(BE29:BK29)</f>
        <v>0</v>
      </c>
      <c r="BN29" s="54" t="s">
        <v>347</v>
      </c>
    </row>
    <row r="30" spans="1:67" ht="12.75" hidden="1" customHeight="1">
      <c r="A30" s="35" t="s">
        <v>41</v>
      </c>
      <c r="C30" s="35" t="s">
        <v>27</v>
      </c>
      <c r="D30" s="35"/>
      <c r="E30" s="35">
        <f t="shared" si="0"/>
        <v>0</v>
      </c>
      <c r="F30" s="35"/>
      <c r="G30" s="35"/>
      <c r="H30" s="35"/>
      <c r="I30" s="35"/>
      <c r="J30" s="35"/>
      <c r="K30" s="35">
        <f t="shared" si="1"/>
        <v>0</v>
      </c>
      <c r="L30" s="35"/>
      <c r="M30" s="35">
        <f t="shared" si="2"/>
        <v>0</v>
      </c>
      <c r="N30" s="35"/>
      <c r="O30" s="35"/>
      <c r="P30" s="35"/>
      <c r="Q30" s="35"/>
      <c r="R30" s="35"/>
      <c r="S30" s="35">
        <v>0</v>
      </c>
      <c r="T30" s="35"/>
      <c r="U30" s="35"/>
      <c r="V30" s="35"/>
      <c r="W30" s="35">
        <f t="shared" si="3"/>
        <v>0</v>
      </c>
      <c r="X30" s="35"/>
      <c r="Y30" s="35" t="s">
        <v>41</v>
      </c>
      <c r="Z30" s="55"/>
      <c r="AA30" s="35" t="s">
        <v>27</v>
      </c>
      <c r="AB30" s="35"/>
      <c r="AC30" s="35">
        <v>0</v>
      </c>
      <c r="AD30" s="35"/>
      <c r="AE30" s="35">
        <v>0</v>
      </c>
      <c r="AF30" s="35"/>
      <c r="AG30" s="35">
        <v>0</v>
      </c>
      <c r="AH30" s="35"/>
      <c r="AI30" s="45">
        <f t="shared" si="6"/>
        <v>0</v>
      </c>
      <c r="AJ30" s="45"/>
      <c r="AK30" s="35"/>
      <c r="AL30" s="35"/>
      <c r="AM30" s="35">
        <v>0</v>
      </c>
      <c r="AN30" s="35"/>
      <c r="AO30" s="35">
        <v>0</v>
      </c>
      <c r="AP30" s="35"/>
      <c r="AQ30" s="35">
        <v>0</v>
      </c>
      <c r="AR30" s="35"/>
      <c r="AS30" s="45">
        <f t="shared" si="8"/>
        <v>0</v>
      </c>
      <c r="AT30" s="45"/>
      <c r="AU30" s="35">
        <v>0</v>
      </c>
      <c r="AV30" s="35"/>
      <c r="AW30" s="35">
        <v>0</v>
      </c>
      <c r="AX30" s="35"/>
      <c r="AY30" s="35">
        <f t="shared" si="4"/>
        <v>0</v>
      </c>
      <c r="AZ30" s="35"/>
      <c r="BA30" s="35" t="s">
        <v>41</v>
      </c>
      <c r="BB30" s="55"/>
      <c r="BC30" s="35" t="s">
        <v>27</v>
      </c>
      <c r="BD30" s="35"/>
      <c r="BE30" s="35"/>
      <c r="BF30" s="35"/>
      <c r="BG30" s="35"/>
      <c r="BH30" s="35"/>
      <c r="BI30" s="35"/>
      <c r="BJ30" s="35"/>
      <c r="BK30" s="35"/>
      <c r="BL30" s="35"/>
      <c r="BM30" s="35">
        <f>SUM(BE30:BK30)</f>
        <v>0</v>
      </c>
      <c r="BN30" s="54" t="s">
        <v>347</v>
      </c>
    </row>
    <row r="31" spans="1:67" ht="12.75" hidden="1" customHeight="1">
      <c r="A31" s="35" t="s">
        <v>42</v>
      </c>
      <c r="C31" s="35" t="s">
        <v>43</v>
      </c>
      <c r="D31" s="35"/>
      <c r="E31" s="35">
        <f t="shared" si="0"/>
        <v>0</v>
      </c>
      <c r="F31" s="35"/>
      <c r="G31" s="35"/>
      <c r="H31" s="35"/>
      <c r="I31" s="35"/>
      <c r="J31" s="35"/>
      <c r="K31" s="35">
        <f t="shared" si="1"/>
        <v>0</v>
      </c>
      <c r="L31" s="35"/>
      <c r="M31" s="35">
        <f t="shared" si="2"/>
        <v>0</v>
      </c>
      <c r="N31" s="35"/>
      <c r="O31" s="35"/>
      <c r="P31" s="35"/>
      <c r="Q31" s="35"/>
      <c r="R31" s="35"/>
      <c r="S31" s="35"/>
      <c r="T31" s="35"/>
      <c r="U31" s="35"/>
      <c r="V31" s="35"/>
      <c r="W31" s="35">
        <f t="shared" si="3"/>
        <v>0</v>
      </c>
      <c r="X31" s="35"/>
      <c r="Y31" s="35" t="s">
        <v>42</v>
      </c>
      <c r="Z31" s="55"/>
      <c r="AA31" s="35" t="s">
        <v>43</v>
      </c>
      <c r="AB31" s="35"/>
      <c r="AC31" s="35"/>
      <c r="AD31" s="35"/>
      <c r="AE31" s="35"/>
      <c r="AF31" s="35"/>
      <c r="AG31" s="35"/>
      <c r="AH31" s="35"/>
      <c r="AI31" s="45">
        <f t="shared" si="6"/>
        <v>0</v>
      </c>
      <c r="AJ31" s="45"/>
      <c r="AK31" s="35"/>
      <c r="AL31" s="35"/>
      <c r="AM31" s="35"/>
      <c r="AN31" s="35"/>
      <c r="AO31" s="35"/>
      <c r="AP31" s="35"/>
      <c r="AQ31" s="35"/>
      <c r="AR31" s="35"/>
      <c r="AS31" s="45">
        <f t="shared" si="8"/>
        <v>0</v>
      </c>
      <c r="AT31" s="45"/>
      <c r="AU31" s="35">
        <v>0</v>
      </c>
      <c r="AV31" s="35"/>
      <c r="AW31" s="35">
        <v>0</v>
      </c>
      <c r="AX31" s="35"/>
      <c r="AY31" s="35">
        <f t="shared" si="4"/>
        <v>0</v>
      </c>
      <c r="AZ31" s="35"/>
      <c r="BA31" s="35" t="s">
        <v>42</v>
      </c>
      <c r="BB31" s="55"/>
      <c r="BC31" s="35" t="s">
        <v>43</v>
      </c>
      <c r="BD31" s="35"/>
      <c r="BE31" s="35"/>
      <c r="BF31" s="35"/>
      <c r="BG31" s="35"/>
      <c r="BH31" s="35"/>
      <c r="BI31" s="35"/>
      <c r="BJ31" s="35"/>
      <c r="BK31" s="35"/>
      <c r="BL31" s="35"/>
      <c r="BM31" s="35">
        <f>SUM(BE31:BK31)</f>
        <v>0</v>
      </c>
      <c r="BN31" s="54" t="s">
        <v>347</v>
      </c>
    </row>
    <row r="32" spans="1:67" ht="12.75" hidden="1" customHeight="1">
      <c r="A32" s="35" t="s">
        <v>44</v>
      </c>
      <c r="C32" s="35" t="s">
        <v>45</v>
      </c>
      <c r="D32" s="35"/>
      <c r="E32" s="35">
        <f t="shared" si="0"/>
        <v>0</v>
      </c>
      <c r="F32" s="35"/>
      <c r="G32" s="35"/>
      <c r="H32" s="35"/>
      <c r="I32" s="35"/>
      <c r="J32" s="35"/>
      <c r="K32" s="35">
        <f t="shared" si="1"/>
        <v>0</v>
      </c>
      <c r="L32" s="35"/>
      <c r="M32" s="35">
        <f t="shared" si="2"/>
        <v>0</v>
      </c>
      <c r="N32" s="35"/>
      <c r="O32" s="35"/>
      <c r="P32" s="35"/>
      <c r="Q32" s="35"/>
      <c r="R32" s="35"/>
      <c r="S32" s="35">
        <v>0</v>
      </c>
      <c r="T32" s="35"/>
      <c r="U32" s="35"/>
      <c r="V32" s="35"/>
      <c r="W32" s="35">
        <f t="shared" si="3"/>
        <v>0</v>
      </c>
      <c r="X32" s="35"/>
      <c r="Y32" s="35" t="s">
        <v>44</v>
      </c>
      <c r="Z32" s="55"/>
      <c r="AA32" s="35" t="s">
        <v>45</v>
      </c>
      <c r="AB32" s="35"/>
      <c r="AC32" s="35">
        <v>0</v>
      </c>
      <c r="AD32" s="35"/>
      <c r="AE32" s="35">
        <v>0</v>
      </c>
      <c r="AF32" s="35"/>
      <c r="AG32" s="35">
        <v>0</v>
      </c>
      <c r="AH32" s="35"/>
      <c r="AI32" s="45">
        <v>0</v>
      </c>
      <c r="AJ32" s="45"/>
      <c r="AK32" s="35"/>
      <c r="AL32" s="35"/>
      <c r="AM32" s="35">
        <v>0</v>
      </c>
      <c r="AN32" s="35"/>
      <c r="AO32" s="35">
        <v>0</v>
      </c>
      <c r="AP32" s="35"/>
      <c r="AQ32" s="35">
        <v>0</v>
      </c>
      <c r="AR32" s="35"/>
      <c r="AS32" s="45">
        <f t="shared" si="8"/>
        <v>0</v>
      </c>
      <c r="AT32" s="45"/>
      <c r="AU32" s="35">
        <v>0</v>
      </c>
      <c r="AV32" s="35"/>
      <c r="AW32" s="35">
        <v>0</v>
      </c>
      <c r="AX32" s="35"/>
      <c r="AY32" s="35">
        <f t="shared" si="4"/>
        <v>0</v>
      </c>
      <c r="AZ32" s="35"/>
      <c r="BA32" s="35" t="s">
        <v>44</v>
      </c>
      <c r="BB32" s="55"/>
      <c r="BC32" s="35" t="s">
        <v>45</v>
      </c>
      <c r="BD32" s="35"/>
      <c r="BE32" s="35"/>
      <c r="BF32" s="35"/>
      <c r="BG32" s="35"/>
      <c r="BH32" s="35"/>
      <c r="BI32" s="35"/>
      <c r="BJ32" s="35"/>
      <c r="BK32" s="35"/>
      <c r="BL32" s="35"/>
      <c r="BM32" s="35">
        <v>0</v>
      </c>
      <c r="BN32" s="54" t="s">
        <v>347</v>
      </c>
    </row>
    <row r="33" spans="1:67" ht="12.75" hidden="1" customHeight="1">
      <c r="A33" s="35" t="s">
        <v>46</v>
      </c>
      <c r="B33" s="65"/>
      <c r="C33" s="35" t="s">
        <v>47</v>
      </c>
      <c r="D33" s="35"/>
      <c r="E33" s="35">
        <f t="shared" si="0"/>
        <v>0</v>
      </c>
      <c r="F33" s="35"/>
      <c r="G33" s="35"/>
      <c r="H33" s="35"/>
      <c r="I33" s="35"/>
      <c r="J33" s="35"/>
      <c r="K33" s="35">
        <f t="shared" si="1"/>
        <v>0</v>
      </c>
      <c r="L33" s="35"/>
      <c r="M33" s="35">
        <v>0</v>
      </c>
      <c r="N33" s="35"/>
      <c r="O33" s="35"/>
      <c r="P33" s="35"/>
      <c r="Q33" s="35"/>
      <c r="R33" s="35"/>
      <c r="S33" s="35">
        <v>0</v>
      </c>
      <c r="T33" s="35"/>
      <c r="U33" s="35"/>
      <c r="V33" s="35"/>
      <c r="W33" s="35">
        <f t="shared" si="3"/>
        <v>0</v>
      </c>
      <c r="X33" s="35"/>
      <c r="Y33" s="35" t="s">
        <v>46</v>
      </c>
      <c r="Z33" s="55"/>
      <c r="AA33" s="35" t="s">
        <v>47</v>
      </c>
      <c r="AB33" s="35"/>
      <c r="AC33" s="35">
        <v>0</v>
      </c>
      <c r="AD33" s="35"/>
      <c r="AE33" s="35">
        <v>0</v>
      </c>
      <c r="AF33" s="35"/>
      <c r="AG33" s="35">
        <v>0</v>
      </c>
      <c r="AH33" s="35"/>
      <c r="AI33" s="45">
        <f>+AC33-AE33-AG33</f>
        <v>0</v>
      </c>
      <c r="AJ33" s="45"/>
      <c r="AK33" s="35"/>
      <c r="AL33" s="35"/>
      <c r="AM33" s="35">
        <v>0</v>
      </c>
      <c r="AN33" s="35"/>
      <c r="AO33" s="35">
        <v>0</v>
      </c>
      <c r="AP33" s="35"/>
      <c r="AQ33" s="35">
        <v>0</v>
      </c>
      <c r="AR33" s="35"/>
      <c r="AS33" s="45">
        <f t="shared" si="8"/>
        <v>0</v>
      </c>
      <c r="AT33" s="45"/>
      <c r="AU33" s="35">
        <v>0</v>
      </c>
      <c r="AV33" s="35"/>
      <c r="AW33" s="35">
        <v>0</v>
      </c>
      <c r="AX33" s="35"/>
      <c r="AY33" s="35">
        <f t="shared" si="4"/>
        <v>0</v>
      </c>
      <c r="AZ33" s="35"/>
      <c r="BA33" s="35" t="s">
        <v>46</v>
      </c>
      <c r="BB33" s="55"/>
      <c r="BC33" s="35" t="s">
        <v>47</v>
      </c>
      <c r="BD33" s="35"/>
      <c r="BE33" s="35"/>
      <c r="BF33" s="35"/>
      <c r="BG33" s="35"/>
      <c r="BH33" s="35"/>
      <c r="BI33" s="35"/>
      <c r="BJ33" s="35"/>
      <c r="BK33" s="35"/>
      <c r="BL33" s="35"/>
      <c r="BM33" s="35">
        <f>SUM(BE33:BK33)</f>
        <v>0</v>
      </c>
      <c r="BN33" s="54" t="s">
        <v>347</v>
      </c>
    </row>
    <row r="34" spans="1:67" ht="12.75" hidden="1" customHeight="1">
      <c r="A34" s="35" t="s">
        <v>48</v>
      </c>
      <c r="C34" s="35" t="s">
        <v>27</v>
      </c>
      <c r="D34" s="35"/>
      <c r="E34" s="35">
        <f t="shared" si="0"/>
        <v>0</v>
      </c>
      <c r="F34" s="35"/>
      <c r="G34" s="35"/>
      <c r="H34" s="35"/>
      <c r="I34" s="35"/>
      <c r="J34" s="35"/>
      <c r="K34" s="35">
        <f t="shared" si="1"/>
        <v>0</v>
      </c>
      <c r="L34" s="35"/>
      <c r="M34" s="35">
        <f t="shared" si="2"/>
        <v>0</v>
      </c>
      <c r="N34" s="35"/>
      <c r="O34" s="35"/>
      <c r="P34" s="35"/>
      <c r="Q34" s="35"/>
      <c r="R34" s="35"/>
      <c r="S34" s="35">
        <v>0</v>
      </c>
      <c r="T34" s="35"/>
      <c r="U34" s="35"/>
      <c r="V34" s="35"/>
      <c r="W34" s="35">
        <v>0</v>
      </c>
      <c r="X34" s="35"/>
      <c r="Y34" s="35" t="s">
        <v>48</v>
      </c>
      <c r="Z34" s="55"/>
      <c r="AA34" s="35" t="s">
        <v>27</v>
      </c>
      <c r="AB34" s="35"/>
      <c r="AC34" s="35">
        <v>0</v>
      </c>
      <c r="AD34" s="35"/>
      <c r="AE34" s="35">
        <v>0</v>
      </c>
      <c r="AF34" s="35"/>
      <c r="AG34" s="35">
        <v>0</v>
      </c>
      <c r="AH34" s="35"/>
      <c r="AI34" s="45">
        <f t="shared" ref="AI34:AI51" si="9">+AC34-AE34-AG34</f>
        <v>0</v>
      </c>
      <c r="AJ34" s="45"/>
      <c r="AK34" s="35"/>
      <c r="AL34" s="35"/>
      <c r="AM34" s="35">
        <v>0</v>
      </c>
      <c r="AN34" s="35"/>
      <c r="AO34" s="35">
        <v>0</v>
      </c>
      <c r="AP34" s="35"/>
      <c r="AQ34" s="35">
        <v>0</v>
      </c>
      <c r="AR34" s="35"/>
      <c r="AS34" s="45">
        <f t="shared" si="8"/>
        <v>0</v>
      </c>
      <c r="AT34" s="45"/>
      <c r="AU34" s="35">
        <v>0</v>
      </c>
      <c r="AV34" s="35"/>
      <c r="AW34" s="35">
        <v>0</v>
      </c>
      <c r="AX34" s="35"/>
      <c r="AY34" s="35">
        <f t="shared" si="4"/>
        <v>0</v>
      </c>
      <c r="AZ34" s="35"/>
      <c r="BA34" s="35" t="s">
        <v>48</v>
      </c>
      <c r="BB34" s="55"/>
      <c r="BC34" s="35" t="s">
        <v>27</v>
      </c>
      <c r="BD34" s="35"/>
      <c r="BE34" s="35"/>
      <c r="BF34" s="35"/>
      <c r="BG34" s="35"/>
      <c r="BH34" s="35"/>
      <c r="BI34" s="35"/>
      <c r="BJ34" s="35"/>
      <c r="BK34" s="35"/>
      <c r="BL34" s="35"/>
      <c r="BM34" s="35">
        <f t="shared" ref="BM34:BM64" si="10">SUM(BE34:BK34)</f>
        <v>0</v>
      </c>
      <c r="BN34" s="54" t="s">
        <v>347</v>
      </c>
    </row>
    <row r="35" spans="1:67" ht="12.75" hidden="1" customHeight="1">
      <c r="A35" s="35" t="s">
        <v>49</v>
      </c>
      <c r="C35" s="35" t="s">
        <v>27</v>
      </c>
      <c r="D35" s="35"/>
      <c r="E35" s="35">
        <f t="shared" si="0"/>
        <v>0</v>
      </c>
      <c r="F35" s="35"/>
      <c r="G35" s="35"/>
      <c r="H35" s="35"/>
      <c r="I35" s="35"/>
      <c r="J35" s="35"/>
      <c r="K35" s="35">
        <f t="shared" si="1"/>
        <v>0</v>
      </c>
      <c r="L35" s="35"/>
      <c r="M35" s="35">
        <f t="shared" si="2"/>
        <v>0</v>
      </c>
      <c r="N35" s="35"/>
      <c r="O35" s="35"/>
      <c r="P35" s="35"/>
      <c r="Q35" s="35"/>
      <c r="R35" s="35"/>
      <c r="S35" s="35">
        <v>0</v>
      </c>
      <c r="T35" s="35"/>
      <c r="U35" s="35"/>
      <c r="V35" s="35"/>
      <c r="W35" s="35">
        <f t="shared" ref="W35:W72" si="11">SUM(Q35:U35)</f>
        <v>0</v>
      </c>
      <c r="X35" s="35"/>
      <c r="Y35" s="35" t="s">
        <v>49</v>
      </c>
      <c r="Z35" s="55"/>
      <c r="AA35" s="35" t="s">
        <v>27</v>
      </c>
      <c r="AB35" s="35"/>
      <c r="AC35" s="35">
        <v>0</v>
      </c>
      <c r="AD35" s="35"/>
      <c r="AE35" s="35">
        <v>0</v>
      </c>
      <c r="AF35" s="35"/>
      <c r="AG35" s="35">
        <v>0</v>
      </c>
      <c r="AH35" s="35"/>
      <c r="AI35" s="45">
        <f t="shared" si="9"/>
        <v>0</v>
      </c>
      <c r="AJ35" s="45"/>
      <c r="AK35" s="35"/>
      <c r="AL35" s="35"/>
      <c r="AM35" s="35">
        <v>0</v>
      </c>
      <c r="AN35" s="35"/>
      <c r="AO35" s="35">
        <v>0</v>
      </c>
      <c r="AP35" s="35"/>
      <c r="AQ35" s="35">
        <v>0</v>
      </c>
      <c r="AR35" s="35"/>
      <c r="AS35" s="45">
        <v>0</v>
      </c>
      <c r="AT35" s="45"/>
      <c r="AU35" s="35">
        <v>0</v>
      </c>
      <c r="AV35" s="35"/>
      <c r="AW35" s="35">
        <v>0</v>
      </c>
      <c r="AX35" s="35"/>
      <c r="AY35" s="35">
        <f t="shared" si="4"/>
        <v>0</v>
      </c>
      <c r="AZ35" s="35"/>
      <c r="BA35" s="35" t="s">
        <v>49</v>
      </c>
      <c r="BB35" s="55"/>
      <c r="BC35" s="35" t="s">
        <v>27</v>
      </c>
      <c r="BD35" s="35"/>
      <c r="BE35" s="35"/>
      <c r="BF35" s="35"/>
      <c r="BG35" s="35"/>
      <c r="BH35" s="35"/>
      <c r="BI35" s="35"/>
      <c r="BJ35" s="35"/>
      <c r="BK35" s="35"/>
      <c r="BL35" s="35"/>
      <c r="BM35" s="35">
        <f t="shared" si="10"/>
        <v>0</v>
      </c>
      <c r="BN35" s="54" t="s">
        <v>347</v>
      </c>
      <c r="BO35" s="55" t="s">
        <v>371</v>
      </c>
    </row>
    <row r="36" spans="1:67" ht="12.75" hidden="1" customHeight="1">
      <c r="A36" s="35" t="s">
        <v>50</v>
      </c>
      <c r="C36" s="35" t="s">
        <v>27</v>
      </c>
      <c r="D36" s="35"/>
      <c r="E36" s="35">
        <f t="shared" si="0"/>
        <v>0</v>
      </c>
      <c r="F36" s="35"/>
      <c r="G36" s="35"/>
      <c r="H36" s="35"/>
      <c r="I36" s="35"/>
      <c r="J36" s="35"/>
      <c r="K36" s="35">
        <f t="shared" si="1"/>
        <v>0</v>
      </c>
      <c r="L36" s="35"/>
      <c r="M36" s="35">
        <f t="shared" si="2"/>
        <v>0</v>
      </c>
      <c r="N36" s="35"/>
      <c r="O36" s="35"/>
      <c r="P36" s="35"/>
      <c r="Q36" s="35"/>
      <c r="R36" s="35"/>
      <c r="S36" s="35">
        <v>0</v>
      </c>
      <c r="T36" s="35"/>
      <c r="U36" s="35"/>
      <c r="V36" s="35"/>
      <c r="W36" s="35">
        <f t="shared" si="11"/>
        <v>0</v>
      </c>
      <c r="X36" s="35"/>
      <c r="Y36" s="35" t="s">
        <v>50</v>
      </c>
      <c r="Z36" s="55"/>
      <c r="AA36" s="35" t="s">
        <v>27</v>
      </c>
      <c r="AB36" s="35"/>
      <c r="AC36" s="35">
        <v>0</v>
      </c>
      <c r="AD36" s="35"/>
      <c r="AE36" s="35">
        <v>0</v>
      </c>
      <c r="AF36" s="35"/>
      <c r="AG36" s="35">
        <v>0</v>
      </c>
      <c r="AH36" s="35"/>
      <c r="AI36" s="45">
        <f t="shared" si="9"/>
        <v>0</v>
      </c>
      <c r="AJ36" s="45"/>
      <c r="AK36" s="35"/>
      <c r="AL36" s="35"/>
      <c r="AM36" s="35">
        <v>0</v>
      </c>
      <c r="AN36" s="35"/>
      <c r="AO36" s="35">
        <v>0</v>
      </c>
      <c r="AP36" s="35"/>
      <c r="AQ36" s="35">
        <v>0</v>
      </c>
      <c r="AR36" s="35"/>
      <c r="AS36" s="45">
        <f>+AI36+AK36+AM36-AO36+AQ36</f>
        <v>0</v>
      </c>
      <c r="AT36" s="45"/>
      <c r="AU36" s="35">
        <v>0</v>
      </c>
      <c r="AV36" s="35"/>
      <c r="AW36" s="35">
        <v>0</v>
      </c>
      <c r="AX36" s="35"/>
      <c r="AY36" s="35">
        <f t="shared" si="4"/>
        <v>0</v>
      </c>
      <c r="AZ36" s="35"/>
      <c r="BA36" s="35" t="s">
        <v>50</v>
      </c>
      <c r="BB36" s="55"/>
      <c r="BC36" s="35" t="s">
        <v>27</v>
      </c>
      <c r="BD36" s="35"/>
      <c r="BE36" s="35"/>
      <c r="BF36" s="35"/>
      <c r="BG36" s="35"/>
      <c r="BH36" s="35"/>
      <c r="BI36" s="35"/>
      <c r="BJ36" s="35"/>
      <c r="BK36" s="35"/>
      <c r="BL36" s="35"/>
      <c r="BM36" s="35">
        <f t="shared" si="10"/>
        <v>0</v>
      </c>
      <c r="BN36" s="54" t="s">
        <v>347</v>
      </c>
    </row>
    <row r="37" spans="1:67" ht="12.75" hidden="1" customHeight="1">
      <c r="A37" s="35" t="s">
        <v>51</v>
      </c>
      <c r="C37" s="35" t="s">
        <v>27</v>
      </c>
      <c r="D37" s="35"/>
      <c r="E37" s="35">
        <f t="shared" si="0"/>
        <v>0</v>
      </c>
      <c r="F37" s="35"/>
      <c r="G37" s="35"/>
      <c r="H37" s="35"/>
      <c r="I37" s="35"/>
      <c r="J37" s="35"/>
      <c r="K37" s="35">
        <f t="shared" si="1"/>
        <v>0</v>
      </c>
      <c r="L37" s="35"/>
      <c r="M37" s="35">
        <f t="shared" si="2"/>
        <v>0</v>
      </c>
      <c r="N37" s="35"/>
      <c r="O37" s="35"/>
      <c r="P37" s="35"/>
      <c r="Q37" s="35"/>
      <c r="R37" s="35"/>
      <c r="S37" s="35">
        <v>0</v>
      </c>
      <c r="T37" s="35"/>
      <c r="U37" s="35"/>
      <c r="V37" s="35"/>
      <c r="W37" s="35">
        <f t="shared" si="11"/>
        <v>0</v>
      </c>
      <c r="X37" s="35"/>
      <c r="Y37" s="35" t="s">
        <v>51</v>
      </c>
      <c r="Z37" s="55"/>
      <c r="AA37" s="35" t="s">
        <v>27</v>
      </c>
      <c r="AB37" s="35"/>
      <c r="AC37" s="35">
        <v>0</v>
      </c>
      <c r="AD37" s="35"/>
      <c r="AE37" s="35">
        <v>0</v>
      </c>
      <c r="AF37" s="35"/>
      <c r="AG37" s="35">
        <v>0</v>
      </c>
      <c r="AH37" s="35"/>
      <c r="AI37" s="45">
        <f t="shared" si="9"/>
        <v>0</v>
      </c>
      <c r="AJ37" s="45"/>
      <c r="AK37" s="35"/>
      <c r="AL37" s="35"/>
      <c r="AM37" s="35">
        <v>0</v>
      </c>
      <c r="AN37" s="35"/>
      <c r="AO37" s="35">
        <v>0</v>
      </c>
      <c r="AP37" s="35"/>
      <c r="AQ37" s="35">
        <v>0</v>
      </c>
      <c r="AR37" s="35"/>
      <c r="AS37" s="45">
        <v>0</v>
      </c>
      <c r="AT37" s="45"/>
      <c r="AU37" s="35">
        <v>0</v>
      </c>
      <c r="AV37" s="35"/>
      <c r="AW37" s="35">
        <v>0</v>
      </c>
      <c r="AX37" s="35"/>
      <c r="AY37" s="35">
        <f t="shared" si="4"/>
        <v>0</v>
      </c>
      <c r="AZ37" s="35"/>
      <c r="BA37" s="35" t="s">
        <v>51</v>
      </c>
      <c r="BB37" s="55"/>
      <c r="BC37" s="35" t="s">
        <v>27</v>
      </c>
      <c r="BD37" s="35"/>
      <c r="BE37" s="35"/>
      <c r="BF37" s="35"/>
      <c r="BG37" s="35"/>
      <c r="BH37" s="35"/>
      <c r="BI37" s="35"/>
      <c r="BJ37" s="35"/>
      <c r="BK37" s="35"/>
      <c r="BL37" s="35"/>
      <c r="BM37" s="35">
        <f t="shared" si="10"/>
        <v>0</v>
      </c>
      <c r="BN37" s="54" t="s">
        <v>347</v>
      </c>
    </row>
    <row r="38" spans="1:67" ht="12.75" hidden="1" customHeight="1">
      <c r="A38" s="35" t="s">
        <v>52</v>
      </c>
      <c r="C38" s="35" t="s">
        <v>53</v>
      </c>
      <c r="D38" s="35"/>
      <c r="E38" s="35">
        <f t="shared" si="0"/>
        <v>0</v>
      </c>
      <c r="F38" s="35"/>
      <c r="G38" s="35"/>
      <c r="H38" s="35"/>
      <c r="I38" s="35"/>
      <c r="J38" s="35"/>
      <c r="K38" s="35">
        <f t="shared" si="1"/>
        <v>0</v>
      </c>
      <c r="L38" s="35"/>
      <c r="M38" s="35">
        <f t="shared" si="2"/>
        <v>0</v>
      </c>
      <c r="N38" s="35"/>
      <c r="O38" s="35"/>
      <c r="P38" s="35"/>
      <c r="Q38" s="35"/>
      <c r="R38" s="35"/>
      <c r="S38" s="35">
        <v>0</v>
      </c>
      <c r="T38" s="35"/>
      <c r="U38" s="35"/>
      <c r="V38" s="35"/>
      <c r="W38" s="35">
        <f t="shared" si="11"/>
        <v>0</v>
      </c>
      <c r="X38" s="35"/>
      <c r="Y38" s="35" t="s">
        <v>52</v>
      </c>
      <c r="Z38" s="55"/>
      <c r="AA38" s="35" t="s">
        <v>53</v>
      </c>
      <c r="AB38" s="35"/>
      <c r="AC38" s="35">
        <v>0</v>
      </c>
      <c r="AD38" s="35"/>
      <c r="AE38" s="35">
        <v>0</v>
      </c>
      <c r="AF38" s="35"/>
      <c r="AG38" s="35">
        <v>0</v>
      </c>
      <c r="AH38" s="35"/>
      <c r="AI38" s="45">
        <f t="shared" si="9"/>
        <v>0</v>
      </c>
      <c r="AJ38" s="45"/>
      <c r="AK38" s="35"/>
      <c r="AL38" s="35"/>
      <c r="AM38" s="35">
        <v>0</v>
      </c>
      <c r="AN38" s="35"/>
      <c r="AO38" s="35">
        <v>0</v>
      </c>
      <c r="AP38" s="35"/>
      <c r="AQ38" s="35">
        <v>0</v>
      </c>
      <c r="AR38" s="35"/>
      <c r="AS38" s="45">
        <f t="shared" ref="AS38:AS69" si="12">+AI38+AK38+AM38-AO38+AQ38</f>
        <v>0</v>
      </c>
      <c r="AT38" s="45"/>
      <c r="AU38" s="35">
        <v>0</v>
      </c>
      <c r="AV38" s="35"/>
      <c r="AW38" s="35">
        <v>0</v>
      </c>
      <c r="AX38" s="35"/>
      <c r="AY38" s="35">
        <f t="shared" si="4"/>
        <v>0</v>
      </c>
      <c r="AZ38" s="35"/>
      <c r="BA38" s="35" t="s">
        <v>52</v>
      </c>
      <c r="BB38" s="55"/>
      <c r="BC38" s="35" t="s">
        <v>53</v>
      </c>
      <c r="BD38" s="35"/>
      <c r="BE38" s="35"/>
      <c r="BF38" s="35"/>
      <c r="BG38" s="35"/>
      <c r="BH38" s="35"/>
      <c r="BI38" s="35"/>
      <c r="BJ38" s="35"/>
      <c r="BK38" s="35"/>
      <c r="BL38" s="35"/>
      <c r="BM38" s="35">
        <f t="shared" si="10"/>
        <v>0</v>
      </c>
      <c r="BN38" s="54" t="s">
        <v>347</v>
      </c>
    </row>
    <row r="39" spans="1:67" s="90" customFormat="1" ht="12.75" customHeight="1">
      <c r="A39" s="64" t="s">
        <v>54</v>
      </c>
      <c r="B39" s="66"/>
      <c r="C39" s="64" t="s">
        <v>55</v>
      </c>
      <c r="D39" s="64"/>
      <c r="E39" s="64">
        <f t="shared" si="0"/>
        <v>9571176</v>
      </c>
      <c r="F39" s="64"/>
      <c r="G39" s="64">
        <v>18837293</v>
      </c>
      <c r="H39" s="64"/>
      <c r="I39" s="64">
        <v>28408469</v>
      </c>
      <c r="J39" s="64"/>
      <c r="K39" s="64">
        <f t="shared" si="1"/>
        <v>2226691</v>
      </c>
      <c r="L39" s="64"/>
      <c r="M39" s="64">
        <v>3478395</v>
      </c>
      <c r="N39" s="64"/>
      <c r="O39" s="64">
        <v>5705086</v>
      </c>
      <c r="P39" s="64"/>
      <c r="Q39" s="64">
        <v>11918365</v>
      </c>
      <c r="R39" s="64"/>
      <c r="S39" s="64">
        <v>0</v>
      </c>
      <c r="T39" s="64"/>
      <c r="U39" s="64">
        <v>10785018</v>
      </c>
      <c r="V39" s="64"/>
      <c r="W39" s="64">
        <f t="shared" si="11"/>
        <v>22703383</v>
      </c>
      <c r="X39" s="64"/>
      <c r="Y39" s="64" t="s">
        <v>54</v>
      </c>
      <c r="AA39" s="64" t="s">
        <v>55</v>
      </c>
      <c r="AB39" s="64"/>
      <c r="AC39" s="64">
        <v>20752471</v>
      </c>
      <c r="AD39" s="64"/>
      <c r="AE39" s="64">
        <f>20085072-958111</f>
        <v>19126961</v>
      </c>
      <c r="AF39" s="64"/>
      <c r="AG39" s="64">
        <v>958111</v>
      </c>
      <c r="AH39" s="64"/>
      <c r="AI39" s="94">
        <f t="shared" si="9"/>
        <v>667399</v>
      </c>
      <c r="AJ39" s="94"/>
      <c r="AK39" s="64">
        <v>92354</v>
      </c>
      <c r="AL39" s="64"/>
      <c r="AM39" s="64">
        <v>0</v>
      </c>
      <c r="AN39" s="64"/>
      <c r="AO39" s="64">
        <v>6450</v>
      </c>
      <c r="AP39" s="64"/>
      <c r="AQ39" s="64">
        <v>0</v>
      </c>
      <c r="AR39" s="64"/>
      <c r="AS39" s="94">
        <f t="shared" si="12"/>
        <v>753303</v>
      </c>
      <c r="AT39" s="94"/>
      <c r="AU39" s="64">
        <v>0</v>
      </c>
      <c r="AV39" s="64"/>
      <c r="AW39" s="64">
        <v>0</v>
      </c>
      <c r="AX39" s="64"/>
      <c r="AY39" s="64">
        <f t="shared" si="4"/>
        <v>7344485</v>
      </c>
      <c r="AZ39" s="64"/>
      <c r="BA39" s="64" t="s">
        <v>54</v>
      </c>
      <c r="BC39" s="64" t="s">
        <v>55</v>
      </c>
      <c r="BD39" s="64"/>
      <c r="BE39" s="64">
        <v>0</v>
      </c>
      <c r="BF39" s="64"/>
      <c r="BG39" s="64">
        <v>0</v>
      </c>
      <c r="BH39" s="64"/>
      <c r="BI39" s="64">
        <v>3740000</v>
      </c>
      <c r="BJ39" s="64"/>
      <c r="BK39" s="64">
        <v>0</v>
      </c>
      <c r="BL39" s="64"/>
      <c r="BM39" s="64">
        <f t="shared" si="10"/>
        <v>3740000</v>
      </c>
      <c r="BN39" s="91" t="s">
        <v>347</v>
      </c>
    </row>
    <row r="40" spans="1:67" ht="12.75" hidden="1" customHeight="1">
      <c r="A40" s="35" t="s">
        <v>56</v>
      </c>
      <c r="C40" s="35" t="s">
        <v>57</v>
      </c>
      <c r="D40" s="35"/>
      <c r="E40" s="35">
        <f t="shared" si="0"/>
        <v>0</v>
      </c>
      <c r="F40" s="35"/>
      <c r="G40" s="35"/>
      <c r="H40" s="35"/>
      <c r="I40" s="35"/>
      <c r="J40" s="35"/>
      <c r="K40" s="35">
        <f t="shared" si="1"/>
        <v>0</v>
      </c>
      <c r="L40" s="35"/>
      <c r="M40" s="35">
        <v>0</v>
      </c>
      <c r="N40" s="35"/>
      <c r="O40" s="35"/>
      <c r="P40" s="35"/>
      <c r="Q40" s="35"/>
      <c r="R40" s="35"/>
      <c r="S40" s="35">
        <v>0</v>
      </c>
      <c r="T40" s="35"/>
      <c r="U40" s="35"/>
      <c r="V40" s="35"/>
      <c r="W40" s="35">
        <f t="shared" si="11"/>
        <v>0</v>
      </c>
      <c r="X40" s="35"/>
      <c r="Y40" s="35" t="s">
        <v>56</v>
      </c>
      <c r="Z40" s="55"/>
      <c r="AA40" s="35" t="s">
        <v>57</v>
      </c>
      <c r="AB40" s="35"/>
      <c r="AC40" s="35">
        <v>0</v>
      </c>
      <c r="AD40" s="35"/>
      <c r="AE40" s="35">
        <v>0</v>
      </c>
      <c r="AF40" s="35"/>
      <c r="AG40" s="35">
        <v>0</v>
      </c>
      <c r="AH40" s="35"/>
      <c r="AI40" s="45">
        <f t="shared" si="9"/>
        <v>0</v>
      </c>
      <c r="AJ40" s="45"/>
      <c r="AK40" s="35"/>
      <c r="AL40" s="35"/>
      <c r="AM40" s="35">
        <v>0</v>
      </c>
      <c r="AN40" s="35"/>
      <c r="AO40" s="35">
        <v>0</v>
      </c>
      <c r="AP40" s="35"/>
      <c r="AQ40" s="35">
        <v>0</v>
      </c>
      <c r="AR40" s="35"/>
      <c r="AS40" s="45">
        <f t="shared" si="12"/>
        <v>0</v>
      </c>
      <c r="AT40" s="45"/>
      <c r="AU40" s="35">
        <v>0</v>
      </c>
      <c r="AV40" s="35"/>
      <c r="AW40" s="35">
        <v>0</v>
      </c>
      <c r="AX40" s="35"/>
      <c r="AY40" s="35">
        <f t="shared" si="4"/>
        <v>0</v>
      </c>
      <c r="AZ40" s="35"/>
      <c r="BA40" s="35" t="s">
        <v>56</v>
      </c>
      <c r="BB40" s="55"/>
      <c r="BC40" s="35" t="s">
        <v>57</v>
      </c>
      <c r="BD40" s="35"/>
      <c r="BE40" s="35"/>
      <c r="BF40" s="35"/>
      <c r="BG40" s="35"/>
      <c r="BH40" s="35"/>
      <c r="BI40" s="35"/>
      <c r="BJ40" s="35"/>
      <c r="BK40" s="35"/>
      <c r="BL40" s="35"/>
      <c r="BM40" s="35">
        <f t="shared" si="10"/>
        <v>0</v>
      </c>
      <c r="BN40" s="54" t="s">
        <v>347</v>
      </c>
    </row>
    <row r="41" spans="1:67" ht="12.75" hidden="1" customHeight="1">
      <c r="A41" s="35" t="s">
        <v>58</v>
      </c>
      <c r="C41" s="35" t="s">
        <v>59</v>
      </c>
      <c r="D41" s="35"/>
      <c r="E41" s="35">
        <f t="shared" si="0"/>
        <v>0</v>
      </c>
      <c r="F41" s="35"/>
      <c r="G41" s="35"/>
      <c r="H41" s="35"/>
      <c r="I41" s="35"/>
      <c r="J41" s="35"/>
      <c r="K41" s="35">
        <f t="shared" si="1"/>
        <v>0</v>
      </c>
      <c r="L41" s="35"/>
      <c r="M41" s="35">
        <v>0</v>
      </c>
      <c r="N41" s="35"/>
      <c r="O41" s="35"/>
      <c r="P41" s="35"/>
      <c r="Q41" s="35"/>
      <c r="R41" s="35"/>
      <c r="S41" s="35">
        <v>0</v>
      </c>
      <c r="T41" s="35"/>
      <c r="U41" s="35"/>
      <c r="V41" s="35"/>
      <c r="W41" s="35">
        <f t="shared" si="11"/>
        <v>0</v>
      </c>
      <c r="X41" s="35"/>
      <c r="Y41" s="35" t="s">
        <v>58</v>
      </c>
      <c r="Z41" s="55"/>
      <c r="AA41" s="35" t="s">
        <v>59</v>
      </c>
      <c r="AB41" s="35"/>
      <c r="AC41" s="35">
        <v>0</v>
      </c>
      <c r="AD41" s="35"/>
      <c r="AE41" s="35">
        <v>0</v>
      </c>
      <c r="AF41" s="35"/>
      <c r="AG41" s="35">
        <v>0</v>
      </c>
      <c r="AH41" s="35"/>
      <c r="AI41" s="45">
        <f t="shared" si="9"/>
        <v>0</v>
      </c>
      <c r="AJ41" s="45"/>
      <c r="AK41" s="35"/>
      <c r="AL41" s="35"/>
      <c r="AM41" s="35">
        <v>0</v>
      </c>
      <c r="AN41" s="35"/>
      <c r="AO41" s="35">
        <v>0</v>
      </c>
      <c r="AP41" s="35"/>
      <c r="AQ41" s="35">
        <v>0</v>
      </c>
      <c r="AR41" s="35"/>
      <c r="AS41" s="45">
        <f t="shared" si="12"/>
        <v>0</v>
      </c>
      <c r="AT41" s="45"/>
      <c r="AU41" s="35">
        <v>0</v>
      </c>
      <c r="AV41" s="35"/>
      <c r="AW41" s="35">
        <v>0</v>
      </c>
      <c r="AX41" s="35"/>
      <c r="AY41" s="35">
        <f t="shared" si="4"/>
        <v>0</v>
      </c>
      <c r="AZ41" s="35"/>
      <c r="BA41" s="35" t="s">
        <v>58</v>
      </c>
      <c r="BB41" s="55"/>
      <c r="BC41" s="35" t="s">
        <v>59</v>
      </c>
      <c r="BD41" s="35"/>
      <c r="BE41" s="35"/>
      <c r="BF41" s="35"/>
      <c r="BG41" s="35"/>
      <c r="BH41" s="35"/>
      <c r="BI41" s="35"/>
      <c r="BJ41" s="35"/>
      <c r="BK41" s="35"/>
      <c r="BL41" s="35"/>
      <c r="BM41" s="35">
        <f t="shared" si="10"/>
        <v>0</v>
      </c>
      <c r="BN41" s="54" t="s">
        <v>347</v>
      </c>
    </row>
    <row r="42" spans="1:67" ht="12.75" hidden="1" customHeight="1">
      <c r="A42" s="44" t="s">
        <v>476</v>
      </c>
      <c r="C42" s="35" t="s">
        <v>15</v>
      </c>
      <c r="D42" s="35"/>
      <c r="E42" s="35">
        <f t="shared" si="0"/>
        <v>0</v>
      </c>
      <c r="F42" s="35"/>
      <c r="G42" s="35"/>
      <c r="H42" s="35"/>
      <c r="I42" s="35"/>
      <c r="J42" s="35"/>
      <c r="K42" s="35">
        <f t="shared" si="1"/>
        <v>0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f t="shared" si="11"/>
        <v>0</v>
      </c>
      <c r="X42" s="35"/>
      <c r="Y42" s="44" t="s">
        <v>62</v>
      </c>
      <c r="Z42" s="55"/>
      <c r="AA42" s="35" t="s">
        <v>15</v>
      </c>
      <c r="AB42" s="35"/>
      <c r="AC42" s="35"/>
      <c r="AD42" s="35"/>
      <c r="AE42" s="35"/>
      <c r="AF42" s="35"/>
      <c r="AG42" s="35"/>
      <c r="AH42" s="35"/>
      <c r="AI42" s="45">
        <f t="shared" si="9"/>
        <v>0</v>
      </c>
      <c r="AJ42" s="45"/>
      <c r="AK42" s="35"/>
      <c r="AL42" s="35"/>
      <c r="AM42" s="35"/>
      <c r="AN42" s="35"/>
      <c r="AO42" s="35"/>
      <c r="AP42" s="35"/>
      <c r="AQ42" s="35"/>
      <c r="AR42" s="35"/>
      <c r="AS42" s="45">
        <f t="shared" si="12"/>
        <v>0</v>
      </c>
      <c r="AT42" s="45"/>
      <c r="AU42" s="35">
        <v>0</v>
      </c>
      <c r="AV42" s="35"/>
      <c r="AW42" s="35">
        <v>0</v>
      </c>
      <c r="AX42" s="35"/>
      <c r="AY42" s="35">
        <f t="shared" si="4"/>
        <v>0</v>
      </c>
      <c r="AZ42" s="35"/>
      <c r="BA42" s="44" t="s">
        <v>62</v>
      </c>
      <c r="BB42" s="55"/>
      <c r="BC42" s="35" t="s">
        <v>15</v>
      </c>
      <c r="BD42" s="35"/>
      <c r="BE42" s="35"/>
      <c r="BF42" s="35"/>
      <c r="BG42" s="35"/>
      <c r="BH42" s="35"/>
      <c r="BI42" s="35"/>
      <c r="BJ42" s="35"/>
      <c r="BK42" s="35"/>
      <c r="BL42" s="35"/>
      <c r="BM42" s="35">
        <f t="shared" si="10"/>
        <v>0</v>
      </c>
      <c r="BN42" s="54" t="s">
        <v>347</v>
      </c>
    </row>
    <row r="43" spans="1:67" ht="12.75" hidden="1" customHeight="1">
      <c r="A43" s="35" t="s">
        <v>60</v>
      </c>
      <c r="C43" s="35" t="s">
        <v>61</v>
      </c>
      <c r="D43" s="35"/>
      <c r="E43" s="35">
        <f t="shared" si="0"/>
        <v>0</v>
      </c>
      <c r="F43" s="35"/>
      <c r="G43" s="35"/>
      <c r="H43" s="35"/>
      <c r="I43" s="35"/>
      <c r="J43" s="35"/>
      <c r="K43" s="35">
        <f t="shared" si="1"/>
        <v>0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>
        <f t="shared" si="11"/>
        <v>0</v>
      </c>
      <c r="X43" s="35"/>
      <c r="Y43" s="35" t="s">
        <v>60</v>
      </c>
      <c r="Z43" s="55"/>
      <c r="AA43" s="35" t="s">
        <v>61</v>
      </c>
      <c r="AB43" s="35"/>
      <c r="AC43" s="35"/>
      <c r="AD43" s="35"/>
      <c r="AE43" s="35"/>
      <c r="AF43" s="35"/>
      <c r="AG43" s="35"/>
      <c r="AH43" s="35"/>
      <c r="AI43" s="45">
        <f t="shared" si="9"/>
        <v>0</v>
      </c>
      <c r="AJ43" s="45"/>
      <c r="AK43" s="35"/>
      <c r="AL43" s="35"/>
      <c r="AM43" s="35"/>
      <c r="AN43" s="35"/>
      <c r="AO43" s="35"/>
      <c r="AP43" s="35"/>
      <c r="AQ43" s="35"/>
      <c r="AR43" s="35"/>
      <c r="AS43" s="45">
        <f t="shared" si="12"/>
        <v>0</v>
      </c>
      <c r="AT43" s="45"/>
      <c r="AU43" s="35">
        <v>0</v>
      </c>
      <c r="AV43" s="35"/>
      <c r="AW43" s="35">
        <v>0</v>
      </c>
      <c r="AX43" s="35"/>
      <c r="AY43" s="35">
        <f t="shared" ref="AY43:AY74" si="13">+E43-K43</f>
        <v>0</v>
      </c>
      <c r="AZ43" s="35"/>
      <c r="BA43" s="35" t="s">
        <v>60</v>
      </c>
      <c r="BB43" s="55"/>
      <c r="BC43" s="35" t="s">
        <v>61</v>
      </c>
      <c r="BD43" s="35"/>
      <c r="BE43" s="35"/>
      <c r="BF43" s="35"/>
      <c r="BG43" s="35"/>
      <c r="BH43" s="35"/>
      <c r="BI43" s="35"/>
      <c r="BJ43" s="35"/>
      <c r="BK43" s="35"/>
      <c r="BL43" s="35"/>
      <c r="BM43" s="35">
        <f t="shared" si="10"/>
        <v>0</v>
      </c>
      <c r="BN43" s="54" t="s">
        <v>347</v>
      </c>
    </row>
    <row r="44" spans="1:67" ht="12.75" hidden="1" customHeight="1">
      <c r="A44" s="44" t="s">
        <v>62</v>
      </c>
      <c r="C44" s="35" t="s">
        <v>15</v>
      </c>
      <c r="D44" s="35"/>
      <c r="E44" s="35">
        <f t="shared" si="0"/>
        <v>0</v>
      </c>
      <c r="F44" s="35"/>
      <c r="G44" s="35"/>
      <c r="H44" s="35"/>
      <c r="I44" s="35"/>
      <c r="J44" s="35"/>
      <c r="K44" s="35">
        <f t="shared" si="1"/>
        <v>0</v>
      </c>
      <c r="L44" s="35"/>
      <c r="M44" s="35">
        <v>0</v>
      </c>
      <c r="N44" s="35"/>
      <c r="O44" s="35"/>
      <c r="P44" s="35"/>
      <c r="Q44" s="35"/>
      <c r="R44" s="35"/>
      <c r="S44" s="35">
        <v>0</v>
      </c>
      <c r="T44" s="35"/>
      <c r="U44" s="35"/>
      <c r="V44" s="35"/>
      <c r="W44" s="35">
        <f t="shared" si="11"/>
        <v>0</v>
      </c>
      <c r="X44" s="35"/>
      <c r="Y44" s="44" t="s">
        <v>62</v>
      </c>
      <c r="Z44" s="55"/>
      <c r="AA44" s="35" t="s">
        <v>15</v>
      </c>
      <c r="AB44" s="35"/>
      <c r="AC44" s="35">
        <v>0</v>
      </c>
      <c r="AD44" s="35"/>
      <c r="AE44" s="35">
        <v>0</v>
      </c>
      <c r="AF44" s="35"/>
      <c r="AG44" s="35">
        <v>0</v>
      </c>
      <c r="AH44" s="35"/>
      <c r="AI44" s="45">
        <f t="shared" si="9"/>
        <v>0</v>
      </c>
      <c r="AJ44" s="45"/>
      <c r="AK44" s="35"/>
      <c r="AL44" s="35"/>
      <c r="AM44" s="35">
        <v>0</v>
      </c>
      <c r="AN44" s="35"/>
      <c r="AO44" s="35">
        <v>0</v>
      </c>
      <c r="AP44" s="35"/>
      <c r="AQ44" s="35">
        <v>0</v>
      </c>
      <c r="AR44" s="35"/>
      <c r="AS44" s="45">
        <f t="shared" si="12"/>
        <v>0</v>
      </c>
      <c r="AT44" s="45"/>
      <c r="AU44" s="35">
        <v>0</v>
      </c>
      <c r="AV44" s="35"/>
      <c r="AW44" s="35">
        <v>0</v>
      </c>
      <c r="AX44" s="35"/>
      <c r="AY44" s="35">
        <f t="shared" si="13"/>
        <v>0</v>
      </c>
      <c r="AZ44" s="35"/>
      <c r="BA44" s="44" t="s">
        <v>62</v>
      </c>
      <c r="BB44" s="55"/>
      <c r="BC44" s="35" t="s">
        <v>15</v>
      </c>
      <c r="BD44" s="35"/>
      <c r="BE44" s="35"/>
      <c r="BF44" s="35"/>
      <c r="BG44" s="35"/>
      <c r="BH44" s="35"/>
      <c r="BI44" s="35"/>
      <c r="BJ44" s="35"/>
      <c r="BK44" s="35"/>
      <c r="BL44" s="35"/>
      <c r="BM44" s="35">
        <f t="shared" si="10"/>
        <v>0</v>
      </c>
      <c r="BN44" s="54" t="s">
        <v>347</v>
      </c>
    </row>
    <row r="45" spans="1:67" ht="12.75" hidden="1" customHeight="1">
      <c r="A45" s="35" t="s">
        <v>485</v>
      </c>
      <c r="C45" s="35" t="s">
        <v>111</v>
      </c>
      <c r="D45" s="35"/>
      <c r="E45" s="35">
        <f t="shared" si="0"/>
        <v>0</v>
      </c>
      <c r="F45" s="35"/>
      <c r="G45" s="35"/>
      <c r="H45" s="35"/>
      <c r="I45" s="35"/>
      <c r="J45" s="35"/>
      <c r="K45" s="35">
        <f t="shared" si="1"/>
        <v>0</v>
      </c>
      <c r="L45" s="35"/>
      <c r="M45" s="35">
        <v>0</v>
      </c>
      <c r="N45" s="35"/>
      <c r="O45" s="35"/>
      <c r="P45" s="35"/>
      <c r="Q45" s="35"/>
      <c r="R45" s="35"/>
      <c r="S45" s="35">
        <v>0</v>
      </c>
      <c r="T45" s="35"/>
      <c r="U45" s="35"/>
      <c r="V45" s="35"/>
      <c r="W45" s="35">
        <f t="shared" si="11"/>
        <v>0</v>
      </c>
      <c r="X45" s="35"/>
      <c r="Y45" s="35" t="s">
        <v>485</v>
      </c>
      <c r="Z45" s="55"/>
      <c r="AA45" s="35" t="s">
        <v>111</v>
      </c>
      <c r="AB45" s="35"/>
      <c r="AC45" s="35">
        <v>0</v>
      </c>
      <c r="AD45" s="35"/>
      <c r="AE45" s="35">
        <v>0</v>
      </c>
      <c r="AF45" s="35"/>
      <c r="AG45" s="35">
        <v>0</v>
      </c>
      <c r="AH45" s="35"/>
      <c r="AI45" s="45">
        <f t="shared" si="9"/>
        <v>0</v>
      </c>
      <c r="AJ45" s="45"/>
      <c r="AK45" s="35"/>
      <c r="AL45" s="35"/>
      <c r="AM45" s="35">
        <v>0</v>
      </c>
      <c r="AN45" s="35"/>
      <c r="AO45" s="35">
        <v>0</v>
      </c>
      <c r="AP45" s="35"/>
      <c r="AQ45" s="35">
        <v>0</v>
      </c>
      <c r="AR45" s="35"/>
      <c r="AS45" s="45">
        <f t="shared" si="12"/>
        <v>0</v>
      </c>
      <c r="AT45" s="45"/>
      <c r="AU45" s="35">
        <v>0</v>
      </c>
      <c r="AV45" s="35"/>
      <c r="AW45" s="35">
        <v>0</v>
      </c>
      <c r="AX45" s="35"/>
      <c r="AY45" s="35">
        <f t="shared" si="13"/>
        <v>0</v>
      </c>
      <c r="AZ45" s="35"/>
      <c r="BA45" s="35" t="s">
        <v>485</v>
      </c>
      <c r="BB45" s="55"/>
      <c r="BC45" s="35" t="s">
        <v>111</v>
      </c>
      <c r="BD45" s="35"/>
      <c r="BE45" s="35"/>
      <c r="BF45" s="35"/>
      <c r="BG45" s="35"/>
      <c r="BH45" s="35"/>
      <c r="BI45" s="35"/>
      <c r="BJ45" s="35"/>
      <c r="BK45" s="35"/>
      <c r="BL45" s="35"/>
      <c r="BM45" s="35">
        <f t="shared" si="10"/>
        <v>0</v>
      </c>
      <c r="BN45" s="54" t="s">
        <v>347</v>
      </c>
    </row>
    <row r="46" spans="1:67" ht="12.75" customHeight="1">
      <c r="A46" s="35" t="s">
        <v>63</v>
      </c>
      <c r="C46" s="35" t="s">
        <v>64</v>
      </c>
      <c r="D46" s="35"/>
      <c r="E46" s="35">
        <f t="shared" si="0"/>
        <v>-6068567</v>
      </c>
      <c r="F46" s="35"/>
      <c r="G46" s="35">
        <v>13400164</v>
      </c>
      <c r="H46" s="35"/>
      <c r="I46" s="35">
        <v>7331597</v>
      </c>
      <c r="J46" s="35"/>
      <c r="K46" s="35">
        <f t="shared" si="1"/>
        <v>1822748</v>
      </c>
      <c r="L46" s="35"/>
      <c r="M46" s="35">
        <v>1676119</v>
      </c>
      <c r="N46" s="35"/>
      <c r="O46" s="35">
        <v>3498867</v>
      </c>
      <c r="P46" s="35"/>
      <c r="Q46" s="35">
        <v>11707304</v>
      </c>
      <c r="R46" s="35"/>
      <c r="S46" s="35">
        <v>0</v>
      </c>
      <c r="T46" s="35"/>
      <c r="U46" s="35">
        <v>5525590</v>
      </c>
      <c r="V46" s="35"/>
      <c r="W46" s="35">
        <f t="shared" si="11"/>
        <v>17232894</v>
      </c>
      <c r="X46" s="35"/>
      <c r="Y46" s="35" t="s">
        <v>63</v>
      </c>
      <c r="Z46" s="55"/>
      <c r="AA46" s="35" t="s">
        <v>64</v>
      </c>
      <c r="AB46" s="35"/>
      <c r="AC46" s="35">
        <v>15585975</v>
      </c>
      <c r="AD46" s="35"/>
      <c r="AE46" s="35">
        <f>16874639-863865</f>
        <v>16010774</v>
      </c>
      <c r="AF46" s="35"/>
      <c r="AG46" s="35">
        <v>863865</v>
      </c>
      <c r="AH46" s="35"/>
      <c r="AI46" s="45">
        <f t="shared" si="9"/>
        <v>-1288664</v>
      </c>
      <c r="AJ46" s="45"/>
      <c r="AK46" s="35">
        <v>153182</v>
      </c>
      <c r="AL46" s="35"/>
      <c r="AM46" s="35">
        <v>0</v>
      </c>
      <c r="AN46" s="35"/>
      <c r="AO46" s="35">
        <v>12294</v>
      </c>
      <c r="AP46" s="35"/>
      <c r="AQ46" s="35">
        <v>0</v>
      </c>
      <c r="AR46" s="35"/>
      <c r="AS46" s="45">
        <f t="shared" si="12"/>
        <v>-1147776</v>
      </c>
      <c r="AT46" s="45"/>
      <c r="AU46" s="35">
        <v>0</v>
      </c>
      <c r="AV46" s="35"/>
      <c r="AW46" s="35">
        <v>0</v>
      </c>
      <c r="AX46" s="35"/>
      <c r="AY46" s="35">
        <f t="shared" si="13"/>
        <v>-7891315</v>
      </c>
      <c r="AZ46" s="35"/>
      <c r="BA46" s="35" t="s">
        <v>63</v>
      </c>
      <c r="BB46" s="55"/>
      <c r="BC46" s="35" t="s">
        <v>64</v>
      </c>
      <c r="BD46" s="35"/>
      <c r="BE46" s="35">
        <f>1660000+22846</f>
        <v>1682846</v>
      </c>
      <c r="BF46" s="35"/>
      <c r="BG46" s="35">
        <v>0</v>
      </c>
      <c r="BH46" s="35"/>
      <c r="BI46" s="35">
        <v>0</v>
      </c>
      <c r="BJ46" s="35"/>
      <c r="BK46" s="35">
        <v>0</v>
      </c>
      <c r="BL46" s="35"/>
      <c r="BM46" s="35">
        <f t="shared" si="10"/>
        <v>1682846</v>
      </c>
      <c r="BN46" s="54" t="s">
        <v>347</v>
      </c>
      <c r="BO46" s="55" t="s">
        <v>315</v>
      </c>
    </row>
    <row r="47" spans="1:67" ht="12.75" hidden="1" customHeight="1">
      <c r="A47" s="35" t="s">
        <v>65</v>
      </c>
      <c r="C47" s="35" t="s">
        <v>66</v>
      </c>
      <c r="D47" s="35"/>
      <c r="E47" s="35">
        <f t="shared" si="0"/>
        <v>0</v>
      </c>
      <c r="F47" s="35"/>
      <c r="G47" s="35"/>
      <c r="H47" s="35"/>
      <c r="I47" s="35"/>
      <c r="J47" s="35"/>
      <c r="K47" s="35">
        <f t="shared" si="1"/>
        <v>0</v>
      </c>
      <c r="L47" s="35"/>
      <c r="M47" s="35">
        <v>0</v>
      </c>
      <c r="N47" s="35"/>
      <c r="O47" s="35"/>
      <c r="P47" s="35"/>
      <c r="Q47" s="35"/>
      <c r="R47" s="35"/>
      <c r="S47" s="35">
        <v>0</v>
      </c>
      <c r="T47" s="35"/>
      <c r="U47" s="35"/>
      <c r="V47" s="35"/>
      <c r="W47" s="35">
        <f t="shared" si="11"/>
        <v>0</v>
      </c>
      <c r="X47" s="35"/>
      <c r="Y47" s="35" t="s">
        <v>65</v>
      </c>
      <c r="Z47" s="55"/>
      <c r="AA47" s="35" t="s">
        <v>66</v>
      </c>
      <c r="AB47" s="35"/>
      <c r="AC47" s="35">
        <v>0</v>
      </c>
      <c r="AD47" s="35"/>
      <c r="AE47" s="35">
        <v>0</v>
      </c>
      <c r="AF47" s="35"/>
      <c r="AG47" s="35">
        <v>0</v>
      </c>
      <c r="AH47" s="35"/>
      <c r="AI47" s="45">
        <f t="shared" si="9"/>
        <v>0</v>
      </c>
      <c r="AJ47" s="45"/>
      <c r="AK47" s="35"/>
      <c r="AL47" s="35"/>
      <c r="AM47" s="35">
        <v>0</v>
      </c>
      <c r="AN47" s="35"/>
      <c r="AO47" s="35">
        <v>0</v>
      </c>
      <c r="AP47" s="35"/>
      <c r="AQ47" s="35">
        <v>0</v>
      </c>
      <c r="AR47" s="35"/>
      <c r="AS47" s="45">
        <f t="shared" si="12"/>
        <v>0</v>
      </c>
      <c r="AT47" s="45"/>
      <c r="AU47" s="35">
        <v>0</v>
      </c>
      <c r="AV47" s="35"/>
      <c r="AW47" s="35">
        <v>0</v>
      </c>
      <c r="AX47" s="35"/>
      <c r="AY47" s="35">
        <f t="shared" si="13"/>
        <v>0</v>
      </c>
      <c r="AZ47" s="35"/>
      <c r="BA47" s="35" t="s">
        <v>65</v>
      </c>
      <c r="BB47" s="55"/>
      <c r="BC47" s="35" t="s">
        <v>66</v>
      </c>
      <c r="BD47" s="35"/>
      <c r="BE47" s="35"/>
      <c r="BF47" s="35"/>
      <c r="BG47" s="35"/>
      <c r="BH47" s="35"/>
      <c r="BI47" s="35"/>
      <c r="BJ47" s="35"/>
      <c r="BK47" s="35"/>
      <c r="BL47" s="35"/>
      <c r="BM47" s="35">
        <f t="shared" si="10"/>
        <v>0</v>
      </c>
      <c r="BN47" s="54" t="s">
        <v>347</v>
      </c>
    </row>
    <row r="48" spans="1:67" ht="12.75" hidden="1" customHeight="1">
      <c r="A48" s="35" t="s">
        <v>67</v>
      </c>
      <c r="C48" s="35" t="s">
        <v>375</v>
      </c>
      <c r="D48" s="35"/>
      <c r="E48" s="35">
        <f t="shared" si="0"/>
        <v>0</v>
      </c>
      <c r="F48" s="35"/>
      <c r="G48" s="35"/>
      <c r="H48" s="35"/>
      <c r="I48" s="35"/>
      <c r="J48" s="35"/>
      <c r="K48" s="35">
        <f t="shared" si="1"/>
        <v>0</v>
      </c>
      <c r="L48" s="35"/>
      <c r="M48" s="35">
        <v>0</v>
      </c>
      <c r="N48" s="35"/>
      <c r="O48" s="35"/>
      <c r="P48" s="35"/>
      <c r="Q48" s="35"/>
      <c r="R48" s="35"/>
      <c r="S48" s="35">
        <v>0</v>
      </c>
      <c r="T48" s="35"/>
      <c r="U48" s="35"/>
      <c r="V48" s="35"/>
      <c r="W48" s="35">
        <f t="shared" si="11"/>
        <v>0</v>
      </c>
      <c r="X48" s="35"/>
      <c r="Y48" s="35" t="s">
        <v>67</v>
      </c>
      <c r="Z48" s="55"/>
      <c r="AA48" s="35" t="s">
        <v>375</v>
      </c>
      <c r="AB48" s="35"/>
      <c r="AC48" s="35">
        <v>0</v>
      </c>
      <c r="AD48" s="35"/>
      <c r="AE48" s="35">
        <v>0</v>
      </c>
      <c r="AF48" s="35"/>
      <c r="AG48" s="35">
        <v>0</v>
      </c>
      <c r="AH48" s="35"/>
      <c r="AI48" s="45">
        <f t="shared" si="9"/>
        <v>0</v>
      </c>
      <c r="AJ48" s="45"/>
      <c r="AK48" s="35"/>
      <c r="AL48" s="35"/>
      <c r="AM48" s="35">
        <v>0</v>
      </c>
      <c r="AN48" s="35"/>
      <c r="AO48" s="35">
        <v>0</v>
      </c>
      <c r="AP48" s="35"/>
      <c r="AQ48" s="35">
        <v>0</v>
      </c>
      <c r="AR48" s="35"/>
      <c r="AS48" s="45">
        <f t="shared" si="12"/>
        <v>0</v>
      </c>
      <c r="AT48" s="45"/>
      <c r="AU48" s="35">
        <v>0</v>
      </c>
      <c r="AV48" s="35"/>
      <c r="AW48" s="35">
        <v>0</v>
      </c>
      <c r="AX48" s="35"/>
      <c r="AY48" s="35">
        <f t="shared" si="13"/>
        <v>0</v>
      </c>
      <c r="AZ48" s="35"/>
      <c r="BA48" s="35" t="s">
        <v>67</v>
      </c>
      <c r="BB48" s="55"/>
      <c r="BC48" s="35" t="s">
        <v>375</v>
      </c>
      <c r="BD48" s="35"/>
      <c r="BE48" s="35"/>
      <c r="BF48" s="35"/>
      <c r="BG48" s="35"/>
      <c r="BH48" s="35"/>
      <c r="BI48" s="35"/>
      <c r="BJ48" s="35"/>
      <c r="BK48" s="35"/>
      <c r="BL48" s="35"/>
      <c r="BM48" s="35">
        <f t="shared" si="10"/>
        <v>0</v>
      </c>
      <c r="BN48" s="54" t="s">
        <v>347</v>
      </c>
    </row>
    <row r="49" spans="1:67" ht="12.75" hidden="1" customHeight="1">
      <c r="A49" s="35" t="s">
        <v>68</v>
      </c>
      <c r="C49" s="35" t="s">
        <v>45</v>
      </c>
      <c r="D49" s="35"/>
      <c r="E49" s="35">
        <f t="shared" si="0"/>
        <v>0</v>
      </c>
      <c r="F49" s="35"/>
      <c r="G49" s="35"/>
      <c r="H49" s="35"/>
      <c r="I49" s="35"/>
      <c r="J49" s="35"/>
      <c r="K49" s="35">
        <f t="shared" si="1"/>
        <v>0</v>
      </c>
      <c r="L49" s="35"/>
      <c r="M49" s="35">
        <v>0</v>
      </c>
      <c r="N49" s="35"/>
      <c r="O49" s="35"/>
      <c r="P49" s="35"/>
      <c r="Q49" s="35"/>
      <c r="R49" s="35"/>
      <c r="S49" s="35">
        <v>0</v>
      </c>
      <c r="T49" s="35"/>
      <c r="U49" s="35"/>
      <c r="V49" s="35"/>
      <c r="W49" s="35">
        <f t="shared" si="11"/>
        <v>0</v>
      </c>
      <c r="X49" s="35"/>
      <c r="Y49" s="35" t="s">
        <v>68</v>
      </c>
      <c r="Z49" s="55"/>
      <c r="AA49" s="35" t="s">
        <v>45</v>
      </c>
      <c r="AB49" s="35"/>
      <c r="AC49" s="35">
        <v>0</v>
      </c>
      <c r="AD49" s="35"/>
      <c r="AE49" s="35">
        <v>0</v>
      </c>
      <c r="AF49" s="35"/>
      <c r="AG49" s="35">
        <v>0</v>
      </c>
      <c r="AH49" s="35"/>
      <c r="AI49" s="45">
        <f t="shared" si="9"/>
        <v>0</v>
      </c>
      <c r="AJ49" s="45"/>
      <c r="AK49" s="35"/>
      <c r="AL49" s="35"/>
      <c r="AM49" s="35">
        <v>0</v>
      </c>
      <c r="AN49" s="35"/>
      <c r="AO49" s="35">
        <v>0</v>
      </c>
      <c r="AP49" s="35"/>
      <c r="AQ49" s="35">
        <v>0</v>
      </c>
      <c r="AR49" s="35"/>
      <c r="AS49" s="45">
        <f t="shared" si="12"/>
        <v>0</v>
      </c>
      <c r="AT49" s="45"/>
      <c r="AU49" s="35">
        <v>0</v>
      </c>
      <c r="AV49" s="35"/>
      <c r="AW49" s="35">
        <v>0</v>
      </c>
      <c r="AX49" s="35"/>
      <c r="AY49" s="35">
        <f t="shared" si="13"/>
        <v>0</v>
      </c>
      <c r="AZ49" s="35"/>
      <c r="BA49" s="35" t="s">
        <v>68</v>
      </c>
      <c r="BB49" s="55"/>
      <c r="BC49" s="35" t="s">
        <v>45</v>
      </c>
      <c r="BD49" s="35"/>
      <c r="BE49" s="35"/>
      <c r="BF49" s="35"/>
      <c r="BG49" s="35"/>
      <c r="BH49" s="35"/>
      <c r="BI49" s="35"/>
      <c r="BJ49" s="35"/>
      <c r="BK49" s="35"/>
      <c r="BL49" s="35"/>
      <c r="BM49" s="35">
        <f t="shared" si="10"/>
        <v>0</v>
      </c>
      <c r="BN49" s="54" t="s">
        <v>347</v>
      </c>
    </row>
    <row r="50" spans="1:67" ht="12.75" hidden="1" customHeight="1">
      <c r="A50" s="35" t="s">
        <v>69</v>
      </c>
      <c r="C50" s="35" t="s">
        <v>70</v>
      </c>
      <c r="D50" s="35"/>
      <c r="E50" s="35">
        <f t="shared" si="0"/>
        <v>0</v>
      </c>
      <c r="F50" s="35"/>
      <c r="G50" s="35"/>
      <c r="H50" s="35"/>
      <c r="I50" s="35"/>
      <c r="J50" s="35"/>
      <c r="K50" s="35">
        <f t="shared" si="1"/>
        <v>0</v>
      </c>
      <c r="L50" s="35"/>
      <c r="M50" s="35">
        <v>0</v>
      </c>
      <c r="N50" s="35"/>
      <c r="O50" s="35"/>
      <c r="P50" s="35"/>
      <c r="Q50" s="35"/>
      <c r="R50" s="35"/>
      <c r="S50" s="35">
        <v>0</v>
      </c>
      <c r="T50" s="35"/>
      <c r="U50" s="35"/>
      <c r="V50" s="35"/>
      <c r="W50" s="35">
        <f t="shared" si="11"/>
        <v>0</v>
      </c>
      <c r="X50" s="35"/>
      <c r="Y50" s="35" t="s">
        <v>69</v>
      </c>
      <c r="Z50" s="55"/>
      <c r="AA50" s="35" t="s">
        <v>70</v>
      </c>
      <c r="AB50" s="35"/>
      <c r="AC50" s="35">
        <v>0</v>
      </c>
      <c r="AD50" s="35"/>
      <c r="AE50" s="35">
        <v>0</v>
      </c>
      <c r="AF50" s="35"/>
      <c r="AG50" s="35">
        <v>0</v>
      </c>
      <c r="AH50" s="35"/>
      <c r="AI50" s="45">
        <f t="shared" si="9"/>
        <v>0</v>
      </c>
      <c r="AJ50" s="45"/>
      <c r="AK50" s="35"/>
      <c r="AL50" s="35"/>
      <c r="AM50" s="35">
        <v>0</v>
      </c>
      <c r="AN50" s="35"/>
      <c r="AO50" s="35">
        <v>0</v>
      </c>
      <c r="AP50" s="35"/>
      <c r="AQ50" s="35">
        <v>0</v>
      </c>
      <c r="AR50" s="35"/>
      <c r="AS50" s="45">
        <f t="shared" si="12"/>
        <v>0</v>
      </c>
      <c r="AT50" s="45"/>
      <c r="AU50" s="35">
        <v>0</v>
      </c>
      <c r="AV50" s="35"/>
      <c r="AW50" s="35">
        <v>0</v>
      </c>
      <c r="AX50" s="35"/>
      <c r="AY50" s="35">
        <f t="shared" si="13"/>
        <v>0</v>
      </c>
      <c r="AZ50" s="35"/>
      <c r="BA50" s="35" t="s">
        <v>69</v>
      </c>
      <c r="BB50" s="55"/>
      <c r="BC50" s="35" t="s">
        <v>70</v>
      </c>
      <c r="BD50" s="35"/>
      <c r="BE50" s="35"/>
      <c r="BF50" s="35"/>
      <c r="BG50" s="35"/>
      <c r="BH50" s="35"/>
      <c r="BI50" s="35"/>
      <c r="BJ50" s="35"/>
      <c r="BK50" s="35"/>
      <c r="BL50" s="35"/>
      <c r="BM50" s="35">
        <f t="shared" si="10"/>
        <v>0</v>
      </c>
      <c r="BN50" s="54" t="s">
        <v>347</v>
      </c>
    </row>
    <row r="51" spans="1:67" ht="12.75" hidden="1" customHeight="1">
      <c r="A51" s="35" t="s">
        <v>71</v>
      </c>
      <c r="C51" s="35" t="s">
        <v>45</v>
      </c>
      <c r="D51" s="35"/>
      <c r="E51" s="35">
        <f t="shared" si="0"/>
        <v>0</v>
      </c>
      <c r="F51" s="35"/>
      <c r="G51" s="35"/>
      <c r="H51" s="35"/>
      <c r="I51" s="35"/>
      <c r="J51" s="35"/>
      <c r="K51" s="35">
        <f t="shared" si="1"/>
        <v>0</v>
      </c>
      <c r="L51" s="35"/>
      <c r="M51" s="35">
        <v>0</v>
      </c>
      <c r="N51" s="35"/>
      <c r="O51" s="35"/>
      <c r="P51" s="35"/>
      <c r="Q51" s="35"/>
      <c r="R51" s="35"/>
      <c r="S51" s="35">
        <v>0</v>
      </c>
      <c r="T51" s="35"/>
      <c r="U51" s="35"/>
      <c r="V51" s="35"/>
      <c r="W51" s="35">
        <f t="shared" si="11"/>
        <v>0</v>
      </c>
      <c r="X51" s="35"/>
      <c r="Y51" s="35" t="s">
        <v>71</v>
      </c>
      <c r="Z51" s="55"/>
      <c r="AA51" s="35" t="s">
        <v>45</v>
      </c>
      <c r="AB51" s="35"/>
      <c r="AC51" s="35">
        <v>0</v>
      </c>
      <c r="AD51" s="35"/>
      <c r="AE51" s="35">
        <v>0</v>
      </c>
      <c r="AF51" s="35"/>
      <c r="AG51" s="35">
        <v>0</v>
      </c>
      <c r="AH51" s="35"/>
      <c r="AI51" s="45">
        <f t="shared" si="9"/>
        <v>0</v>
      </c>
      <c r="AJ51" s="45"/>
      <c r="AK51" s="35"/>
      <c r="AL51" s="35"/>
      <c r="AM51" s="35">
        <v>0</v>
      </c>
      <c r="AN51" s="35"/>
      <c r="AO51" s="35">
        <v>0</v>
      </c>
      <c r="AP51" s="35"/>
      <c r="AQ51" s="35">
        <v>0</v>
      </c>
      <c r="AR51" s="35"/>
      <c r="AS51" s="45">
        <f t="shared" si="12"/>
        <v>0</v>
      </c>
      <c r="AT51" s="45"/>
      <c r="AU51" s="35">
        <v>0</v>
      </c>
      <c r="AV51" s="35"/>
      <c r="AW51" s="35">
        <v>0</v>
      </c>
      <c r="AX51" s="35"/>
      <c r="AY51" s="35">
        <f t="shared" si="13"/>
        <v>0</v>
      </c>
      <c r="AZ51" s="35"/>
      <c r="BA51" s="35" t="s">
        <v>71</v>
      </c>
      <c r="BB51" s="55"/>
      <c r="BC51" s="35" t="s">
        <v>45</v>
      </c>
      <c r="BD51" s="35"/>
      <c r="BE51" s="35"/>
      <c r="BF51" s="35"/>
      <c r="BG51" s="35"/>
      <c r="BH51" s="35"/>
      <c r="BI51" s="35"/>
      <c r="BJ51" s="35"/>
      <c r="BK51" s="35"/>
      <c r="BL51" s="35"/>
      <c r="BM51" s="35">
        <f t="shared" si="10"/>
        <v>0</v>
      </c>
      <c r="BN51" s="54" t="s">
        <v>347</v>
      </c>
    </row>
    <row r="52" spans="1:67" ht="12.75" hidden="1" customHeight="1">
      <c r="A52" s="35" t="s">
        <v>72</v>
      </c>
      <c r="C52" s="35" t="s">
        <v>66</v>
      </c>
      <c r="D52" s="35"/>
      <c r="E52" s="35">
        <f t="shared" si="0"/>
        <v>0</v>
      </c>
      <c r="F52" s="35"/>
      <c r="G52" s="35"/>
      <c r="H52" s="35"/>
      <c r="I52" s="35"/>
      <c r="J52" s="35"/>
      <c r="K52" s="35">
        <f t="shared" si="1"/>
        <v>0</v>
      </c>
      <c r="L52" s="35"/>
      <c r="M52" s="35">
        <v>0</v>
      </c>
      <c r="N52" s="35"/>
      <c r="O52" s="35"/>
      <c r="P52" s="35"/>
      <c r="Q52" s="35"/>
      <c r="R52" s="35"/>
      <c r="S52" s="35">
        <v>0</v>
      </c>
      <c r="T52" s="35"/>
      <c r="U52" s="35"/>
      <c r="V52" s="35"/>
      <c r="W52" s="35">
        <f t="shared" si="11"/>
        <v>0</v>
      </c>
      <c r="X52" s="35"/>
      <c r="Y52" s="35" t="s">
        <v>72</v>
      </c>
      <c r="Z52" s="55"/>
      <c r="AA52" s="35" t="s">
        <v>66</v>
      </c>
      <c r="AB52" s="35"/>
      <c r="AC52" s="35">
        <v>0</v>
      </c>
      <c r="AD52" s="35"/>
      <c r="AE52" s="35">
        <v>0</v>
      </c>
      <c r="AF52" s="35"/>
      <c r="AG52" s="35">
        <v>0</v>
      </c>
      <c r="AH52" s="35"/>
      <c r="AI52" s="45">
        <v>0</v>
      </c>
      <c r="AJ52" s="45"/>
      <c r="AK52" s="35"/>
      <c r="AL52" s="35"/>
      <c r="AM52" s="35">
        <v>0</v>
      </c>
      <c r="AN52" s="35"/>
      <c r="AO52" s="35">
        <v>0</v>
      </c>
      <c r="AP52" s="35"/>
      <c r="AQ52" s="35">
        <v>0</v>
      </c>
      <c r="AR52" s="35"/>
      <c r="AS52" s="45">
        <f t="shared" si="12"/>
        <v>0</v>
      </c>
      <c r="AT52" s="45"/>
      <c r="AU52" s="35">
        <v>0</v>
      </c>
      <c r="AV52" s="35"/>
      <c r="AW52" s="35">
        <v>0</v>
      </c>
      <c r="AX52" s="35"/>
      <c r="AY52" s="35">
        <f t="shared" si="13"/>
        <v>0</v>
      </c>
      <c r="AZ52" s="35"/>
      <c r="BA52" s="35" t="s">
        <v>72</v>
      </c>
      <c r="BB52" s="55"/>
      <c r="BC52" s="35" t="s">
        <v>66</v>
      </c>
      <c r="BD52" s="35"/>
      <c r="BE52" s="35"/>
      <c r="BF52" s="35"/>
      <c r="BG52" s="35"/>
      <c r="BH52" s="35"/>
      <c r="BI52" s="35"/>
      <c r="BJ52" s="35"/>
      <c r="BK52" s="35"/>
      <c r="BL52" s="35"/>
      <c r="BM52" s="35">
        <f t="shared" si="10"/>
        <v>0</v>
      </c>
      <c r="BN52" s="54" t="s">
        <v>347</v>
      </c>
    </row>
    <row r="53" spans="1:67" ht="12.75" hidden="1" customHeight="1">
      <c r="A53" s="35" t="s">
        <v>73</v>
      </c>
      <c r="B53" s="55"/>
      <c r="C53" s="35" t="s">
        <v>27</v>
      </c>
      <c r="D53" s="35"/>
      <c r="E53" s="35">
        <f t="shared" si="0"/>
        <v>0</v>
      </c>
      <c r="F53" s="35"/>
      <c r="G53" s="35"/>
      <c r="H53" s="35"/>
      <c r="I53" s="35"/>
      <c r="J53" s="35"/>
      <c r="K53" s="35">
        <f t="shared" si="1"/>
        <v>0</v>
      </c>
      <c r="L53" s="35"/>
      <c r="M53" s="35">
        <v>0</v>
      </c>
      <c r="N53" s="35"/>
      <c r="O53" s="35"/>
      <c r="P53" s="35"/>
      <c r="Q53" s="35"/>
      <c r="R53" s="35"/>
      <c r="S53" s="35">
        <v>0</v>
      </c>
      <c r="T53" s="35"/>
      <c r="U53" s="35"/>
      <c r="V53" s="35"/>
      <c r="W53" s="35">
        <f t="shared" si="11"/>
        <v>0</v>
      </c>
      <c r="X53" s="35"/>
      <c r="Y53" s="35" t="s">
        <v>73</v>
      </c>
      <c r="Z53" s="55"/>
      <c r="AA53" s="35" t="s">
        <v>27</v>
      </c>
      <c r="AB53" s="35"/>
      <c r="AC53" s="35">
        <v>0</v>
      </c>
      <c r="AD53" s="35"/>
      <c r="AE53" s="35">
        <v>0</v>
      </c>
      <c r="AF53" s="35"/>
      <c r="AG53" s="35">
        <v>0</v>
      </c>
      <c r="AH53" s="35"/>
      <c r="AI53" s="45">
        <f t="shared" ref="AI53:AI64" si="14">+AC53-AE53-AG53</f>
        <v>0</v>
      </c>
      <c r="AJ53" s="45"/>
      <c r="AK53" s="35"/>
      <c r="AL53" s="35"/>
      <c r="AM53" s="35">
        <v>0</v>
      </c>
      <c r="AN53" s="35"/>
      <c r="AO53" s="35">
        <v>0</v>
      </c>
      <c r="AP53" s="35"/>
      <c r="AQ53" s="35">
        <v>0</v>
      </c>
      <c r="AR53" s="35"/>
      <c r="AS53" s="45">
        <f t="shared" si="12"/>
        <v>0</v>
      </c>
      <c r="AT53" s="45"/>
      <c r="AU53" s="35">
        <v>0</v>
      </c>
      <c r="AV53" s="35"/>
      <c r="AW53" s="35">
        <v>0</v>
      </c>
      <c r="AX53" s="35"/>
      <c r="AY53" s="35">
        <f t="shared" si="13"/>
        <v>0</v>
      </c>
      <c r="AZ53" s="35"/>
      <c r="BA53" s="35" t="s">
        <v>73</v>
      </c>
      <c r="BB53" s="55"/>
      <c r="BC53" s="35" t="s">
        <v>27</v>
      </c>
      <c r="BD53" s="35"/>
      <c r="BE53" s="35"/>
      <c r="BF53" s="35"/>
      <c r="BG53" s="35"/>
      <c r="BH53" s="35"/>
      <c r="BI53" s="35"/>
      <c r="BJ53" s="35"/>
      <c r="BK53" s="35"/>
      <c r="BL53" s="35"/>
      <c r="BM53" s="35">
        <f t="shared" si="10"/>
        <v>0</v>
      </c>
      <c r="BN53" s="54" t="s">
        <v>347</v>
      </c>
    </row>
    <row r="54" spans="1:67" ht="12.75" hidden="1" customHeight="1">
      <c r="A54" s="35" t="s">
        <v>74</v>
      </c>
      <c r="C54" s="35" t="s">
        <v>27</v>
      </c>
      <c r="D54" s="35"/>
      <c r="E54" s="35">
        <f t="shared" si="0"/>
        <v>0</v>
      </c>
      <c r="F54" s="35"/>
      <c r="G54" s="35"/>
      <c r="H54" s="35"/>
      <c r="I54" s="35"/>
      <c r="J54" s="35"/>
      <c r="K54" s="35">
        <f t="shared" si="1"/>
        <v>0</v>
      </c>
      <c r="L54" s="35"/>
      <c r="M54" s="35">
        <v>0</v>
      </c>
      <c r="N54" s="35"/>
      <c r="O54" s="35"/>
      <c r="P54" s="35"/>
      <c r="Q54" s="35"/>
      <c r="R54" s="35"/>
      <c r="S54" s="35">
        <v>0</v>
      </c>
      <c r="T54" s="35"/>
      <c r="U54" s="35"/>
      <c r="V54" s="35"/>
      <c r="W54" s="35">
        <f t="shared" si="11"/>
        <v>0</v>
      </c>
      <c r="X54" s="35"/>
      <c r="Y54" s="35" t="s">
        <v>74</v>
      </c>
      <c r="Z54" s="55"/>
      <c r="AA54" s="35" t="s">
        <v>27</v>
      </c>
      <c r="AB54" s="35"/>
      <c r="AC54" s="35">
        <v>0</v>
      </c>
      <c r="AD54" s="35"/>
      <c r="AE54" s="35">
        <v>0</v>
      </c>
      <c r="AF54" s="35"/>
      <c r="AG54" s="35">
        <v>0</v>
      </c>
      <c r="AH54" s="35"/>
      <c r="AI54" s="45">
        <f t="shared" si="14"/>
        <v>0</v>
      </c>
      <c r="AJ54" s="45"/>
      <c r="AK54" s="35"/>
      <c r="AL54" s="35"/>
      <c r="AM54" s="35">
        <v>0</v>
      </c>
      <c r="AN54" s="35"/>
      <c r="AO54" s="35">
        <v>0</v>
      </c>
      <c r="AP54" s="35"/>
      <c r="AQ54" s="35">
        <v>0</v>
      </c>
      <c r="AR54" s="35"/>
      <c r="AS54" s="45">
        <f t="shared" si="12"/>
        <v>0</v>
      </c>
      <c r="AT54" s="45"/>
      <c r="AU54" s="35">
        <v>0</v>
      </c>
      <c r="AV54" s="35"/>
      <c r="AW54" s="35">
        <v>0</v>
      </c>
      <c r="AX54" s="35"/>
      <c r="AY54" s="35">
        <f t="shared" si="13"/>
        <v>0</v>
      </c>
      <c r="AZ54" s="35"/>
      <c r="BA54" s="35" t="s">
        <v>74</v>
      </c>
      <c r="BB54" s="55"/>
      <c r="BC54" s="35" t="s">
        <v>27</v>
      </c>
      <c r="BD54" s="35"/>
      <c r="BE54" s="35"/>
      <c r="BF54" s="35"/>
      <c r="BG54" s="35"/>
      <c r="BH54" s="35"/>
      <c r="BI54" s="35"/>
      <c r="BJ54" s="35"/>
      <c r="BK54" s="35"/>
      <c r="BL54" s="35"/>
      <c r="BM54" s="35">
        <f t="shared" si="10"/>
        <v>0</v>
      </c>
      <c r="BN54" s="54" t="s">
        <v>347</v>
      </c>
    </row>
    <row r="55" spans="1:67" ht="12.75" customHeight="1">
      <c r="A55" s="35" t="s">
        <v>75</v>
      </c>
      <c r="C55" s="35" t="s">
        <v>76</v>
      </c>
      <c r="D55" s="35"/>
      <c r="E55" s="35">
        <f t="shared" si="0"/>
        <v>-9074839</v>
      </c>
      <c r="F55" s="35"/>
      <c r="G55" s="35">
        <v>10973814</v>
      </c>
      <c r="H55" s="35"/>
      <c r="I55" s="35">
        <v>1898975</v>
      </c>
      <c r="J55" s="35"/>
      <c r="K55" s="35">
        <f t="shared" si="1"/>
        <v>1218945</v>
      </c>
      <c r="L55" s="35"/>
      <c r="M55" s="35">
        <v>3651787</v>
      </c>
      <c r="N55" s="35"/>
      <c r="O55" s="35">
        <v>4870732</v>
      </c>
      <c r="P55" s="35"/>
      <c r="Q55" s="35">
        <v>6103367</v>
      </c>
      <c r="R55" s="35"/>
      <c r="S55" s="35">
        <v>736623</v>
      </c>
      <c r="T55" s="35"/>
      <c r="U55" s="35">
        <v>7188253</v>
      </c>
      <c r="V55" s="35"/>
      <c r="W55" s="35">
        <f t="shared" si="11"/>
        <v>14028243</v>
      </c>
      <c r="X55" s="35"/>
      <c r="Y55" s="35" t="s">
        <v>75</v>
      </c>
      <c r="Z55" s="55"/>
      <c r="AA55" s="35" t="s">
        <v>76</v>
      </c>
      <c r="AB55" s="35"/>
      <c r="AC55" s="35">
        <v>16988737</v>
      </c>
      <c r="AD55" s="35"/>
      <c r="AE55" s="35">
        <f>15650239-264122</f>
        <v>15386117</v>
      </c>
      <c r="AF55" s="35"/>
      <c r="AG55" s="35">
        <v>264122</v>
      </c>
      <c r="AH55" s="35"/>
      <c r="AI55" s="45">
        <f t="shared" si="14"/>
        <v>1338498</v>
      </c>
      <c r="AJ55" s="45"/>
      <c r="AK55" s="35">
        <v>-687186</v>
      </c>
      <c r="AL55" s="35"/>
      <c r="AM55" s="35">
        <v>468651</v>
      </c>
      <c r="AN55" s="35"/>
      <c r="AO55" s="35">
        <v>0</v>
      </c>
      <c r="AP55" s="35"/>
      <c r="AQ55" s="35">
        <v>0</v>
      </c>
      <c r="AR55" s="35"/>
      <c r="AS55" s="45">
        <f t="shared" si="12"/>
        <v>1119963</v>
      </c>
      <c r="AT55" s="45"/>
      <c r="AU55" s="35">
        <v>0</v>
      </c>
      <c r="AV55" s="35"/>
      <c r="AW55" s="35">
        <v>0</v>
      </c>
      <c r="AX55" s="35"/>
      <c r="AY55" s="35">
        <f t="shared" si="13"/>
        <v>-10293784</v>
      </c>
      <c r="AZ55" s="35"/>
      <c r="BA55" s="35" t="s">
        <v>75</v>
      </c>
      <c r="BB55" s="55"/>
      <c r="BC55" s="35" t="s">
        <v>76</v>
      </c>
      <c r="BD55" s="35"/>
      <c r="BE55" s="35">
        <v>0</v>
      </c>
      <c r="BF55" s="35"/>
      <c r="BG55" s="35">
        <f>2070000+2485000</f>
        <v>4555000</v>
      </c>
      <c r="BH55" s="35"/>
      <c r="BI55" s="35">
        <v>0</v>
      </c>
      <c r="BJ55" s="35"/>
      <c r="BK55" s="35">
        <v>138466</v>
      </c>
      <c r="BL55" s="35"/>
      <c r="BM55" s="35">
        <f t="shared" si="10"/>
        <v>4693466</v>
      </c>
      <c r="BN55" s="54" t="s">
        <v>347</v>
      </c>
    </row>
    <row r="56" spans="1:67" ht="12.75" customHeight="1">
      <c r="A56" s="35" t="s">
        <v>94</v>
      </c>
      <c r="C56" s="35" t="s">
        <v>94</v>
      </c>
      <c r="D56" s="35"/>
      <c r="E56" s="35">
        <f t="shared" si="0"/>
        <v>27055000</v>
      </c>
      <c r="F56" s="35"/>
      <c r="G56" s="35">
        <v>95164000</v>
      </c>
      <c r="H56" s="35"/>
      <c r="I56" s="35">
        <v>122219000</v>
      </c>
      <c r="J56" s="35"/>
      <c r="K56" s="35">
        <f t="shared" si="1"/>
        <v>15651000</v>
      </c>
      <c r="L56" s="35"/>
      <c r="M56" s="35">
        <v>26367000</v>
      </c>
      <c r="N56" s="35"/>
      <c r="O56" s="35">
        <v>42018000</v>
      </c>
      <c r="P56" s="35"/>
      <c r="Q56" s="35">
        <v>67021000</v>
      </c>
      <c r="R56" s="35"/>
      <c r="S56" s="35">
        <v>0</v>
      </c>
      <c r="T56" s="35"/>
      <c r="U56" s="35">
        <v>13180000</v>
      </c>
      <c r="V56" s="35"/>
      <c r="W56" s="35">
        <f t="shared" si="11"/>
        <v>80201000</v>
      </c>
      <c r="X56" s="35"/>
      <c r="Y56" s="35" t="str">
        <f>+A56</f>
        <v>Columbiana</v>
      </c>
      <c r="Z56" s="55"/>
      <c r="AA56" s="35" t="s">
        <v>94</v>
      </c>
      <c r="AB56" s="35"/>
      <c r="AC56" s="35">
        <v>82969000</v>
      </c>
      <c r="AD56" s="35"/>
      <c r="AE56" s="35">
        <f>76493000-3679000</f>
        <v>72814000</v>
      </c>
      <c r="AF56" s="35"/>
      <c r="AG56" s="35">
        <v>3679000</v>
      </c>
      <c r="AH56" s="35"/>
      <c r="AI56" s="45">
        <f t="shared" si="14"/>
        <v>6476000</v>
      </c>
      <c r="AJ56" s="45"/>
      <c r="AK56" s="35">
        <v>-1051000</v>
      </c>
      <c r="AL56" s="35"/>
      <c r="AM56" s="35">
        <v>435000</v>
      </c>
      <c r="AN56" s="35"/>
      <c r="AO56" s="35">
        <v>-76000</v>
      </c>
      <c r="AP56" s="35"/>
      <c r="AQ56" s="35">
        <v>0</v>
      </c>
      <c r="AR56" s="35"/>
      <c r="AS56" s="45">
        <f t="shared" si="12"/>
        <v>5936000</v>
      </c>
      <c r="AT56" s="45"/>
      <c r="AU56" s="35">
        <v>0</v>
      </c>
      <c r="AV56" s="35"/>
      <c r="AW56" s="35">
        <v>0</v>
      </c>
      <c r="AX56" s="35"/>
      <c r="AY56" s="35">
        <f t="shared" si="13"/>
        <v>11404000</v>
      </c>
      <c r="AZ56" s="35"/>
      <c r="BA56" s="35" t="str">
        <f>+Y56</f>
        <v>Columbiana</v>
      </c>
      <c r="BB56" s="55"/>
      <c r="BC56" s="35" t="s">
        <v>94</v>
      </c>
      <c r="BD56" s="35"/>
      <c r="BE56" s="35">
        <v>30680000</v>
      </c>
      <c r="BF56" s="35"/>
      <c r="BG56" s="35">
        <v>0</v>
      </c>
      <c r="BH56" s="35"/>
      <c r="BI56" s="35">
        <v>0</v>
      </c>
      <c r="BJ56" s="35"/>
      <c r="BK56" s="35">
        <v>0</v>
      </c>
      <c r="BL56" s="35"/>
      <c r="BM56" s="35">
        <f t="shared" si="10"/>
        <v>30680000</v>
      </c>
      <c r="BN56" s="54" t="s">
        <v>347</v>
      </c>
    </row>
    <row r="57" spans="1:67" ht="12.75" customHeight="1">
      <c r="A57" s="35" t="s">
        <v>77</v>
      </c>
      <c r="C57" s="35" t="s">
        <v>43</v>
      </c>
      <c r="D57" s="35"/>
      <c r="E57" s="35">
        <f t="shared" si="0"/>
        <v>4316727</v>
      </c>
      <c r="F57" s="35"/>
      <c r="G57" s="35">
        <v>4458463</v>
      </c>
      <c r="H57" s="35"/>
      <c r="I57" s="35">
        <v>8775190</v>
      </c>
      <c r="J57" s="35"/>
      <c r="K57" s="35">
        <f t="shared" si="1"/>
        <v>1728725</v>
      </c>
      <c r="L57" s="35"/>
      <c r="M57" s="35">
        <v>24353</v>
      </c>
      <c r="N57" s="35"/>
      <c r="O57" s="35">
        <v>1753078</v>
      </c>
      <c r="P57" s="35"/>
      <c r="Q57" s="35">
        <v>3125277</v>
      </c>
      <c r="R57" s="35"/>
      <c r="S57" s="35">
        <v>0</v>
      </c>
      <c r="T57" s="35"/>
      <c r="U57" s="35">
        <v>3896835</v>
      </c>
      <c r="V57" s="35"/>
      <c r="W57" s="35">
        <f t="shared" si="11"/>
        <v>7022112</v>
      </c>
      <c r="X57" s="35"/>
      <c r="Y57" s="35" t="s">
        <v>77</v>
      </c>
      <c r="Z57" s="55"/>
      <c r="AA57" s="35" t="s">
        <v>43</v>
      </c>
      <c r="AB57" s="35"/>
      <c r="AC57" s="35">
        <v>7979166</v>
      </c>
      <c r="AD57" s="35"/>
      <c r="AE57" s="35">
        <f>6870933-311800</f>
        <v>6559133</v>
      </c>
      <c r="AF57" s="35"/>
      <c r="AG57" s="35">
        <v>311800</v>
      </c>
      <c r="AH57" s="35"/>
      <c r="AI57" s="45">
        <f t="shared" si="14"/>
        <v>1108233</v>
      </c>
      <c r="AJ57" s="45"/>
      <c r="AK57" s="35">
        <v>36520</v>
      </c>
      <c r="AL57" s="35"/>
      <c r="AM57" s="35">
        <v>0</v>
      </c>
      <c r="AN57" s="35"/>
      <c r="AO57" s="35">
        <v>0</v>
      </c>
      <c r="AP57" s="35"/>
      <c r="AQ57" s="35">
        <v>0</v>
      </c>
      <c r="AR57" s="35"/>
      <c r="AS57" s="45">
        <f t="shared" si="12"/>
        <v>1144753</v>
      </c>
      <c r="AT57" s="45"/>
      <c r="AU57" s="35">
        <v>0</v>
      </c>
      <c r="AV57" s="35"/>
      <c r="AW57" s="35">
        <v>0</v>
      </c>
      <c r="AX57" s="35"/>
      <c r="AY57" s="35">
        <f t="shared" si="13"/>
        <v>2588002</v>
      </c>
      <c r="AZ57" s="35"/>
      <c r="BA57" s="35" t="s">
        <v>77</v>
      </c>
      <c r="BB57" s="55"/>
      <c r="BC57" s="35" t="s">
        <v>43</v>
      </c>
      <c r="BD57" s="35"/>
      <c r="BE57" s="35">
        <v>0</v>
      </c>
      <c r="BF57" s="35"/>
      <c r="BG57" s="35">
        <v>0</v>
      </c>
      <c r="BH57" s="35"/>
      <c r="BI57" s="35">
        <v>0</v>
      </c>
      <c r="BJ57" s="35"/>
      <c r="BK57" s="35">
        <v>0</v>
      </c>
      <c r="BL57" s="35"/>
      <c r="BM57" s="35">
        <f t="shared" si="10"/>
        <v>0</v>
      </c>
      <c r="BN57" s="54" t="s">
        <v>347</v>
      </c>
    </row>
    <row r="58" spans="1:67" ht="12.75" hidden="1" customHeight="1">
      <c r="A58" s="35" t="s">
        <v>78</v>
      </c>
      <c r="C58" s="35" t="s">
        <v>19</v>
      </c>
      <c r="D58" s="35"/>
      <c r="E58" s="35">
        <f t="shared" si="0"/>
        <v>0</v>
      </c>
      <c r="F58" s="35"/>
      <c r="G58" s="35"/>
      <c r="H58" s="35"/>
      <c r="I58" s="35"/>
      <c r="J58" s="35"/>
      <c r="K58" s="35">
        <f t="shared" si="1"/>
        <v>0</v>
      </c>
      <c r="L58" s="35"/>
      <c r="M58" s="35">
        <v>0</v>
      </c>
      <c r="N58" s="35"/>
      <c r="O58" s="35"/>
      <c r="P58" s="35"/>
      <c r="Q58" s="35"/>
      <c r="R58" s="35"/>
      <c r="S58" s="35">
        <v>0</v>
      </c>
      <c r="T58" s="35"/>
      <c r="U58" s="35"/>
      <c r="V58" s="35"/>
      <c r="W58" s="35">
        <f t="shared" si="11"/>
        <v>0</v>
      </c>
      <c r="X58" s="35"/>
      <c r="Y58" s="35" t="s">
        <v>78</v>
      </c>
      <c r="Z58" s="55"/>
      <c r="AA58" s="35" t="s">
        <v>19</v>
      </c>
      <c r="AB58" s="35"/>
      <c r="AC58" s="35">
        <v>0</v>
      </c>
      <c r="AD58" s="35"/>
      <c r="AE58" s="35">
        <v>0</v>
      </c>
      <c r="AF58" s="35"/>
      <c r="AG58" s="35">
        <v>0</v>
      </c>
      <c r="AH58" s="35"/>
      <c r="AI58" s="45">
        <f t="shared" si="14"/>
        <v>0</v>
      </c>
      <c r="AJ58" s="45"/>
      <c r="AK58" s="35"/>
      <c r="AL58" s="35"/>
      <c r="AM58" s="35">
        <v>0</v>
      </c>
      <c r="AN58" s="35"/>
      <c r="AO58" s="35">
        <v>0</v>
      </c>
      <c r="AP58" s="35"/>
      <c r="AQ58" s="35">
        <v>0</v>
      </c>
      <c r="AR58" s="35"/>
      <c r="AS58" s="45">
        <f t="shared" si="12"/>
        <v>0</v>
      </c>
      <c r="AT58" s="45"/>
      <c r="AU58" s="35">
        <v>0</v>
      </c>
      <c r="AV58" s="35"/>
      <c r="AW58" s="35">
        <v>0</v>
      </c>
      <c r="AX58" s="35"/>
      <c r="AY58" s="35">
        <f t="shared" si="13"/>
        <v>0</v>
      </c>
      <c r="AZ58" s="35"/>
      <c r="BA58" s="35" t="s">
        <v>78</v>
      </c>
      <c r="BB58" s="55"/>
      <c r="BC58" s="35" t="s">
        <v>19</v>
      </c>
      <c r="BD58" s="35"/>
      <c r="BE58" s="35"/>
      <c r="BF58" s="35"/>
      <c r="BG58" s="35"/>
      <c r="BH58" s="35"/>
      <c r="BI58" s="35"/>
      <c r="BJ58" s="35"/>
      <c r="BK58" s="35"/>
      <c r="BL58" s="35"/>
      <c r="BM58" s="35">
        <f t="shared" si="10"/>
        <v>0</v>
      </c>
      <c r="BN58" s="54" t="s">
        <v>347</v>
      </c>
    </row>
    <row r="59" spans="1:67" ht="12.75" hidden="1" customHeight="1">
      <c r="A59" s="35" t="s">
        <v>79</v>
      </c>
      <c r="C59" s="35" t="s">
        <v>80</v>
      </c>
      <c r="D59" s="35"/>
      <c r="E59" s="35">
        <f t="shared" si="0"/>
        <v>0</v>
      </c>
      <c r="F59" s="35"/>
      <c r="G59" s="35"/>
      <c r="H59" s="35"/>
      <c r="I59" s="35"/>
      <c r="J59" s="35"/>
      <c r="K59" s="35">
        <f t="shared" si="1"/>
        <v>0</v>
      </c>
      <c r="L59" s="35"/>
      <c r="M59" s="35">
        <v>0</v>
      </c>
      <c r="N59" s="35"/>
      <c r="O59" s="35"/>
      <c r="P59" s="35"/>
      <c r="Q59" s="35"/>
      <c r="R59" s="35"/>
      <c r="S59" s="35">
        <v>0</v>
      </c>
      <c r="T59" s="35"/>
      <c r="U59" s="35"/>
      <c r="V59" s="35"/>
      <c r="W59" s="35">
        <f t="shared" si="11"/>
        <v>0</v>
      </c>
      <c r="X59" s="35"/>
      <c r="Y59" s="35" t="s">
        <v>79</v>
      </c>
      <c r="Z59" s="55"/>
      <c r="AA59" s="35" t="s">
        <v>80</v>
      </c>
      <c r="AB59" s="35"/>
      <c r="AC59" s="35">
        <v>0</v>
      </c>
      <c r="AD59" s="35"/>
      <c r="AE59" s="35">
        <v>0</v>
      </c>
      <c r="AF59" s="35"/>
      <c r="AG59" s="35">
        <v>0</v>
      </c>
      <c r="AH59" s="35"/>
      <c r="AI59" s="45">
        <f t="shared" si="14"/>
        <v>0</v>
      </c>
      <c r="AJ59" s="45"/>
      <c r="AK59" s="35"/>
      <c r="AL59" s="35"/>
      <c r="AM59" s="35">
        <v>0</v>
      </c>
      <c r="AN59" s="35"/>
      <c r="AO59" s="35">
        <v>0</v>
      </c>
      <c r="AP59" s="35"/>
      <c r="AQ59" s="35">
        <v>0</v>
      </c>
      <c r="AR59" s="35"/>
      <c r="AS59" s="45">
        <f t="shared" si="12"/>
        <v>0</v>
      </c>
      <c r="AT59" s="45"/>
      <c r="AU59" s="35">
        <v>0</v>
      </c>
      <c r="AV59" s="35"/>
      <c r="AW59" s="35">
        <v>0</v>
      </c>
      <c r="AX59" s="35"/>
      <c r="AY59" s="35">
        <f t="shared" si="13"/>
        <v>0</v>
      </c>
      <c r="AZ59" s="35"/>
      <c r="BA59" s="35" t="s">
        <v>79</v>
      </c>
      <c r="BB59" s="55"/>
      <c r="BC59" s="35" t="s">
        <v>80</v>
      </c>
      <c r="BD59" s="35"/>
      <c r="BE59" s="35"/>
      <c r="BF59" s="35"/>
      <c r="BG59" s="35"/>
      <c r="BH59" s="35"/>
      <c r="BI59" s="35"/>
      <c r="BJ59" s="35"/>
      <c r="BK59" s="35"/>
      <c r="BL59" s="35"/>
      <c r="BM59" s="35">
        <f t="shared" si="10"/>
        <v>0</v>
      </c>
      <c r="BN59" s="54" t="s">
        <v>347</v>
      </c>
    </row>
    <row r="60" spans="1:67" ht="12.75" hidden="1" customHeight="1">
      <c r="A60" s="35" t="s">
        <v>81</v>
      </c>
      <c r="C60" s="35" t="s">
        <v>81</v>
      </c>
      <c r="D60" s="35"/>
      <c r="E60" s="35">
        <f t="shared" si="0"/>
        <v>0</v>
      </c>
      <c r="F60" s="35"/>
      <c r="G60" s="35"/>
      <c r="H60" s="35"/>
      <c r="I60" s="35"/>
      <c r="J60" s="35"/>
      <c r="K60" s="35">
        <f t="shared" si="1"/>
        <v>0</v>
      </c>
      <c r="L60" s="35"/>
      <c r="M60" s="35">
        <v>0</v>
      </c>
      <c r="N60" s="35"/>
      <c r="O60" s="35"/>
      <c r="P60" s="35"/>
      <c r="Q60" s="35"/>
      <c r="R60" s="35"/>
      <c r="S60" s="35">
        <v>0</v>
      </c>
      <c r="T60" s="35"/>
      <c r="U60" s="35"/>
      <c r="V60" s="35"/>
      <c r="W60" s="35">
        <f t="shared" si="11"/>
        <v>0</v>
      </c>
      <c r="X60" s="35"/>
      <c r="Y60" s="35" t="s">
        <v>81</v>
      </c>
      <c r="Z60" s="55"/>
      <c r="AA60" s="35" t="s">
        <v>81</v>
      </c>
      <c r="AB60" s="35"/>
      <c r="AC60" s="35">
        <v>0</v>
      </c>
      <c r="AD60" s="35"/>
      <c r="AE60" s="35">
        <v>0</v>
      </c>
      <c r="AF60" s="35"/>
      <c r="AG60" s="35">
        <v>0</v>
      </c>
      <c r="AH60" s="35"/>
      <c r="AI60" s="45">
        <f t="shared" si="14"/>
        <v>0</v>
      </c>
      <c r="AJ60" s="45"/>
      <c r="AK60" s="35"/>
      <c r="AL60" s="35"/>
      <c r="AM60" s="35">
        <v>0</v>
      </c>
      <c r="AN60" s="35"/>
      <c r="AO60" s="35">
        <v>0</v>
      </c>
      <c r="AP60" s="35"/>
      <c r="AQ60" s="35">
        <v>0</v>
      </c>
      <c r="AR60" s="35"/>
      <c r="AS60" s="45">
        <f t="shared" si="12"/>
        <v>0</v>
      </c>
      <c r="AT60" s="45"/>
      <c r="AU60" s="35">
        <v>0</v>
      </c>
      <c r="AV60" s="35"/>
      <c r="AW60" s="35">
        <v>0</v>
      </c>
      <c r="AX60" s="35"/>
      <c r="AY60" s="35">
        <f t="shared" si="13"/>
        <v>0</v>
      </c>
      <c r="AZ60" s="35"/>
      <c r="BA60" s="35" t="s">
        <v>81</v>
      </c>
      <c r="BB60" s="55"/>
      <c r="BC60" s="35" t="s">
        <v>81</v>
      </c>
      <c r="BD60" s="35"/>
      <c r="BE60" s="35"/>
      <c r="BF60" s="35"/>
      <c r="BG60" s="35"/>
      <c r="BH60" s="35"/>
      <c r="BI60" s="35"/>
      <c r="BJ60" s="35"/>
      <c r="BK60" s="35"/>
      <c r="BL60" s="35"/>
      <c r="BM60" s="35">
        <f t="shared" si="10"/>
        <v>0</v>
      </c>
      <c r="BN60" s="54" t="s">
        <v>347</v>
      </c>
    </row>
    <row r="61" spans="1:67" ht="12.75" customHeight="1">
      <c r="A61" s="35" t="s">
        <v>82</v>
      </c>
      <c r="C61" s="35" t="s">
        <v>13</v>
      </c>
      <c r="D61" s="35"/>
      <c r="E61" s="35">
        <f t="shared" si="0"/>
        <v>32571439</v>
      </c>
      <c r="F61" s="35"/>
      <c r="G61" s="35">
        <v>18565656</v>
      </c>
      <c r="H61" s="35"/>
      <c r="I61" s="35">
        <v>51137095</v>
      </c>
      <c r="J61" s="35"/>
      <c r="K61" s="35">
        <f t="shared" si="1"/>
        <v>3705616</v>
      </c>
      <c r="L61" s="35"/>
      <c r="M61" s="35">
        <v>12945656</v>
      </c>
      <c r="N61" s="35"/>
      <c r="O61" s="35">
        <v>16651272</v>
      </c>
      <c r="P61" s="35"/>
      <c r="Q61" s="35">
        <v>15344155</v>
      </c>
      <c r="R61" s="35"/>
      <c r="S61" s="35">
        <v>0</v>
      </c>
      <c r="T61" s="35"/>
      <c r="U61" s="35">
        <v>19141668</v>
      </c>
      <c r="V61" s="35"/>
      <c r="W61" s="35">
        <f t="shared" si="11"/>
        <v>34485823</v>
      </c>
      <c r="X61" s="35"/>
      <c r="Y61" s="35" t="s">
        <v>82</v>
      </c>
      <c r="Z61" s="55"/>
      <c r="AA61" s="35" t="s">
        <v>13</v>
      </c>
      <c r="AB61" s="35"/>
      <c r="AC61" s="35">
        <v>34530801</v>
      </c>
      <c r="AD61" s="35"/>
      <c r="AE61" s="35">
        <f>35093438-970426</f>
        <v>34123012</v>
      </c>
      <c r="AF61" s="35"/>
      <c r="AG61" s="35">
        <v>970426</v>
      </c>
      <c r="AH61" s="35"/>
      <c r="AI61" s="45">
        <f t="shared" si="14"/>
        <v>-562637</v>
      </c>
      <c r="AJ61" s="45"/>
      <c r="AK61" s="35">
        <v>-31619</v>
      </c>
      <c r="AL61" s="35"/>
      <c r="AM61" s="35">
        <v>1759139</v>
      </c>
      <c r="AN61" s="35"/>
      <c r="AO61" s="35">
        <v>1766884</v>
      </c>
      <c r="AP61" s="35"/>
      <c r="AQ61" s="35">
        <v>50356</v>
      </c>
      <c r="AR61" s="35"/>
      <c r="AS61" s="45">
        <f t="shared" si="12"/>
        <v>-551645</v>
      </c>
      <c r="AT61" s="45"/>
      <c r="AU61" s="35">
        <v>0</v>
      </c>
      <c r="AV61" s="35"/>
      <c r="AW61" s="35">
        <v>0</v>
      </c>
      <c r="AX61" s="35"/>
      <c r="AY61" s="35">
        <f t="shared" si="13"/>
        <v>28865823</v>
      </c>
      <c r="AZ61" s="35"/>
      <c r="BA61" s="35" t="s">
        <v>82</v>
      </c>
      <c r="BB61" s="55"/>
      <c r="BC61" s="35" t="s">
        <v>13</v>
      </c>
      <c r="BD61" s="35"/>
      <c r="BE61" s="35">
        <v>690298</v>
      </c>
      <c r="BF61" s="35"/>
      <c r="BG61" s="35">
        <v>0</v>
      </c>
      <c r="BH61" s="35"/>
      <c r="BI61" s="35">
        <v>0</v>
      </c>
      <c r="BJ61" s="35"/>
      <c r="BK61" s="35">
        <v>0</v>
      </c>
      <c r="BL61" s="35"/>
      <c r="BM61" s="35">
        <f t="shared" si="10"/>
        <v>690298</v>
      </c>
      <c r="BN61" s="54" t="s">
        <v>347</v>
      </c>
    </row>
    <row r="62" spans="1:67" ht="12.75" hidden="1" customHeight="1">
      <c r="A62" s="35" t="s">
        <v>83</v>
      </c>
      <c r="C62" s="35" t="s">
        <v>66</v>
      </c>
      <c r="D62" s="35"/>
      <c r="E62" s="35">
        <f t="shared" si="0"/>
        <v>0</v>
      </c>
      <c r="F62" s="35"/>
      <c r="G62" s="35"/>
      <c r="H62" s="35"/>
      <c r="I62" s="35"/>
      <c r="J62" s="35"/>
      <c r="K62" s="35">
        <f t="shared" si="1"/>
        <v>0</v>
      </c>
      <c r="L62" s="35"/>
      <c r="M62" s="35">
        <v>0</v>
      </c>
      <c r="N62" s="35"/>
      <c r="O62" s="35"/>
      <c r="P62" s="35"/>
      <c r="Q62" s="35"/>
      <c r="R62" s="35"/>
      <c r="S62" s="35">
        <v>0</v>
      </c>
      <c r="T62" s="35"/>
      <c r="U62" s="35"/>
      <c r="V62" s="35"/>
      <c r="W62" s="35">
        <f t="shared" si="11"/>
        <v>0</v>
      </c>
      <c r="X62" s="35"/>
      <c r="Y62" s="35" t="s">
        <v>83</v>
      </c>
      <c r="Z62" s="55"/>
      <c r="AA62" s="35" t="s">
        <v>66</v>
      </c>
      <c r="AB62" s="35"/>
      <c r="AC62" s="35">
        <v>0</v>
      </c>
      <c r="AD62" s="35"/>
      <c r="AE62" s="35">
        <v>0</v>
      </c>
      <c r="AF62" s="35"/>
      <c r="AG62" s="35">
        <v>0</v>
      </c>
      <c r="AH62" s="35"/>
      <c r="AI62" s="45">
        <f t="shared" si="14"/>
        <v>0</v>
      </c>
      <c r="AJ62" s="45"/>
      <c r="AK62" s="35"/>
      <c r="AL62" s="35"/>
      <c r="AM62" s="35">
        <v>0</v>
      </c>
      <c r="AN62" s="35"/>
      <c r="AO62" s="35">
        <v>0</v>
      </c>
      <c r="AP62" s="35"/>
      <c r="AQ62" s="35">
        <v>0</v>
      </c>
      <c r="AR62" s="35"/>
      <c r="AS62" s="45">
        <f t="shared" si="12"/>
        <v>0</v>
      </c>
      <c r="AT62" s="45"/>
      <c r="AU62" s="35">
        <v>0</v>
      </c>
      <c r="AV62" s="35"/>
      <c r="AW62" s="35">
        <v>0</v>
      </c>
      <c r="AX62" s="35"/>
      <c r="AY62" s="35">
        <f t="shared" si="13"/>
        <v>0</v>
      </c>
      <c r="AZ62" s="35"/>
      <c r="BA62" s="35" t="s">
        <v>83</v>
      </c>
      <c r="BB62" s="55"/>
      <c r="BC62" s="35" t="s">
        <v>66</v>
      </c>
      <c r="BD62" s="35"/>
      <c r="BE62" s="35"/>
      <c r="BF62" s="35"/>
      <c r="BG62" s="35"/>
      <c r="BH62" s="35"/>
      <c r="BI62" s="35"/>
      <c r="BJ62" s="35"/>
      <c r="BK62" s="35"/>
      <c r="BL62" s="35"/>
      <c r="BM62" s="35">
        <f t="shared" si="10"/>
        <v>0</v>
      </c>
      <c r="BN62" s="54" t="s">
        <v>347</v>
      </c>
    </row>
    <row r="63" spans="1:67" ht="12.75" hidden="1" customHeight="1">
      <c r="A63" s="35" t="s">
        <v>84</v>
      </c>
      <c r="C63" s="35" t="s">
        <v>45</v>
      </c>
      <c r="D63" s="35"/>
      <c r="E63" s="35">
        <f t="shared" si="0"/>
        <v>0</v>
      </c>
      <c r="F63" s="35"/>
      <c r="G63" s="35"/>
      <c r="H63" s="35"/>
      <c r="I63" s="35"/>
      <c r="J63" s="35"/>
      <c r="K63" s="35">
        <f t="shared" si="1"/>
        <v>0</v>
      </c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>
        <f t="shared" si="11"/>
        <v>0</v>
      </c>
      <c r="X63" s="35"/>
      <c r="Y63" s="35" t="s">
        <v>84</v>
      </c>
      <c r="Z63" s="55"/>
      <c r="AA63" s="35" t="s">
        <v>45</v>
      </c>
      <c r="AB63" s="35"/>
      <c r="AC63" s="35"/>
      <c r="AD63" s="35"/>
      <c r="AE63" s="35"/>
      <c r="AF63" s="35"/>
      <c r="AG63" s="35"/>
      <c r="AH63" s="35"/>
      <c r="AI63" s="45">
        <f t="shared" si="14"/>
        <v>0</v>
      </c>
      <c r="AJ63" s="45"/>
      <c r="AK63" s="35"/>
      <c r="AL63" s="35"/>
      <c r="AM63" s="35"/>
      <c r="AN63" s="35"/>
      <c r="AO63" s="35"/>
      <c r="AP63" s="35"/>
      <c r="AQ63" s="35"/>
      <c r="AR63" s="35"/>
      <c r="AS63" s="45">
        <f t="shared" si="12"/>
        <v>0</v>
      </c>
      <c r="AT63" s="45"/>
      <c r="AU63" s="35">
        <v>0</v>
      </c>
      <c r="AV63" s="35"/>
      <c r="AW63" s="35">
        <v>0</v>
      </c>
      <c r="AX63" s="35"/>
      <c r="AY63" s="35">
        <f t="shared" si="13"/>
        <v>0</v>
      </c>
      <c r="AZ63" s="35"/>
      <c r="BA63" s="35" t="s">
        <v>84</v>
      </c>
      <c r="BB63" s="55"/>
      <c r="BC63" s="35" t="s">
        <v>45</v>
      </c>
      <c r="BD63" s="35"/>
      <c r="BE63" s="35"/>
      <c r="BF63" s="35"/>
      <c r="BG63" s="35"/>
      <c r="BH63" s="35"/>
      <c r="BI63" s="35"/>
      <c r="BJ63" s="35"/>
      <c r="BK63" s="35"/>
      <c r="BL63" s="35"/>
      <c r="BM63" s="35">
        <f t="shared" si="10"/>
        <v>0</v>
      </c>
      <c r="BN63" s="54" t="s">
        <v>347</v>
      </c>
      <c r="BO63" s="55" t="s">
        <v>371</v>
      </c>
    </row>
    <row r="64" spans="1:67" ht="12.75" hidden="1" customHeight="1">
      <c r="A64" s="35" t="s">
        <v>85</v>
      </c>
      <c r="C64" s="35" t="s">
        <v>85</v>
      </c>
      <c r="D64" s="35"/>
      <c r="E64" s="35">
        <f t="shared" si="0"/>
        <v>0</v>
      </c>
      <c r="F64" s="35"/>
      <c r="G64" s="35"/>
      <c r="H64" s="35"/>
      <c r="I64" s="35"/>
      <c r="J64" s="35"/>
      <c r="K64" s="35">
        <f t="shared" si="1"/>
        <v>0</v>
      </c>
      <c r="L64" s="35"/>
      <c r="M64" s="35">
        <v>0</v>
      </c>
      <c r="N64" s="35"/>
      <c r="O64" s="35"/>
      <c r="P64" s="35"/>
      <c r="Q64" s="35"/>
      <c r="R64" s="35"/>
      <c r="S64" s="35">
        <v>0</v>
      </c>
      <c r="T64" s="35"/>
      <c r="U64" s="35"/>
      <c r="V64" s="35"/>
      <c r="W64" s="35">
        <f t="shared" si="11"/>
        <v>0</v>
      </c>
      <c r="X64" s="35"/>
      <c r="Y64" s="35" t="s">
        <v>85</v>
      </c>
      <c r="Z64" s="55"/>
      <c r="AA64" s="35" t="s">
        <v>85</v>
      </c>
      <c r="AB64" s="35"/>
      <c r="AC64" s="35">
        <v>0</v>
      </c>
      <c r="AD64" s="35"/>
      <c r="AE64" s="35">
        <v>0</v>
      </c>
      <c r="AF64" s="35"/>
      <c r="AG64" s="35">
        <v>0</v>
      </c>
      <c r="AH64" s="35"/>
      <c r="AI64" s="45">
        <f t="shared" si="14"/>
        <v>0</v>
      </c>
      <c r="AJ64" s="45"/>
      <c r="AK64" s="35"/>
      <c r="AL64" s="35"/>
      <c r="AM64" s="35">
        <v>0</v>
      </c>
      <c r="AN64" s="35"/>
      <c r="AO64" s="35">
        <v>0</v>
      </c>
      <c r="AP64" s="35"/>
      <c r="AQ64" s="35">
        <v>0</v>
      </c>
      <c r="AR64" s="35"/>
      <c r="AS64" s="45">
        <f t="shared" si="12"/>
        <v>0</v>
      </c>
      <c r="AT64" s="45"/>
      <c r="AU64" s="35">
        <v>0</v>
      </c>
      <c r="AV64" s="35"/>
      <c r="AW64" s="35">
        <v>0</v>
      </c>
      <c r="AX64" s="35"/>
      <c r="AY64" s="35">
        <f t="shared" si="13"/>
        <v>0</v>
      </c>
      <c r="AZ64" s="35"/>
      <c r="BA64" s="35" t="s">
        <v>85</v>
      </c>
      <c r="BB64" s="55"/>
      <c r="BC64" s="35" t="s">
        <v>85</v>
      </c>
      <c r="BD64" s="35"/>
      <c r="BE64" s="35"/>
      <c r="BF64" s="35"/>
      <c r="BG64" s="35"/>
      <c r="BH64" s="35"/>
      <c r="BI64" s="35"/>
      <c r="BJ64" s="35"/>
      <c r="BK64" s="35"/>
      <c r="BL64" s="35"/>
      <c r="BM64" s="35">
        <f t="shared" si="10"/>
        <v>0</v>
      </c>
      <c r="BN64" s="54" t="s">
        <v>347</v>
      </c>
    </row>
    <row r="65" spans="1:67" ht="12.75" hidden="1" customHeight="1">
      <c r="A65" s="35" t="s">
        <v>86</v>
      </c>
      <c r="C65" s="35" t="s">
        <v>86</v>
      </c>
      <c r="D65" s="35"/>
      <c r="E65" s="35">
        <f t="shared" si="0"/>
        <v>0</v>
      </c>
      <c r="F65" s="35"/>
      <c r="G65" s="35"/>
      <c r="H65" s="35"/>
      <c r="I65" s="35"/>
      <c r="J65" s="35"/>
      <c r="K65" s="35">
        <f t="shared" si="1"/>
        <v>0</v>
      </c>
      <c r="L65" s="35"/>
      <c r="M65" s="35">
        <v>0</v>
      </c>
      <c r="N65" s="35"/>
      <c r="O65" s="35"/>
      <c r="P65" s="35"/>
      <c r="Q65" s="35"/>
      <c r="R65" s="35"/>
      <c r="S65" s="35">
        <v>0</v>
      </c>
      <c r="T65" s="35"/>
      <c r="U65" s="35"/>
      <c r="V65" s="35"/>
      <c r="W65" s="35">
        <f t="shared" si="11"/>
        <v>0</v>
      </c>
      <c r="X65" s="35"/>
      <c r="Y65" s="35" t="s">
        <v>86</v>
      </c>
      <c r="Z65" s="55"/>
      <c r="AA65" s="35" t="s">
        <v>86</v>
      </c>
      <c r="AB65" s="35"/>
      <c r="AC65" s="35">
        <v>0</v>
      </c>
      <c r="AD65" s="35"/>
      <c r="AE65" s="35">
        <v>0</v>
      </c>
      <c r="AF65" s="35"/>
      <c r="AG65" s="35">
        <v>0</v>
      </c>
      <c r="AH65" s="35"/>
      <c r="AI65" s="45">
        <v>0</v>
      </c>
      <c r="AJ65" s="45"/>
      <c r="AK65" s="35"/>
      <c r="AL65" s="35"/>
      <c r="AM65" s="35">
        <v>0</v>
      </c>
      <c r="AN65" s="35"/>
      <c r="AO65" s="35">
        <v>0</v>
      </c>
      <c r="AP65" s="35"/>
      <c r="AQ65" s="35">
        <v>0</v>
      </c>
      <c r="AR65" s="35"/>
      <c r="AS65" s="45">
        <f t="shared" si="12"/>
        <v>0</v>
      </c>
      <c r="AT65" s="45"/>
      <c r="AU65" s="35">
        <v>0</v>
      </c>
      <c r="AV65" s="35"/>
      <c r="AW65" s="35">
        <v>0</v>
      </c>
      <c r="AX65" s="35"/>
      <c r="AY65" s="35">
        <f t="shared" si="13"/>
        <v>0</v>
      </c>
      <c r="AZ65" s="35"/>
      <c r="BA65" s="35" t="s">
        <v>86</v>
      </c>
      <c r="BB65" s="55"/>
      <c r="BC65" s="35" t="s">
        <v>86</v>
      </c>
      <c r="BD65" s="35"/>
      <c r="BE65" s="35"/>
      <c r="BF65" s="35"/>
      <c r="BG65" s="35"/>
      <c r="BH65" s="35"/>
      <c r="BI65" s="35"/>
      <c r="BJ65" s="35"/>
      <c r="BK65" s="35"/>
      <c r="BL65" s="35"/>
      <c r="BM65" s="35">
        <f t="shared" ref="BM65:BM97" si="15">SUM(BE65:BK65)</f>
        <v>0</v>
      </c>
      <c r="BN65" s="54" t="s">
        <v>347</v>
      </c>
    </row>
    <row r="66" spans="1:67" s="90" customFormat="1" ht="12.75" hidden="1" customHeight="1">
      <c r="A66" s="64" t="s">
        <v>87</v>
      </c>
      <c r="C66" s="64" t="s">
        <v>88</v>
      </c>
      <c r="D66" s="64"/>
      <c r="E66" s="64">
        <f t="shared" si="0"/>
        <v>0</v>
      </c>
      <c r="F66" s="64"/>
      <c r="G66" s="64"/>
      <c r="H66" s="64"/>
      <c r="I66" s="64"/>
      <c r="J66" s="64"/>
      <c r="K66" s="64">
        <f t="shared" si="1"/>
        <v>0</v>
      </c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>
        <f t="shared" si="11"/>
        <v>0</v>
      </c>
      <c r="X66" s="64"/>
      <c r="Y66" s="64" t="s">
        <v>87</v>
      </c>
      <c r="AA66" s="64" t="s">
        <v>88</v>
      </c>
      <c r="AB66" s="64"/>
      <c r="AC66" s="64"/>
      <c r="AD66" s="64"/>
      <c r="AE66" s="64"/>
      <c r="AF66" s="64"/>
      <c r="AG66" s="64"/>
      <c r="AH66" s="64"/>
      <c r="AI66" s="94">
        <f t="shared" ref="AI66:AI76" si="16">+AC66-AE66-AG66</f>
        <v>0</v>
      </c>
      <c r="AJ66" s="94"/>
      <c r="AK66" s="64"/>
      <c r="AL66" s="64"/>
      <c r="AM66" s="64"/>
      <c r="AN66" s="64"/>
      <c r="AO66" s="64"/>
      <c r="AP66" s="64"/>
      <c r="AQ66" s="64"/>
      <c r="AR66" s="64"/>
      <c r="AS66" s="94">
        <f t="shared" si="12"/>
        <v>0</v>
      </c>
      <c r="AT66" s="94"/>
      <c r="AU66" s="64">
        <v>0</v>
      </c>
      <c r="AV66" s="64"/>
      <c r="AW66" s="64">
        <v>0</v>
      </c>
      <c r="AX66" s="64"/>
      <c r="AY66" s="64">
        <f t="shared" si="13"/>
        <v>0</v>
      </c>
      <c r="AZ66" s="64"/>
      <c r="BA66" s="64" t="s">
        <v>87</v>
      </c>
      <c r="BC66" s="64" t="s">
        <v>88</v>
      </c>
      <c r="BD66" s="64"/>
      <c r="BE66" s="64"/>
      <c r="BF66" s="64"/>
      <c r="BG66" s="64"/>
      <c r="BH66" s="64"/>
      <c r="BI66" s="64"/>
      <c r="BJ66" s="64"/>
      <c r="BK66" s="64"/>
      <c r="BL66" s="64"/>
      <c r="BM66" s="64">
        <f t="shared" si="15"/>
        <v>0</v>
      </c>
      <c r="BN66" s="91" t="s">
        <v>347</v>
      </c>
    </row>
    <row r="67" spans="1:67" ht="12.75" customHeight="1">
      <c r="A67" s="35" t="s">
        <v>394</v>
      </c>
      <c r="C67" s="35" t="s">
        <v>89</v>
      </c>
      <c r="D67" s="35"/>
      <c r="E67" s="35">
        <f t="shared" si="0"/>
        <v>5571776</v>
      </c>
      <c r="F67" s="35"/>
      <c r="G67" s="35">
        <v>30195422</v>
      </c>
      <c r="H67" s="35"/>
      <c r="I67" s="35">
        <v>35767198</v>
      </c>
      <c r="J67" s="35"/>
      <c r="K67" s="35">
        <f t="shared" si="1"/>
        <v>3611092</v>
      </c>
      <c r="L67" s="35"/>
      <c r="M67" s="35">
        <v>15447005</v>
      </c>
      <c r="N67" s="35"/>
      <c r="O67" s="35">
        <v>19058097</v>
      </c>
      <c r="P67" s="35"/>
      <c r="Q67" s="35">
        <v>8951220</v>
      </c>
      <c r="R67" s="35"/>
      <c r="S67" s="35">
        <f>1013362+2232257</f>
        <v>3245619</v>
      </c>
      <c r="T67" s="35"/>
      <c r="U67" s="35">
        <v>4512262</v>
      </c>
      <c r="V67" s="35"/>
      <c r="W67" s="35">
        <f t="shared" si="11"/>
        <v>16709101</v>
      </c>
      <c r="X67" s="35"/>
      <c r="Y67" s="35" t="s">
        <v>394</v>
      </c>
      <c r="Z67" s="55"/>
      <c r="AA67" s="35" t="s">
        <v>89</v>
      </c>
      <c r="AB67" s="35"/>
      <c r="AC67" s="35">
        <v>20383395</v>
      </c>
      <c r="AD67" s="35"/>
      <c r="AE67" s="35">
        <f>17705379-176588</f>
        <v>17528791</v>
      </c>
      <c r="AF67" s="35"/>
      <c r="AG67" s="35">
        <v>176588</v>
      </c>
      <c r="AH67" s="35"/>
      <c r="AI67" s="45">
        <f t="shared" si="16"/>
        <v>2678016</v>
      </c>
      <c r="AJ67" s="45"/>
      <c r="AK67" s="35">
        <v>-598749</v>
      </c>
      <c r="AL67" s="35"/>
      <c r="AM67" s="35">
        <v>0</v>
      </c>
      <c r="AN67" s="35"/>
      <c r="AO67" s="35">
        <v>0</v>
      </c>
      <c r="AP67" s="35"/>
      <c r="AQ67" s="35">
        <v>0</v>
      </c>
      <c r="AR67" s="35"/>
      <c r="AS67" s="45">
        <f t="shared" si="12"/>
        <v>2079267</v>
      </c>
      <c r="AT67" s="45"/>
      <c r="AU67" s="35">
        <v>0</v>
      </c>
      <c r="AV67" s="35"/>
      <c r="AW67" s="35">
        <v>0</v>
      </c>
      <c r="AX67" s="35"/>
      <c r="AY67" s="35">
        <f t="shared" si="13"/>
        <v>1960684</v>
      </c>
      <c r="AZ67" s="35"/>
      <c r="BA67" s="35" t="s">
        <v>394</v>
      </c>
      <c r="BB67" s="55"/>
      <c r="BC67" s="35" t="s">
        <v>89</v>
      </c>
      <c r="BD67" s="35"/>
      <c r="BE67" s="35">
        <f>8045000+202851+52457</f>
        <v>8300308</v>
      </c>
      <c r="BF67" s="35"/>
      <c r="BG67" s="35">
        <v>7500000</v>
      </c>
      <c r="BH67" s="35"/>
      <c r="BI67" s="35">
        <v>0</v>
      </c>
      <c r="BJ67" s="35"/>
      <c r="BK67" s="35">
        <v>0</v>
      </c>
      <c r="BL67" s="35"/>
      <c r="BM67" s="35">
        <f t="shared" si="15"/>
        <v>15800308</v>
      </c>
      <c r="BN67" s="54" t="s">
        <v>347</v>
      </c>
      <c r="BO67" s="55" t="s">
        <v>315</v>
      </c>
    </row>
    <row r="68" spans="1:67" ht="12.75" hidden="1" customHeight="1">
      <c r="A68" s="35" t="s">
        <v>90</v>
      </c>
      <c r="C68" s="35" t="s">
        <v>43</v>
      </c>
      <c r="D68" s="35"/>
      <c r="E68" s="35">
        <f t="shared" si="0"/>
        <v>0</v>
      </c>
      <c r="F68" s="35"/>
      <c r="G68" s="35"/>
      <c r="H68" s="35"/>
      <c r="I68" s="35"/>
      <c r="J68" s="35"/>
      <c r="K68" s="35">
        <f t="shared" si="1"/>
        <v>0</v>
      </c>
      <c r="L68" s="35"/>
      <c r="M68" s="35">
        <v>0</v>
      </c>
      <c r="N68" s="35"/>
      <c r="O68" s="35"/>
      <c r="P68" s="35"/>
      <c r="Q68" s="35"/>
      <c r="R68" s="35"/>
      <c r="S68" s="35">
        <v>0</v>
      </c>
      <c r="T68" s="35"/>
      <c r="U68" s="35"/>
      <c r="V68" s="35"/>
      <c r="W68" s="35">
        <f t="shared" si="11"/>
        <v>0</v>
      </c>
      <c r="X68" s="35"/>
      <c r="Y68" s="35" t="s">
        <v>90</v>
      </c>
      <c r="Z68" s="55"/>
      <c r="AA68" s="35" t="s">
        <v>43</v>
      </c>
      <c r="AB68" s="35"/>
      <c r="AC68" s="35">
        <v>0</v>
      </c>
      <c r="AD68" s="35"/>
      <c r="AE68" s="35">
        <v>0</v>
      </c>
      <c r="AF68" s="35"/>
      <c r="AG68" s="35">
        <v>0</v>
      </c>
      <c r="AH68" s="35"/>
      <c r="AI68" s="45">
        <f t="shared" si="16"/>
        <v>0</v>
      </c>
      <c r="AJ68" s="45"/>
      <c r="AK68" s="35"/>
      <c r="AL68" s="35"/>
      <c r="AM68" s="35">
        <v>0</v>
      </c>
      <c r="AN68" s="35"/>
      <c r="AO68" s="35">
        <v>0</v>
      </c>
      <c r="AP68" s="35"/>
      <c r="AQ68" s="35">
        <v>0</v>
      </c>
      <c r="AR68" s="35"/>
      <c r="AS68" s="45">
        <f t="shared" si="12"/>
        <v>0</v>
      </c>
      <c r="AT68" s="45"/>
      <c r="AU68" s="35">
        <v>0</v>
      </c>
      <c r="AV68" s="35"/>
      <c r="AW68" s="35">
        <v>0</v>
      </c>
      <c r="AX68" s="35"/>
      <c r="AY68" s="35">
        <f t="shared" si="13"/>
        <v>0</v>
      </c>
      <c r="AZ68" s="35"/>
      <c r="BA68" s="35" t="s">
        <v>90</v>
      </c>
      <c r="BB68" s="55"/>
      <c r="BC68" s="35" t="s">
        <v>43</v>
      </c>
      <c r="BD68" s="35"/>
      <c r="BE68" s="35"/>
      <c r="BF68" s="35"/>
      <c r="BG68" s="35"/>
      <c r="BH68" s="35"/>
      <c r="BI68" s="35"/>
      <c r="BJ68" s="35"/>
      <c r="BK68" s="35"/>
      <c r="BL68" s="35"/>
      <c r="BM68" s="35">
        <f t="shared" si="15"/>
        <v>0</v>
      </c>
      <c r="BN68" s="54" t="s">
        <v>347</v>
      </c>
    </row>
    <row r="69" spans="1:67" ht="12.75" hidden="1" customHeight="1">
      <c r="A69" s="35" t="s">
        <v>93</v>
      </c>
      <c r="C69" s="35" t="s">
        <v>94</v>
      </c>
      <c r="D69" s="35"/>
      <c r="E69" s="35">
        <f t="shared" si="0"/>
        <v>0</v>
      </c>
      <c r="F69" s="35"/>
      <c r="G69" s="35"/>
      <c r="H69" s="35"/>
      <c r="I69" s="35"/>
      <c r="J69" s="35"/>
      <c r="K69" s="35">
        <f t="shared" si="1"/>
        <v>0</v>
      </c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>
        <f t="shared" si="11"/>
        <v>0</v>
      </c>
      <c r="X69" s="35"/>
      <c r="Y69" s="35" t="s">
        <v>93</v>
      </c>
      <c r="Z69" s="55"/>
      <c r="AA69" s="35" t="s">
        <v>94</v>
      </c>
      <c r="AB69" s="35"/>
      <c r="AC69" s="35"/>
      <c r="AD69" s="35"/>
      <c r="AE69" s="35"/>
      <c r="AF69" s="35"/>
      <c r="AG69" s="35"/>
      <c r="AH69" s="35"/>
      <c r="AI69" s="45">
        <f t="shared" si="16"/>
        <v>0</v>
      </c>
      <c r="AJ69" s="45"/>
      <c r="AK69" s="35"/>
      <c r="AL69" s="35"/>
      <c r="AM69" s="35"/>
      <c r="AN69" s="35"/>
      <c r="AO69" s="35"/>
      <c r="AP69" s="35"/>
      <c r="AQ69" s="35"/>
      <c r="AR69" s="35"/>
      <c r="AS69" s="45">
        <f t="shared" si="12"/>
        <v>0</v>
      </c>
      <c r="AT69" s="45"/>
      <c r="AU69" s="35">
        <v>0</v>
      </c>
      <c r="AV69" s="35"/>
      <c r="AW69" s="35">
        <v>0</v>
      </c>
      <c r="AX69" s="35"/>
      <c r="AY69" s="35">
        <f t="shared" si="13"/>
        <v>0</v>
      </c>
      <c r="AZ69" s="35"/>
      <c r="BA69" s="35" t="s">
        <v>93</v>
      </c>
      <c r="BB69" s="55"/>
      <c r="BC69" s="35" t="s">
        <v>94</v>
      </c>
      <c r="BD69" s="35"/>
      <c r="BE69" s="35"/>
      <c r="BF69" s="35"/>
      <c r="BG69" s="35"/>
      <c r="BH69" s="35"/>
      <c r="BI69" s="35"/>
      <c r="BJ69" s="35"/>
      <c r="BK69" s="35"/>
      <c r="BL69" s="35"/>
      <c r="BM69" s="35">
        <f t="shared" si="15"/>
        <v>0</v>
      </c>
      <c r="BN69" s="54" t="s">
        <v>347</v>
      </c>
    </row>
    <row r="70" spans="1:67" ht="12.75" hidden="1" customHeight="1">
      <c r="A70" s="35" t="s">
        <v>95</v>
      </c>
      <c r="C70" s="35" t="s">
        <v>94</v>
      </c>
      <c r="D70" s="35"/>
      <c r="E70" s="35">
        <f t="shared" si="0"/>
        <v>0</v>
      </c>
      <c r="F70" s="35"/>
      <c r="G70" s="35"/>
      <c r="H70" s="35"/>
      <c r="I70" s="35"/>
      <c r="J70" s="35"/>
      <c r="K70" s="35">
        <f t="shared" si="1"/>
        <v>0</v>
      </c>
      <c r="L70" s="35"/>
      <c r="M70" s="35">
        <v>0</v>
      </c>
      <c r="N70" s="35"/>
      <c r="O70" s="35"/>
      <c r="P70" s="35"/>
      <c r="Q70" s="35"/>
      <c r="R70" s="35"/>
      <c r="S70" s="35">
        <v>0</v>
      </c>
      <c r="T70" s="35"/>
      <c r="U70" s="35"/>
      <c r="V70" s="35"/>
      <c r="W70" s="35">
        <f t="shared" si="11"/>
        <v>0</v>
      </c>
      <c r="X70" s="35"/>
      <c r="Y70" s="35" t="s">
        <v>95</v>
      </c>
      <c r="Z70" s="55"/>
      <c r="AA70" s="35" t="s">
        <v>94</v>
      </c>
      <c r="AB70" s="35"/>
      <c r="AC70" s="35">
        <v>0</v>
      </c>
      <c r="AD70" s="35"/>
      <c r="AE70" s="35">
        <v>0</v>
      </c>
      <c r="AF70" s="35"/>
      <c r="AG70" s="35">
        <v>0</v>
      </c>
      <c r="AH70" s="35"/>
      <c r="AI70" s="45">
        <f t="shared" si="16"/>
        <v>0</v>
      </c>
      <c r="AJ70" s="45"/>
      <c r="AK70" s="35"/>
      <c r="AL70" s="35"/>
      <c r="AM70" s="35">
        <v>0</v>
      </c>
      <c r="AN70" s="35"/>
      <c r="AO70" s="35">
        <v>0</v>
      </c>
      <c r="AP70" s="35"/>
      <c r="AQ70" s="35">
        <v>0</v>
      </c>
      <c r="AR70" s="35"/>
      <c r="AS70" s="45">
        <f t="shared" ref="AS70:AS102" si="17">+AI70+AK70+AM70-AO70+AQ70</f>
        <v>0</v>
      </c>
      <c r="AT70" s="45"/>
      <c r="AU70" s="35">
        <v>0</v>
      </c>
      <c r="AV70" s="35"/>
      <c r="AW70" s="35">
        <v>0</v>
      </c>
      <c r="AX70" s="35"/>
      <c r="AY70" s="35">
        <f t="shared" si="13"/>
        <v>0</v>
      </c>
      <c r="AZ70" s="35"/>
      <c r="BA70" s="35" t="s">
        <v>95</v>
      </c>
      <c r="BB70" s="55"/>
      <c r="BC70" s="35" t="s">
        <v>94</v>
      </c>
      <c r="BD70" s="35"/>
      <c r="BE70" s="35"/>
      <c r="BF70" s="35"/>
      <c r="BG70" s="35"/>
      <c r="BH70" s="35"/>
      <c r="BI70" s="35"/>
      <c r="BJ70" s="35"/>
      <c r="BK70" s="35"/>
      <c r="BL70" s="35"/>
      <c r="BM70" s="35">
        <f t="shared" si="15"/>
        <v>0</v>
      </c>
      <c r="BN70" s="54" t="s">
        <v>347</v>
      </c>
    </row>
    <row r="71" spans="1:67" ht="12.75" hidden="1" customHeight="1">
      <c r="A71" s="35" t="s">
        <v>91</v>
      </c>
      <c r="C71" s="35" t="s">
        <v>92</v>
      </c>
      <c r="D71" s="35"/>
      <c r="E71" s="35">
        <f t="shared" si="0"/>
        <v>0</v>
      </c>
      <c r="F71" s="35"/>
      <c r="G71" s="35"/>
      <c r="H71" s="35"/>
      <c r="I71" s="35"/>
      <c r="J71" s="35"/>
      <c r="K71" s="35">
        <f t="shared" si="1"/>
        <v>0</v>
      </c>
      <c r="L71" s="35"/>
      <c r="M71" s="35">
        <v>0</v>
      </c>
      <c r="N71" s="35"/>
      <c r="O71" s="35"/>
      <c r="P71" s="35"/>
      <c r="Q71" s="35"/>
      <c r="R71" s="35"/>
      <c r="S71" s="35">
        <v>0</v>
      </c>
      <c r="T71" s="35"/>
      <c r="U71" s="35"/>
      <c r="V71" s="35"/>
      <c r="W71" s="35">
        <f t="shared" si="11"/>
        <v>0</v>
      </c>
      <c r="X71" s="35"/>
      <c r="Y71" s="35" t="s">
        <v>91</v>
      </c>
      <c r="Z71" s="55"/>
      <c r="AA71" s="35" t="s">
        <v>92</v>
      </c>
      <c r="AB71" s="35"/>
      <c r="AC71" s="35">
        <v>0</v>
      </c>
      <c r="AD71" s="35"/>
      <c r="AE71" s="35">
        <v>0</v>
      </c>
      <c r="AF71" s="35"/>
      <c r="AG71" s="35">
        <v>0</v>
      </c>
      <c r="AH71" s="35"/>
      <c r="AI71" s="45">
        <f t="shared" si="16"/>
        <v>0</v>
      </c>
      <c r="AJ71" s="45"/>
      <c r="AK71" s="35"/>
      <c r="AL71" s="35"/>
      <c r="AM71" s="35">
        <v>0</v>
      </c>
      <c r="AN71" s="35"/>
      <c r="AO71" s="35">
        <v>0</v>
      </c>
      <c r="AP71" s="35"/>
      <c r="AQ71" s="35">
        <v>0</v>
      </c>
      <c r="AR71" s="35"/>
      <c r="AS71" s="45">
        <f t="shared" si="17"/>
        <v>0</v>
      </c>
      <c r="AT71" s="45"/>
      <c r="AU71" s="35">
        <v>0</v>
      </c>
      <c r="AV71" s="35"/>
      <c r="AW71" s="35">
        <v>0</v>
      </c>
      <c r="AX71" s="35"/>
      <c r="AY71" s="35">
        <f t="shared" si="13"/>
        <v>0</v>
      </c>
      <c r="AZ71" s="35"/>
      <c r="BA71" s="35" t="s">
        <v>91</v>
      </c>
      <c r="BB71" s="55"/>
      <c r="BC71" s="35" t="s">
        <v>92</v>
      </c>
      <c r="BD71" s="35"/>
      <c r="BE71" s="35"/>
      <c r="BF71" s="35"/>
      <c r="BG71" s="35"/>
      <c r="BH71" s="35"/>
      <c r="BI71" s="35"/>
      <c r="BJ71" s="35"/>
      <c r="BK71" s="35"/>
      <c r="BL71" s="35"/>
      <c r="BM71" s="35">
        <f t="shared" si="15"/>
        <v>0</v>
      </c>
      <c r="BN71" s="54" t="s">
        <v>347</v>
      </c>
    </row>
    <row r="72" spans="1:67" ht="12.75" hidden="1" customHeight="1">
      <c r="A72" s="35" t="s">
        <v>96</v>
      </c>
      <c r="C72" s="35" t="s">
        <v>97</v>
      </c>
      <c r="D72" s="35"/>
      <c r="E72" s="35">
        <f t="shared" si="0"/>
        <v>0</v>
      </c>
      <c r="F72" s="35"/>
      <c r="G72" s="35"/>
      <c r="H72" s="35"/>
      <c r="I72" s="35"/>
      <c r="J72" s="35"/>
      <c r="K72" s="35">
        <f t="shared" si="1"/>
        <v>0</v>
      </c>
      <c r="L72" s="35"/>
      <c r="M72" s="35">
        <v>0</v>
      </c>
      <c r="N72" s="35"/>
      <c r="O72" s="35"/>
      <c r="P72" s="35"/>
      <c r="Q72" s="35"/>
      <c r="R72" s="35"/>
      <c r="S72" s="35">
        <v>0</v>
      </c>
      <c r="T72" s="35"/>
      <c r="U72" s="35"/>
      <c r="V72" s="35"/>
      <c r="W72" s="35">
        <f t="shared" si="11"/>
        <v>0</v>
      </c>
      <c r="X72" s="35"/>
      <c r="Y72" s="35" t="s">
        <v>96</v>
      </c>
      <c r="Z72" s="55"/>
      <c r="AA72" s="35" t="s">
        <v>97</v>
      </c>
      <c r="AB72" s="35"/>
      <c r="AC72" s="35">
        <v>0</v>
      </c>
      <c r="AD72" s="35"/>
      <c r="AE72" s="35">
        <v>0</v>
      </c>
      <c r="AF72" s="35"/>
      <c r="AG72" s="35">
        <v>0</v>
      </c>
      <c r="AH72" s="35"/>
      <c r="AI72" s="45">
        <f t="shared" si="16"/>
        <v>0</v>
      </c>
      <c r="AJ72" s="45"/>
      <c r="AK72" s="35"/>
      <c r="AL72" s="35"/>
      <c r="AM72" s="35">
        <v>0</v>
      </c>
      <c r="AN72" s="35"/>
      <c r="AO72" s="35">
        <v>0</v>
      </c>
      <c r="AP72" s="35"/>
      <c r="AQ72" s="35">
        <v>0</v>
      </c>
      <c r="AR72" s="35"/>
      <c r="AS72" s="45">
        <f t="shared" si="17"/>
        <v>0</v>
      </c>
      <c r="AT72" s="45"/>
      <c r="AU72" s="35">
        <v>0</v>
      </c>
      <c r="AV72" s="35"/>
      <c r="AW72" s="35">
        <v>0</v>
      </c>
      <c r="AX72" s="35"/>
      <c r="AY72" s="35">
        <f t="shared" si="13"/>
        <v>0</v>
      </c>
      <c r="AZ72" s="35"/>
      <c r="BA72" s="35" t="s">
        <v>96</v>
      </c>
      <c r="BB72" s="55"/>
      <c r="BC72" s="35" t="s">
        <v>97</v>
      </c>
      <c r="BD72" s="35"/>
      <c r="BE72" s="35"/>
      <c r="BF72" s="35"/>
      <c r="BG72" s="35"/>
      <c r="BH72" s="35"/>
      <c r="BI72" s="35"/>
      <c r="BJ72" s="35"/>
      <c r="BK72" s="35"/>
      <c r="BL72" s="35"/>
      <c r="BM72" s="35">
        <f t="shared" si="15"/>
        <v>0</v>
      </c>
      <c r="BN72" s="54" t="s">
        <v>347</v>
      </c>
    </row>
    <row r="73" spans="1:67" ht="12.75" hidden="1" customHeight="1">
      <c r="A73" s="35" t="s">
        <v>98</v>
      </c>
      <c r="C73" s="35" t="s">
        <v>17</v>
      </c>
      <c r="D73" s="35"/>
      <c r="E73" s="35">
        <f t="shared" si="0"/>
        <v>0</v>
      </c>
      <c r="F73" s="35"/>
      <c r="G73" s="35"/>
      <c r="H73" s="35"/>
      <c r="I73" s="35"/>
      <c r="J73" s="35"/>
      <c r="K73" s="35">
        <f t="shared" si="1"/>
        <v>0</v>
      </c>
      <c r="L73" s="35"/>
      <c r="M73" s="35">
        <v>0</v>
      </c>
      <c r="N73" s="35"/>
      <c r="O73" s="35"/>
      <c r="P73" s="35"/>
      <c r="Q73" s="35"/>
      <c r="R73" s="35"/>
      <c r="S73" s="35">
        <v>0</v>
      </c>
      <c r="T73" s="35"/>
      <c r="U73" s="35"/>
      <c r="V73" s="35"/>
      <c r="W73" s="35">
        <v>0</v>
      </c>
      <c r="X73" s="35"/>
      <c r="Y73" s="35" t="s">
        <v>98</v>
      </c>
      <c r="Z73" s="55"/>
      <c r="AA73" s="35" t="s">
        <v>17</v>
      </c>
      <c r="AB73" s="35"/>
      <c r="AC73" s="35">
        <v>0</v>
      </c>
      <c r="AD73" s="35"/>
      <c r="AE73" s="35">
        <v>0</v>
      </c>
      <c r="AF73" s="35"/>
      <c r="AG73" s="35">
        <v>0</v>
      </c>
      <c r="AH73" s="35"/>
      <c r="AI73" s="45">
        <f t="shared" si="16"/>
        <v>0</v>
      </c>
      <c r="AJ73" s="45"/>
      <c r="AK73" s="35"/>
      <c r="AL73" s="35"/>
      <c r="AM73" s="35">
        <v>0</v>
      </c>
      <c r="AN73" s="35"/>
      <c r="AO73" s="35">
        <v>0</v>
      </c>
      <c r="AP73" s="35"/>
      <c r="AQ73" s="35">
        <v>0</v>
      </c>
      <c r="AR73" s="35"/>
      <c r="AS73" s="45">
        <f t="shared" si="17"/>
        <v>0</v>
      </c>
      <c r="AT73" s="45"/>
      <c r="AU73" s="35">
        <v>0</v>
      </c>
      <c r="AV73" s="35"/>
      <c r="AW73" s="35">
        <v>0</v>
      </c>
      <c r="AX73" s="35"/>
      <c r="AY73" s="35">
        <f t="shared" si="13"/>
        <v>0</v>
      </c>
      <c r="AZ73" s="35"/>
      <c r="BA73" s="35" t="s">
        <v>98</v>
      </c>
      <c r="BB73" s="55"/>
      <c r="BC73" s="35" t="s">
        <v>17</v>
      </c>
      <c r="BD73" s="35"/>
      <c r="BE73" s="35"/>
      <c r="BF73" s="35"/>
      <c r="BG73" s="35"/>
      <c r="BH73" s="35"/>
      <c r="BI73" s="35"/>
      <c r="BJ73" s="35"/>
      <c r="BK73" s="35"/>
      <c r="BL73" s="35"/>
      <c r="BM73" s="35">
        <f t="shared" si="15"/>
        <v>0</v>
      </c>
      <c r="BN73" s="54" t="s">
        <v>347</v>
      </c>
    </row>
    <row r="74" spans="1:67" ht="12.75" hidden="1" customHeight="1">
      <c r="A74" s="35" t="s">
        <v>99</v>
      </c>
      <c r="C74" s="35" t="s">
        <v>66</v>
      </c>
      <c r="D74" s="35"/>
      <c r="E74" s="35">
        <f t="shared" si="0"/>
        <v>0</v>
      </c>
      <c r="F74" s="35"/>
      <c r="G74" s="35"/>
      <c r="H74" s="35"/>
      <c r="I74" s="35"/>
      <c r="J74" s="35"/>
      <c r="K74" s="35">
        <f t="shared" si="1"/>
        <v>0</v>
      </c>
      <c r="L74" s="35"/>
      <c r="M74" s="35">
        <v>0</v>
      </c>
      <c r="N74" s="35"/>
      <c r="O74" s="35"/>
      <c r="P74" s="35"/>
      <c r="Q74" s="35"/>
      <c r="R74" s="35"/>
      <c r="S74" s="35">
        <v>0</v>
      </c>
      <c r="T74" s="35"/>
      <c r="U74" s="35"/>
      <c r="V74" s="35"/>
      <c r="W74" s="35">
        <f t="shared" ref="W74:W106" si="18">SUM(Q74:U74)</f>
        <v>0</v>
      </c>
      <c r="X74" s="35"/>
      <c r="Y74" s="35" t="s">
        <v>99</v>
      </c>
      <c r="Z74" s="55"/>
      <c r="AA74" s="35" t="s">
        <v>66</v>
      </c>
      <c r="AB74" s="35"/>
      <c r="AC74" s="35">
        <v>0</v>
      </c>
      <c r="AD74" s="35"/>
      <c r="AE74" s="35">
        <v>0</v>
      </c>
      <c r="AF74" s="35"/>
      <c r="AG74" s="35">
        <v>0</v>
      </c>
      <c r="AH74" s="35"/>
      <c r="AI74" s="45">
        <f t="shared" si="16"/>
        <v>0</v>
      </c>
      <c r="AJ74" s="45"/>
      <c r="AK74" s="35"/>
      <c r="AL74" s="35"/>
      <c r="AM74" s="35">
        <v>0</v>
      </c>
      <c r="AN74" s="35"/>
      <c r="AO74" s="35">
        <v>0</v>
      </c>
      <c r="AP74" s="35"/>
      <c r="AQ74" s="35">
        <v>0</v>
      </c>
      <c r="AR74" s="35"/>
      <c r="AS74" s="45">
        <f t="shared" si="17"/>
        <v>0</v>
      </c>
      <c r="AT74" s="45"/>
      <c r="AU74" s="35">
        <v>0</v>
      </c>
      <c r="AV74" s="35"/>
      <c r="AW74" s="35">
        <v>0</v>
      </c>
      <c r="AX74" s="35"/>
      <c r="AY74" s="35">
        <f t="shared" si="13"/>
        <v>0</v>
      </c>
      <c r="AZ74" s="35"/>
      <c r="BA74" s="35" t="s">
        <v>99</v>
      </c>
      <c r="BB74" s="55"/>
      <c r="BC74" s="35" t="s">
        <v>66</v>
      </c>
      <c r="BD74" s="35"/>
      <c r="BE74" s="35"/>
      <c r="BF74" s="35"/>
      <c r="BG74" s="35"/>
      <c r="BH74" s="35"/>
      <c r="BI74" s="35"/>
      <c r="BJ74" s="35"/>
      <c r="BK74" s="35"/>
      <c r="BL74" s="35"/>
      <c r="BM74" s="35">
        <f t="shared" si="15"/>
        <v>0</v>
      </c>
      <c r="BN74" s="54" t="s">
        <v>347</v>
      </c>
    </row>
    <row r="75" spans="1:67" ht="12.75" hidden="1" customHeight="1">
      <c r="A75" s="35" t="s">
        <v>100</v>
      </c>
      <c r="C75" s="35" t="s">
        <v>27</v>
      </c>
      <c r="D75" s="35"/>
      <c r="E75" s="35">
        <f t="shared" ref="E75:E139" si="19">I75-G75</f>
        <v>0</v>
      </c>
      <c r="F75" s="35"/>
      <c r="G75" s="35"/>
      <c r="H75" s="35"/>
      <c r="I75" s="35"/>
      <c r="J75" s="35"/>
      <c r="K75" s="35">
        <f t="shared" ref="K75:K139" si="20">O75-M75</f>
        <v>0</v>
      </c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>
        <f t="shared" si="18"/>
        <v>0</v>
      </c>
      <c r="X75" s="35"/>
      <c r="Y75" s="35" t="s">
        <v>100</v>
      </c>
      <c r="Z75" s="55"/>
      <c r="AA75" s="35" t="s">
        <v>27</v>
      </c>
      <c r="AB75" s="35"/>
      <c r="AC75" s="35"/>
      <c r="AD75" s="35"/>
      <c r="AE75" s="35"/>
      <c r="AF75" s="35"/>
      <c r="AG75" s="35"/>
      <c r="AH75" s="35"/>
      <c r="AI75" s="45">
        <f t="shared" si="16"/>
        <v>0</v>
      </c>
      <c r="AJ75" s="45"/>
      <c r="AK75" s="35"/>
      <c r="AL75" s="35"/>
      <c r="AM75" s="35"/>
      <c r="AN75" s="35"/>
      <c r="AO75" s="35"/>
      <c r="AP75" s="35"/>
      <c r="AQ75" s="35"/>
      <c r="AR75" s="35"/>
      <c r="AS75" s="45">
        <f t="shared" si="17"/>
        <v>0</v>
      </c>
      <c r="AT75" s="45"/>
      <c r="AU75" s="35">
        <v>0</v>
      </c>
      <c r="AV75" s="35"/>
      <c r="AW75" s="35">
        <v>0</v>
      </c>
      <c r="AX75" s="35"/>
      <c r="AY75" s="35">
        <f t="shared" ref="AY75:AY108" si="21">+E75-K75</f>
        <v>0</v>
      </c>
      <c r="AZ75" s="35"/>
      <c r="BA75" s="35" t="s">
        <v>100</v>
      </c>
      <c r="BB75" s="55"/>
      <c r="BC75" s="35" t="s">
        <v>27</v>
      </c>
      <c r="BD75" s="35"/>
      <c r="BE75" s="35"/>
      <c r="BF75" s="35"/>
      <c r="BG75" s="35"/>
      <c r="BH75" s="35"/>
      <c r="BI75" s="35"/>
      <c r="BJ75" s="35"/>
      <c r="BK75" s="35"/>
      <c r="BL75" s="35"/>
      <c r="BM75" s="35">
        <f t="shared" si="15"/>
        <v>0</v>
      </c>
      <c r="BN75" s="54" t="s">
        <v>347</v>
      </c>
    </row>
    <row r="76" spans="1:67" ht="12.75" hidden="1" customHeight="1">
      <c r="A76" s="35" t="s">
        <v>101</v>
      </c>
      <c r="C76" s="35" t="s">
        <v>30</v>
      </c>
      <c r="D76" s="35"/>
      <c r="E76" s="35">
        <f t="shared" si="19"/>
        <v>0</v>
      </c>
      <c r="F76" s="35"/>
      <c r="G76" s="35"/>
      <c r="H76" s="35"/>
      <c r="I76" s="35"/>
      <c r="J76" s="35"/>
      <c r="K76" s="35">
        <f t="shared" si="20"/>
        <v>0</v>
      </c>
      <c r="L76" s="35"/>
      <c r="M76" s="35">
        <v>0</v>
      </c>
      <c r="N76" s="35"/>
      <c r="O76" s="35"/>
      <c r="P76" s="35"/>
      <c r="Q76" s="35"/>
      <c r="R76" s="35"/>
      <c r="S76" s="35">
        <v>0</v>
      </c>
      <c r="T76" s="35"/>
      <c r="U76" s="35"/>
      <c r="V76" s="35"/>
      <c r="W76" s="35">
        <f t="shared" si="18"/>
        <v>0</v>
      </c>
      <c r="X76" s="35"/>
      <c r="Y76" s="35" t="s">
        <v>101</v>
      </c>
      <c r="Z76" s="55"/>
      <c r="AA76" s="35" t="s">
        <v>30</v>
      </c>
      <c r="AB76" s="35"/>
      <c r="AC76" s="35">
        <v>0</v>
      </c>
      <c r="AD76" s="35"/>
      <c r="AE76" s="35">
        <v>0</v>
      </c>
      <c r="AF76" s="35"/>
      <c r="AG76" s="35">
        <v>0</v>
      </c>
      <c r="AH76" s="35"/>
      <c r="AI76" s="45">
        <f t="shared" si="16"/>
        <v>0</v>
      </c>
      <c r="AJ76" s="45"/>
      <c r="AK76" s="35"/>
      <c r="AL76" s="35"/>
      <c r="AM76" s="35">
        <v>0</v>
      </c>
      <c r="AN76" s="35"/>
      <c r="AO76" s="35">
        <v>0</v>
      </c>
      <c r="AP76" s="35"/>
      <c r="AQ76" s="35">
        <v>0</v>
      </c>
      <c r="AR76" s="35"/>
      <c r="AS76" s="45">
        <f t="shared" si="17"/>
        <v>0</v>
      </c>
      <c r="AT76" s="45"/>
      <c r="AU76" s="35">
        <v>0</v>
      </c>
      <c r="AV76" s="35"/>
      <c r="AW76" s="35">
        <v>0</v>
      </c>
      <c r="AX76" s="35"/>
      <c r="AY76" s="35">
        <f t="shared" si="21"/>
        <v>0</v>
      </c>
      <c r="AZ76" s="35"/>
      <c r="BA76" s="35" t="s">
        <v>101</v>
      </c>
      <c r="BB76" s="55"/>
      <c r="BC76" s="35" t="s">
        <v>30</v>
      </c>
      <c r="BD76" s="35"/>
      <c r="BE76" s="35"/>
      <c r="BF76" s="35"/>
      <c r="BG76" s="35"/>
      <c r="BH76" s="35"/>
      <c r="BI76" s="35"/>
      <c r="BJ76" s="35"/>
      <c r="BK76" s="35"/>
      <c r="BL76" s="35"/>
      <c r="BM76" s="35">
        <f t="shared" si="15"/>
        <v>0</v>
      </c>
      <c r="BN76" s="54" t="s">
        <v>347</v>
      </c>
    </row>
    <row r="77" spans="1:67" ht="12.75" hidden="1" customHeight="1">
      <c r="A77" s="35" t="s">
        <v>102</v>
      </c>
      <c r="C77" s="35" t="s">
        <v>103</v>
      </c>
      <c r="D77" s="35"/>
      <c r="E77" s="35">
        <f t="shared" si="19"/>
        <v>0</v>
      </c>
      <c r="F77" s="35"/>
      <c r="G77" s="35"/>
      <c r="H77" s="35"/>
      <c r="I77" s="35"/>
      <c r="J77" s="35"/>
      <c r="K77" s="35">
        <f t="shared" si="20"/>
        <v>0</v>
      </c>
      <c r="L77" s="35"/>
      <c r="M77" s="35">
        <v>0</v>
      </c>
      <c r="N77" s="35"/>
      <c r="O77" s="35"/>
      <c r="P77" s="35"/>
      <c r="Q77" s="35"/>
      <c r="R77" s="35"/>
      <c r="S77" s="35">
        <v>0</v>
      </c>
      <c r="T77" s="35"/>
      <c r="U77" s="35"/>
      <c r="V77" s="35"/>
      <c r="W77" s="35">
        <f t="shared" si="18"/>
        <v>0</v>
      </c>
      <c r="X77" s="35"/>
      <c r="Y77" s="35" t="s">
        <v>102</v>
      </c>
      <c r="Z77" s="55"/>
      <c r="AA77" s="35" t="s">
        <v>103</v>
      </c>
      <c r="AB77" s="35"/>
      <c r="AC77" s="35">
        <v>0</v>
      </c>
      <c r="AD77" s="35"/>
      <c r="AE77" s="35">
        <v>0</v>
      </c>
      <c r="AF77" s="35"/>
      <c r="AG77" s="35">
        <v>0</v>
      </c>
      <c r="AH77" s="35"/>
      <c r="AI77" s="45">
        <v>0</v>
      </c>
      <c r="AJ77" s="45"/>
      <c r="AK77" s="35"/>
      <c r="AL77" s="35"/>
      <c r="AM77" s="35">
        <v>0</v>
      </c>
      <c r="AN77" s="35"/>
      <c r="AO77" s="35">
        <v>0</v>
      </c>
      <c r="AP77" s="35"/>
      <c r="AQ77" s="35">
        <v>0</v>
      </c>
      <c r="AR77" s="35"/>
      <c r="AS77" s="45">
        <f t="shared" si="17"/>
        <v>0</v>
      </c>
      <c r="AT77" s="45"/>
      <c r="AU77" s="35">
        <v>0</v>
      </c>
      <c r="AV77" s="35"/>
      <c r="AW77" s="35">
        <v>0</v>
      </c>
      <c r="AX77" s="35"/>
      <c r="AY77" s="35">
        <f t="shared" si="21"/>
        <v>0</v>
      </c>
      <c r="AZ77" s="35"/>
      <c r="BA77" s="35" t="s">
        <v>102</v>
      </c>
      <c r="BB77" s="55"/>
      <c r="BC77" s="35" t="s">
        <v>103</v>
      </c>
      <c r="BD77" s="35"/>
      <c r="BE77" s="35"/>
      <c r="BF77" s="35"/>
      <c r="BG77" s="35"/>
      <c r="BH77" s="35"/>
      <c r="BI77" s="35"/>
      <c r="BJ77" s="35"/>
      <c r="BK77" s="35"/>
      <c r="BL77" s="35"/>
      <c r="BM77" s="35">
        <f t="shared" si="15"/>
        <v>0</v>
      </c>
      <c r="BN77" s="54" t="s">
        <v>347</v>
      </c>
    </row>
    <row r="78" spans="1:67" ht="12.75" hidden="1" customHeight="1">
      <c r="A78" s="35" t="s">
        <v>104</v>
      </c>
      <c r="C78" s="35" t="s">
        <v>13</v>
      </c>
      <c r="D78" s="35"/>
      <c r="E78" s="35">
        <f t="shared" si="19"/>
        <v>0</v>
      </c>
      <c r="F78" s="35"/>
      <c r="G78" s="35"/>
      <c r="H78" s="35"/>
      <c r="I78" s="35"/>
      <c r="J78" s="35"/>
      <c r="K78" s="35">
        <f t="shared" si="20"/>
        <v>0</v>
      </c>
      <c r="L78" s="35"/>
      <c r="M78" s="35">
        <v>0</v>
      </c>
      <c r="N78" s="35"/>
      <c r="O78" s="35"/>
      <c r="P78" s="35"/>
      <c r="Q78" s="35"/>
      <c r="R78" s="35"/>
      <c r="S78" s="35">
        <v>0</v>
      </c>
      <c r="T78" s="35"/>
      <c r="U78" s="35"/>
      <c r="V78" s="35"/>
      <c r="W78" s="35">
        <f t="shared" si="18"/>
        <v>0</v>
      </c>
      <c r="X78" s="35"/>
      <c r="Y78" s="35" t="s">
        <v>104</v>
      </c>
      <c r="Z78" s="55"/>
      <c r="AA78" s="35" t="s">
        <v>13</v>
      </c>
      <c r="AB78" s="35"/>
      <c r="AC78" s="35">
        <v>0</v>
      </c>
      <c r="AD78" s="35"/>
      <c r="AE78" s="35">
        <v>0</v>
      </c>
      <c r="AF78" s="35"/>
      <c r="AG78" s="35">
        <v>0</v>
      </c>
      <c r="AH78" s="35"/>
      <c r="AI78" s="45">
        <f t="shared" ref="AI78:AI84" si="22">+AC78-AE78-AG78</f>
        <v>0</v>
      </c>
      <c r="AJ78" s="45"/>
      <c r="AK78" s="35"/>
      <c r="AL78" s="35"/>
      <c r="AM78" s="35">
        <v>0</v>
      </c>
      <c r="AN78" s="35"/>
      <c r="AO78" s="35">
        <v>0</v>
      </c>
      <c r="AP78" s="35"/>
      <c r="AQ78" s="35">
        <v>0</v>
      </c>
      <c r="AR78" s="35"/>
      <c r="AS78" s="45">
        <f t="shared" si="17"/>
        <v>0</v>
      </c>
      <c r="AT78" s="45"/>
      <c r="AU78" s="35">
        <v>0</v>
      </c>
      <c r="AV78" s="35"/>
      <c r="AW78" s="35">
        <v>0</v>
      </c>
      <c r="AX78" s="35"/>
      <c r="AY78" s="35">
        <f t="shared" si="21"/>
        <v>0</v>
      </c>
      <c r="AZ78" s="35"/>
      <c r="BA78" s="35" t="s">
        <v>104</v>
      </c>
      <c r="BB78" s="55"/>
      <c r="BC78" s="35" t="s">
        <v>13</v>
      </c>
      <c r="BD78" s="35"/>
      <c r="BE78" s="35"/>
      <c r="BF78" s="35"/>
      <c r="BG78" s="35"/>
      <c r="BH78" s="35"/>
      <c r="BI78" s="35"/>
      <c r="BJ78" s="35"/>
      <c r="BK78" s="35"/>
      <c r="BL78" s="35"/>
      <c r="BM78" s="35">
        <f t="shared" si="15"/>
        <v>0</v>
      </c>
      <c r="BN78" s="54" t="s">
        <v>347</v>
      </c>
    </row>
    <row r="79" spans="1:67" ht="12.75" hidden="1" customHeight="1">
      <c r="A79" s="35" t="s">
        <v>105</v>
      </c>
      <c r="C79" s="35" t="s">
        <v>27</v>
      </c>
      <c r="D79" s="35"/>
      <c r="E79" s="35">
        <f t="shared" si="19"/>
        <v>0</v>
      </c>
      <c r="F79" s="35"/>
      <c r="G79" s="35"/>
      <c r="H79" s="35"/>
      <c r="I79" s="35"/>
      <c r="J79" s="35"/>
      <c r="K79" s="35">
        <f t="shared" si="20"/>
        <v>0</v>
      </c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>
        <f t="shared" si="18"/>
        <v>0</v>
      </c>
      <c r="X79" s="35"/>
      <c r="Y79" s="35" t="s">
        <v>105</v>
      </c>
      <c r="Z79" s="55"/>
      <c r="AA79" s="35" t="s">
        <v>27</v>
      </c>
      <c r="AB79" s="35"/>
      <c r="AC79" s="35"/>
      <c r="AD79" s="35"/>
      <c r="AE79" s="35"/>
      <c r="AF79" s="35"/>
      <c r="AG79" s="35"/>
      <c r="AH79" s="35"/>
      <c r="AI79" s="45">
        <f t="shared" si="22"/>
        <v>0</v>
      </c>
      <c r="AJ79" s="45"/>
      <c r="AK79" s="35"/>
      <c r="AL79" s="35"/>
      <c r="AM79" s="35"/>
      <c r="AN79" s="35"/>
      <c r="AO79" s="35"/>
      <c r="AP79" s="35"/>
      <c r="AQ79" s="35"/>
      <c r="AR79" s="35"/>
      <c r="AS79" s="45">
        <f t="shared" si="17"/>
        <v>0</v>
      </c>
      <c r="AT79" s="45"/>
      <c r="AU79" s="35">
        <v>0</v>
      </c>
      <c r="AV79" s="35"/>
      <c r="AW79" s="35">
        <v>0</v>
      </c>
      <c r="AX79" s="35"/>
      <c r="AY79" s="35">
        <f t="shared" si="21"/>
        <v>0</v>
      </c>
      <c r="AZ79" s="35"/>
      <c r="BA79" s="35" t="s">
        <v>105</v>
      </c>
      <c r="BB79" s="55"/>
      <c r="BC79" s="35" t="s">
        <v>27</v>
      </c>
      <c r="BD79" s="35"/>
      <c r="BE79" s="35"/>
      <c r="BF79" s="35"/>
      <c r="BG79" s="35"/>
      <c r="BH79" s="35"/>
      <c r="BI79" s="35"/>
      <c r="BJ79" s="35"/>
      <c r="BK79" s="35"/>
      <c r="BL79" s="35"/>
      <c r="BM79" s="35">
        <f t="shared" si="15"/>
        <v>0</v>
      </c>
      <c r="BN79" s="54" t="s">
        <v>347</v>
      </c>
    </row>
    <row r="80" spans="1:67" ht="12.75" hidden="1" customHeight="1">
      <c r="A80" s="35" t="s">
        <v>106</v>
      </c>
      <c r="C80" s="35" t="s">
        <v>107</v>
      </c>
      <c r="D80" s="35"/>
      <c r="E80" s="35">
        <f t="shared" si="19"/>
        <v>0</v>
      </c>
      <c r="F80" s="35"/>
      <c r="G80" s="35"/>
      <c r="H80" s="35"/>
      <c r="I80" s="35"/>
      <c r="J80" s="35"/>
      <c r="K80" s="35">
        <f t="shared" si="20"/>
        <v>0</v>
      </c>
      <c r="L80" s="35"/>
      <c r="M80" s="35">
        <v>0</v>
      </c>
      <c r="N80" s="35"/>
      <c r="O80" s="35"/>
      <c r="P80" s="35"/>
      <c r="Q80" s="35"/>
      <c r="R80" s="35"/>
      <c r="S80" s="35">
        <v>0</v>
      </c>
      <c r="T80" s="35"/>
      <c r="U80" s="35"/>
      <c r="V80" s="35"/>
      <c r="W80" s="35">
        <f t="shared" si="18"/>
        <v>0</v>
      </c>
      <c r="X80" s="35"/>
      <c r="Y80" s="35" t="s">
        <v>106</v>
      </c>
      <c r="Z80" s="55"/>
      <c r="AA80" s="35" t="s">
        <v>107</v>
      </c>
      <c r="AB80" s="35"/>
      <c r="AC80" s="35">
        <v>0</v>
      </c>
      <c r="AD80" s="35"/>
      <c r="AE80" s="35">
        <v>0</v>
      </c>
      <c r="AF80" s="35"/>
      <c r="AG80" s="35">
        <v>0</v>
      </c>
      <c r="AH80" s="35"/>
      <c r="AI80" s="45">
        <f t="shared" si="22"/>
        <v>0</v>
      </c>
      <c r="AJ80" s="45"/>
      <c r="AK80" s="35"/>
      <c r="AL80" s="35"/>
      <c r="AM80" s="35">
        <v>0</v>
      </c>
      <c r="AN80" s="35"/>
      <c r="AO80" s="35">
        <v>0</v>
      </c>
      <c r="AP80" s="35"/>
      <c r="AQ80" s="35">
        <v>0</v>
      </c>
      <c r="AR80" s="35"/>
      <c r="AS80" s="45">
        <f t="shared" si="17"/>
        <v>0</v>
      </c>
      <c r="AT80" s="45"/>
      <c r="AU80" s="35">
        <v>0</v>
      </c>
      <c r="AV80" s="35"/>
      <c r="AW80" s="35">
        <v>0</v>
      </c>
      <c r="AX80" s="35"/>
      <c r="AY80" s="35">
        <f t="shared" si="21"/>
        <v>0</v>
      </c>
      <c r="AZ80" s="35"/>
      <c r="BA80" s="35" t="s">
        <v>106</v>
      </c>
      <c r="BB80" s="55"/>
      <c r="BC80" s="35" t="s">
        <v>107</v>
      </c>
      <c r="BD80" s="35"/>
      <c r="BE80" s="35"/>
      <c r="BF80" s="35"/>
      <c r="BG80" s="35"/>
      <c r="BH80" s="35"/>
      <c r="BI80" s="35"/>
      <c r="BJ80" s="35"/>
      <c r="BK80" s="35"/>
      <c r="BL80" s="35"/>
      <c r="BM80" s="35">
        <f t="shared" si="15"/>
        <v>0</v>
      </c>
      <c r="BN80" s="54" t="s">
        <v>347</v>
      </c>
    </row>
    <row r="81" spans="1:67" ht="12.75" hidden="1" customHeight="1">
      <c r="A81" s="35" t="s">
        <v>108</v>
      </c>
      <c r="C81" s="35" t="s">
        <v>45</v>
      </c>
      <c r="D81" s="35"/>
      <c r="E81" s="35">
        <f t="shared" si="19"/>
        <v>0</v>
      </c>
      <c r="F81" s="35"/>
      <c r="G81" s="35"/>
      <c r="H81" s="35"/>
      <c r="I81" s="35"/>
      <c r="J81" s="35"/>
      <c r="K81" s="35">
        <f t="shared" si="20"/>
        <v>0</v>
      </c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>
        <f t="shared" si="18"/>
        <v>0</v>
      </c>
      <c r="X81" s="35"/>
      <c r="Y81" s="35" t="s">
        <v>108</v>
      </c>
      <c r="Z81" s="55"/>
      <c r="AA81" s="35" t="s">
        <v>45</v>
      </c>
      <c r="AB81" s="35"/>
      <c r="AC81" s="35"/>
      <c r="AD81" s="35"/>
      <c r="AE81" s="35"/>
      <c r="AF81" s="35"/>
      <c r="AG81" s="35"/>
      <c r="AH81" s="35"/>
      <c r="AI81" s="45">
        <f t="shared" si="22"/>
        <v>0</v>
      </c>
      <c r="AJ81" s="45"/>
      <c r="AK81" s="35"/>
      <c r="AL81" s="35"/>
      <c r="AM81" s="35"/>
      <c r="AN81" s="35"/>
      <c r="AO81" s="35"/>
      <c r="AP81" s="35"/>
      <c r="AQ81" s="35"/>
      <c r="AR81" s="35"/>
      <c r="AS81" s="45">
        <f t="shared" si="17"/>
        <v>0</v>
      </c>
      <c r="AT81" s="45"/>
      <c r="AU81" s="35">
        <v>0</v>
      </c>
      <c r="AV81" s="35"/>
      <c r="AW81" s="35">
        <v>0</v>
      </c>
      <c r="AX81" s="35"/>
      <c r="AY81" s="35">
        <f t="shared" si="21"/>
        <v>0</v>
      </c>
      <c r="AZ81" s="35"/>
      <c r="BA81" s="35" t="s">
        <v>108</v>
      </c>
      <c r="BB81" s="55"/>
      <c r="BC81" s="35" t="s">
        <v>45</v>
      </c>
      <c r="BD81" s="35"/>
      <c r="BE81" s="35"/>
      <c r="BF81" s="35"/>
      <c r="BG81" s="35"/>
      <c r="BH81" s="35"/>
      <c r="BI81" s="35"/>
      <c r="BJ81" s="35"/>
      <c r="BK81" s="35"/>
      <c r="BL81" s="35"/>
      <c r="BM81" s="35">
        <f t="shared" si="15"/>
        <v>0</v>
      </c>
      <c r="BN81" s="54" t="s">
        <v>347</v>
      </c>
    </row>
    <row r="82" spans="1:67" ht="12.75" hidden="1" customHeight="1">
      <c r="A82" s="35" t="s">
        <v>109</v>
      </c>
      <c r="C82" s="35" t="s">
        <v>110</v>
      </c>
      <c r="D82" s="35"/>
      <c r="E82" s="35">
        <f t="shared" si="19"/>
        <v>0</v>
      </c>
      <c r="F82" s="35"/>
      <c r="G82" s="35"/>
      <c r="H82" s="35"/>
      <c r="I82" s="35"/>
      <c r="J82" s="35"/>
      <c r="K82" s="35">
        <f t="shared" si="20"/>
        <v>0</v>
      </c>
      <c r="L82" s="35"/>
      <c r="M82" s="35">
        <v>0</v>
      </c>
      <c r="N82" s="35"/>
      <c r="O82" s="35"/>
      <c r="P82" s="35"/>
      <c r="Q82" s="35"/>
      <c r="R82" s="35"/>
      <c r="S82" s="35">
        <v>0</v>
      </c>
      <c r="T82" s="35"/>
      <c r="U82" s="35"/>
      <c r="V82" s="35"/>
      <c r="W82" s="35">
        <f t="shared" si="18"/>
        <v>0</v>
      </c>
      <c r="X82" s="35"/>
      <c r="Y82" s="35" t="s">
        <v>109</v>
      </c>
      <c r="Z82" s="55"/>
      <c r="AA82" s="35" t="s">
        <v>110</v>
      </c>
      <c r="AB82" s="35"/>
      <c r="AC82" s="35">
        <v>0</v>
      </c>
      <c r="AD82" s="35"/>
      <c r="AE82" s="35">
        <v>0</v>
      </c>
      <c r="AF82" s="35"/>
      <c r="AG82" s="35">
        <v>0</v>
      </c>
      <c r="AH82" s="35"/>
      <c r="AI82" s="45">
        <f t="shared" si="22"/>
        <v>0</v>
      </c>
      <c r="AJ82" s="45"/>
      <c r="AK82" s="35"/>
      <c r="AL82" s="35"/>
      <c r="AM82" s="35">
        <v>0</v>
      </c>
      <c r="AN82" s="35"/>
      <c r="AO82" s="35">
        <v>0</v>
      </c>
      <c r="AP82" s="35"/>
      <c r="AQ82" s="35">
        <v>0</v>
      </c>
      <c r="AR82" s="35"/>
      <c r="AS82" s="45">
        <f t="shared" si="17"/>
        <v>0</v>
      </c>
      <c r="AT82" s="45"/>
      <c r="AU82" s="35">
        <v>0</v>
      </c>
      <c r="AV82" s="35"/>
      <c r="AW82" s="35">
        <v>0</v>
      </c>
      <c r="AX82" s="35"/>
      <c r="AY82" s="35">
        <f t="shared" si="21"/>
        <v>0</v>
      </c>
      <c r="AZ82" s="35"/>
      <c r="BA82" s="35" t="s">
        <v>109</v>
      </c>
      <c r="BB82" s="55"/>
      <c r="BC82" s="35" t="s">
        <v>110</v>
      </c>
      <c r="BD82" s="35"/>
      <c r="BE82" s="35"/>
      <c r="BF82" s="35"/>
      <c r="BG82" s="35"/>
      <c r="BH82" s="35"/>
      <c r="BI82" s="35"/>
      <c r="BJ82" s="35"/>
      <c r="BK82" s="35"/>
      <c r="BL82" s="35"/>
      <c r="BM82" s="35">
        <f t="shared" si="15"/>
        <v>0</v>
      </c>
      <c r="BN82" s="54" t="s">
        <v>347</v>
      </c>
    </row>
    <row r="83" spans="1:67" ht="12.75" hidden="1" customHeight="1">
      <c r="A83" s="35" t="s">
        <v>43</v>
      </c>
      <c r="C83" s="35" t="s">
        <v>111</v>
      </c>
      <c r="D83" s="35"/>
      <c r="E83" s="35">
        <f t="shared" si="19"/>
        <v>0</v>
      </c>
      <c r="F83" s="35"/>
      <c r="G83" s="35"/>
      <c r="H83" s="35"/>
      <c r="I83" s="35"/>
      <c r="J83" s="35"/>
      <c r="K83" s="35">
        <f t="shared" si="20"/>
        <v>0</v>
      </c>
      <c r="L83" s="35"/>
      <c r="M83" s="35">
        <v>0</v>
      </c>
      <c r="N83" s="35"/>
      <c r="O83" s="35"/>
      <c r="P83" s="35"/>
      <c r="Q83" s="35"/>
      <c r="R83" s="35"/>
      <c r="S83" s="35">
        <v>0</v>
      </c>
      <c r="T83" s="35"/>
      <c r="U83" s="35"/>
      <c r="V83" s="35"/>
      <c r="W83" s="35">
        <f t="shared" si="18"/>
        <v>0</v>
      </c>
      <c r="X83" s="35"/>
      <c r="Y83" s="35" t="s">
        <v>43</v>
      </c>
      <c r="Z83" s="55"/>
      <c r="AA83" s="35" t="s">
        <v>111</v>
      </c>
      <c r="AB83" s="35"/>
      <c r="AC83" s="35">
        <v>0</v>
      </c>
      <c r="AD83" s="35"/>
      <c r="AE83" s="35">
        <v>0</v>
      </c>
      <c r="AF83" s="35"/>
      <c r="AG83" s="35">
        <v>0</v>
      </c>
      <c r="AH83" s="35"/>
      <c r="AI83" s="45">
        <f t="shared" si="22"/>
        <v>0</v>
      </c>
      <c r="AJ83" s="45"/>
      <c r="AK83" s="35"/>
      <c r="AL83" s="35"/>
      <c r="AM83" s="35">
        <v>0</v>
      </c>
      <c r="AN83" s="35"/>
      <c r="AO83" s="35">
        <v>0</v>
      </c>
      <c r="AP83" s="35"/>
      <c r="AQ83" s="35">
        <v>0</v>
      </c>
      <c r="AR83" s="35"/>
      <c r="AS83" s="45">
        <f t="shared" si="17"/>
        <v>0</v>
      </c>
      <c r="AT83" s="45"/>
      <c r="AU83" s="35">
        <v>0</v>
      </c>
      <c r="AV83" s="35"/>
      <c r="AW83" s="35">
        <v>0</v>
      </c>
      <c r="AX83" s="35"/>
      <c r="AY83" s="35">
        <f t="shared" si="21"/>
        <v>0</v>
      </c>
      <c r="AZ83" s="35"/>
      <c r="BA83" s="35" t="s">
        <v>43</v>
      </c>
      <c r="BB83" s="55"/>
      <c r="BC83" s="35" t="s">
        <v>111</v>
      </c>
      <c r="BD83" s="35"/>
      <c r="BE83" s="35"/>
      <c r="BF83" s="35"/>
      <c r="BG83" s="35"/>
      <c r="BH83" s="35"/>
      <c r="BI83" s="35"/>
      <c r="BJ83" s="35"/>
      <c r="BK83" s="35"/>
      <c r="BL83" s="35"/>
      <c r="BM83" s="35">
        <f t="shared" si="15"/>
        <v>0</v>
      </c>
      <c r="BN83" s="54" t="s">
        <v>347</v>
      </c>
    </row>
    <row r="84" spans="1:67" ht="12.75" hidden="1" customHeight="1">
      <c r="A84" s="35" t="s">
        <v>112</v>
      </c>
      <c r="C84" s="35" t="s">
        <v>76</v>
      </c>
      <c r="D84" s="35"/>
      <c r="E84" s="35">
        <f t="shared" si="19"/>
        <v>0</v>
      </c>
      <c r="F84" s="35"/>
      <c r="G84" s="35"/>
      <c r="H84" s="35"/>
      <c r="I84" s="35"/>
      <c r="J84" s="35"/>
      <c r="K84" s="35">
        <f t="shared" si="20"/>
        <v>0</v>
      </c>
      <c r="L84" s="35"/>
      <c r="M84" s="35">
        <v>0</v>
      </c>
      <c r="N84" s="35"/>
      <c r="O84" s="35"/>
      <c r="P84" s="35"/>
      <c r="Q84" s="35"/>
      <c r="R84" s="35"/>
      <c r="S84" s="35">
        <v>0</v>
      </c>
      <c r="T84" s="35"/>
      <c r="U84" s="35"/>
      <c r="V84" s="35"/>
      <c r="W84" s="35">
        <f t="shared" si="18"/>
        <v>0</v>
      </c>
      <c r="X84" s="35"/>
      <c r="Y84" s="35" t="s">
        <v>112</v>
      </c>
      <c r="Z84" s="55"/>
      <c r="AA84" s="35" t="s">
        <v>76</v>
      </c>
      <c r="AB84" s="35"/>
      <c r="AC84" s="35">
        <v>0</v>
      </c>
      <c r="AD84" s="35"/>
      <c r="AE84" s="35">
        <v>0</v>
      </c>
      <c r="AF84" s="35"/>
      <c r="AG84" s="35">
        <v>0</v>
      </c>
      <c r="AH84" s="35"/>
      <c r="AI84" s="45">
        <f t="shared" si="22"/>
        <v>0</v>
      </c>
      <c r="AJ84" s="45"/>
      <c r="AK84" s="35"/>
      <c r="AL84" s="35"/>
      <c r="AM84" s="35">
        <v>0</v>
      </c>
      <c r="AN84" s="35"/>
      <c r="AO84" s="35">
        <v>0</v>
      </c>
      <c r="AP84" s="35"/>
      <c r="AQ84" s="35">
        <v>0</v>
      </c>
      <c r="AR84" s="35"/>
      <c r="AS84" s="45">
        <f t="shared" si="17"/>
        <v>0</v>
      </c>
      <c r="AT84" s="45"/>
      <c r="AU84" s="35">
        <v>0</v>
      </c>
      <c r="AV84" s="35"/>
      <c r="AW84" s="35">
        <v>0</v>
      </c>
      <c r="AX84" s="35"/>
      <c r="AY84" s="35">
        <f t="shared" si="21"/>
        <v>0</v>
      </c>
      <c r="AZ84" s="35"/>
      <c r="BA84" s="35" t="s">
        <v>112</v>
      </c>
      <c r="BB84" s="55"/>
      <c r="BC84" s="35" t="s">
        <v>76</v>
      </c>
      <c r="BD84" s="35"/>
      <c r="BE84" s="35"/>
      <c r="BF84" s="35"/>
      <c r="BG84" s="35"/>
      <c r="BH84" s="35"/>
      <c r="BI84" s="35"/>
      <c r="BJ84" s="35"/>
      <c r="BK84" s="35"/>
      <c r="BL84" s="35"/>
      <c r="BM84" s="35">
        <f t="shared" si="15"/>
        <v>0</v>
      </c>
      <c r="BN84" s="54" t="s">
        <v>347</v>
      </c>
    </row>
    <row r="85" spans="1:67" ht="12.75" hidden="1" customHeight="1">
      <c r="A85" s="35" t="s">
        <v>113</v>
      </c>
      <c r="C85" s="35" t="s">
        <v>43</v>
      </c>
      <c r="D85" s="35"/>
      <c r="E85" s="35">
        <f t="shared" si="19"/>
        <v>0</v>
      </c>
      <c r="F85" s="35"/>
      <c r="G85" s="35"/>
      <c r="H85" s="35"/>
      <c r="I85" s="35"/>
      <c r="J85" s="35"/>
      <c r="K85" s="35">
        <f t="shared" si="20"/>
        <v>0</v>
      </c>
      <c r="L85" s="35"/>
      <c r="M85" s="35">
        <v>0</v>
      </c>
      <c r="N85" s="35"/>
      <c r="O85" s="35"/>
      <c r="P85" s="35"/>
      <c r="Q85" s="35"/>
      <c r="R85" s="35"/>
      <c r="S85" s="35">
        <v>0</v>
      </c>
      <c r="T85" s="35"/>
      <c r="U85" s="35"/>
      <c r="V85" s="35"/>
      <c r="W85" s="35">
        <f t="shared" si="18"/>
        <v>0</v>
      </c>
      <c r="X85" s="35"/>
      <c r="Y85" s="35" t="s">
        <v>113</v>
      </c>
      <c r="Z85" s="55"/>
      <c r="AA85" s="35" t="s">
        <v>43</v>
      </c>
      <c r="AB85" s="35"/>
      <c r="AC85" s="35">
        <v>0</v>
      </c>
      <c r="AD85" s="35"/>
      <c r="AE85" s="35">
        <v>0</v>
      </c>
      <c r="AF85" s="35"/>
      <c r="AG85" s="35">
        <v>0</v>
      </c>
      <c r="AH85" s="35"/>
      <c r="AI85" s="45">
        <v>0</v>
      </c>
      <c r="AJ85" s="45"/>
      <c r="AK85" s="35"/>
      <c r="AL85" s="35"/>
      <c r="AM85" s="35">
        <v>0</v>
      </c>
      <c r="AN85" s="35"/>
      <c r="AO85" s="35">
        <v>0</v>
      </c>
      <c r="AP85" s="35"/>
      <c r="AQ85" s="35">
        <v>0</v>
      </c>
      <c r="AR85" s="35"/>
      <c r="AS85" s="45">
        <f t="shared" si="17"/>
        <v>0</v>
      </c>
      <c r="AT85" s="45"/>
      <c r="AU85" s="35">
        <v>0</v>
      </c>
      <c r="AV85" s="35"/>
      <c r="AW85" s="35">
        <v>0</v>
      </c>
      <c r="AX85" s="35"/>
      <c r="AY85" s="35">
        <f t="shared" si="21"/>
        <v>0</v>
      </c>
      <c r="AZ85" s="35"/>
      <c r="BA85" s="35" t="s">
        <v>113</v>
      </c>
      <c r="BB85" s="55"/>
      <c r="BC85" s="35" t="s">
        <v>43</v>
      </c>
      <c r="BD85" s="35"/>
      <c r="BE85" s="35"/>
      <c r="BF85" s="35"/>
      <c r="BG85" s="35"/>
      <c r="BH85" s="35"/>
      <c r="BI85" s="35"/>
      <c r="BJ85" s="35"/>
      <c r="BK85" s="35"/>
      <c r="BL85" s="35"/>
      <c r="BM85" s="35">
        <f t="shared" si="15"/>
        <v>0</v>
      </c>
      <c r="BN85" s="54" t="s">
        <v>347</v>
      </c>
    </row>
    <row r="86" spans="1:67" ht="12.75" customHeight="1">
      <c r="A86" s="44" t="s">
        <v>489</v>
      </c>
      <c r="C86" s="35" t="s">
        <v>57</v>
      </c>
      <c r="D86" s="35"/>
      <c r="E86" s="35">
        <f>I86-G86</f>
        <v>10792152</v>
      </c>
      <c r="F86" s="35"/>
      <c r="G86" s="35">
        <v>7557609</v>
      </c>
      <c r="H86" s="35"/>
      <c r="I86" s="35">
        <v>18349761</v>
      </c>
      <c r="J86" s="35"/>
      <c r="K86" s="35">
        <f>O86-M86</f>
        <v>1541455</v>
      </c>
      <c r="L86" s="35"/>
      <c r="M86" s="35">
        <v>10385718</v>
      </c>
      <c r="N86" s="35"/>
      <c r="O86" s="35">
        <v>11927173</v>
      </c>
      <c r="P86" s="35"/>
      <c r="Q86" s="35">
        <v>898280</v>
      </c>
      <c r="R86" s="35"/>
      <c r="S86" s="35">
        <v>0</v>
      </c>
      <c r="T86" s="35"/>
      <c r="U86" s="35">
        <v>5524308</v>
      </c>
      <c r="V86" s="35"/>
      <c r="W86" s="35">
        <f>SUM(Q86:U86)</f>
        <v>6422588</v>
      </c>
      <c r="X86" s="35"/>
      <c r="Y86" s="44" t="s">
        <v>489</v>
      </c>
      <c r="Z86" s="55"/>
      <c r="AA86" s="35" t="s">
        <v>57</v>
      </c>
      <c r="AB86" s="35"/>
      <c r="AC86" s="35">
        <v>11084309</v>
      </c>
      <c r="AD86" s="35"/>
      <c r="AE86" s="35">
        <f>8834655-180238</f>
        <v>8654417</v>
      </c>
      <c r="AF86" s="35"/>
      <c r="AG86" s="35">
        <v>180238</v>
      </c>
      <c r="AH86" s="35"/>
      <c r="AI86" s="45">
        <f>+AC86-AE86-AG86</f>
        <v>2249654</v>
      </c>
      <c r="AJ86" s="45"/>
      <c r="AK86" s="35">
        <v>-509034</v>
      </c>
      <c r="AL86" s="35"/>
      <c r="AM86" s="35">
        <v>0</v>
      </c>
      <c r="AN86" s="35"/>
      <c r="AO86" s="35">
        <v>0</v>
      </c>
      <c r="AP86" s="35"/>
      <c r="AQ86" s="35">
        <v>13008</v>
      </c>
      <c r="AR86" s="35"/>
      <c r="AS86" s="45">
        <f>+AI86+AK86+AM86-AO86+AQ86</f>
        <v>1753628</v>
      </c>
      <c r="AT86" s="45"/>
      <c r="AU86" s="35">
        <v>0</v>
      </c>
      <c r="AV86" s="35"/>
      <c r="AW86" s="35">
        <v>0</v>
      </c>
      <c r="AX86" s="35"/>
      <c r="AY86" s="35">
        <f>+E86-K86</f>
        <v>9250697</v>
      </c>
      <c r="AZ86" s="35"/>
      <c r="BA86" s="44" t="s">
        <v>489</v>
      </c>
      <c r="BB86" s="55"/>
      <c r="BC86" s="35" t="s">
        <v>57</v>
      </c>
      <c r="BD86" s="35"/>
      <c r="BE86" s="35">
        <v>8651000</v>
      </c>
      <c r="BF86" s="35"/>
      <c r="BG86" s="35">
        <v>0</v>
      </c>
      <c r="BH86" s="35"/>
      <c r="BI86" s="35">
        <v>0</v>
      </c>
      <c r="BJ86" s="35"/>
      <c r="BK86" s="35">
        <v>1952776</v>
      </c>
      <c r="BL86" s="35"/>
      <c r="BM86" s="35">
        <f>SUM(BE86:BK86)</f>
        <v>10603776</v>
      </c>
      <c r="BN86" s="54" t="s">
        <v>347</v>
      </c>
      <c r="BO86" s="55" t="s">
        <v>315</v>
      </c>
    </row>
    <row r="87" spans="1:67" ht="12.75" hidden="1" customHeight="1">
      <c r="A87" s="35" t="s">
        <v>114</v>
      </c>
      <c r="C87" s="35" t="s">
        <v>27</v>
      </c>
      <c r="D87" s="35"/>
      <c r="E87" s="35">
        <f t="shared" si="19"/>
        <v>0</v>
      </c>
      <c r="F87" s="35"/>
      <c r="G87" s="35"/>
      <c r="H87" s="35"/>
      <c r="I87" s="35"/>
      <c r="J87" s="35"/>
      <c r="K87" s="35">
        <f t="shared" si="20"/>
        <v>0</v>
      </c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>
        <f t="shared" si="18"/>
        <v>0</v>
      </c>
      <c r="X87" s="35"/>
      <c r="Y87" s="35" t="s">
        <v>114</v>
      </c>
      <c r="Z87" s="55"/>
      <c r="AA87" s="35" t="s">
        <v>27</v>
      </c>
      <c r="AB87" s="35"/>
      <c r="AC87" s="35"/>
      <c r="AD87" s="35"/>
      <c r="AE87" s="35"/>
      <c r="AF87" s="35"/>
      <c r="AG87" s="35"/>
      <c r="AH87" s="35"/>
      <c r="AI87" s="45">
        <f t="shared" ref="AI87:AI103" si="23">+AC87-AE87-AG87</f>
        <v>0</v>
      </c>
      <c r="AJ87" s="45"/>
      <c r="AK87" s="35"/>
      <c r="AL87" s="35"/>
      <c r="AM87" s="35"/>
      <c r="AN87" s="35"/>
      <c r="AO87" s="35"/>
      <c r="AP87" s="35"/>
      <c r="AQ87" s="35"/>
      <c r="AR87" s="35"/>
      <c r="AS87" s="45">
        <f t="shared" si="17"/>
        <v>0</v>
      </c>
      <c r="AT87" s="45"/>
      <c r="AU87" s="35">
        <v>0</v>
      </c>
      <c r="AV87" s="35"/>
      <c r="AW87" s="35">
        <v>0</v>
      </c>
      <c r="AX87" s="35"/>
      <c r="AY87" s="35">
        <f t="shared" si="21"/>
        <v>0</v>
      </c>
      <c r="AZ87" s="35"/>
      <c r="BA87" s="35" t="s">
        <v>114</v>
      </c>
      <c r="BB87" s="55"/>
      <c r="BC87" s="35" t="s">
        <v>27</v>
      </c>
      <c r="BD87" s="35"/>
      <c r="BE87" s="35"/>
      <c r="BF87" s="35"/>
      <c r="BG87" s="35"/>
      <c r="BH87" s="35"/>
      <c r="BI87" s="35"/>
      <c r="BJ87" s="35"/>
      <c r="BK87" s="35"/>
      <c r="BL87" s="35"/>
      <c r="BM87" s="35">
        <f t="shared" si="15"/>
        <v>0</v>
      </c>
      <c r="BN87" s="54" t="s">
        <v>347</v>
      </c>
    </row>
    <row r="88" spans="1:67" ht="12.75" hidden="1" customHeight="1">
      <c r="A88" s="35" t="s">
        <v>115</v>
      </c>
      <c r="C88" s="35" t="s">
        <v>19</v>
      </c>
      <c r="D88" s="35"/>
      <c r="E88" s="35">
        <f t="shared" si="19"/>
        <v>0</v>
      </c>
      <c r="F88" s="35"/>
      <c r="G88" s="35"/>
      <c r="H88" s="35"/>
      <c r="I88" s="35"/>
      <c r="J88" s="35"/>
      <c r="K88" s="35">
        <f t="shared" si="20"/>
        <v>0</v>
      </c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>
        <f t="shared" si="18"/>
        <v>0</v>
      </c>
      <c r="X88" s="35"/>
      <c r="Y88" s="35" t="s">
        <v>115</v>
      </c>
      <c r="Z88" s="55"/>
      <c r="AA88" s="35" t="s">
        <v>19</v>
      </c>
      <c r="AB88" s="35"/>
      <c r="AC88" s="35"/>
      <c r="AD88" s="35"/>
      <c r="AE88" s="35"/>
      <c r="AF88" s="35"/>
      <c r="AG88" s="35"/>
      <c r="AH88" s="35"/>
      <c r="AI88" s="45">
        <f t="shared" si="23"/>
        <v>0</v>
      </c>
      <c r="AJ88" s="45"/>
      <c r="AK88" s="35"/>
      <c r="AL88" s="35"/>
      <c r="AM88" s="35"/>
      <c r="AN88" s="35"/>
      <c r="AO88" s="35"/>
      <c r="AP88" s="35"/>
      <c r="AQ88" s="35"/>
      <c r="AR88" s="35"/>
      <c r="AS88" s="45">
        <f t="shared" si="17"/>
        <v>0</v>
      </c>
      <c r="AT88" s="45"/>
      <c r="AU88" s="35">
        <v>0</v>
      </c>
      <c r="AV88" s="35"/>
      <c r="AW88" s="35">
        <v>0</v>
      </c>
      <c r="AX88" s="35"/>
      <c r="AY88" s="35">
        <f t="shared" si="21"/>
        <v>0</v>
      </c>
      <c r="AZ88" s="35"/>
      <c r="BA88" s="35" t="s">
        <v>115</v>
      </c>
      <c r="BB88" s="55"/>
      <c r="BC88" s="35" t="s">
        <v>19</v>
      </c>
      <c r="BD88" s="35"/>
      <c r="BE88" s="35"/>
      <c r="BF88" s="35"/>
      <c r="BG88" s="35"/>
      <c r="BH88" s="35"/>
      <c r="BI88" s="35"/>
      <c r="BJ88" s="35"/>
      <c r="BK88" s="35"/>
      <c r="BL88" s="35"/>
      <c r="BM88" s="35">
        <f t="shared" si="15"/>
        <v>0</v>
      </c>
      <c r="BN88" s="54" t="s">
        <v>347</v>
      </c>
    </row>
    <row r="89" spans="1:67" ht="12.75" hidden="1" customHeight="1">
      <c r="A89" s="35" t="s">
        <v>116</v>
      </c>
      <c r="C89" s="35" t="s">
        <v>80</v>
      </c>
      <c r="D89" s="35"/>
      <c r="E89" s="35">
        <f t="shared" si="19"/>
        <v>0</v>
      </c>
      <c r="F89" s="35"/>
      <c r="G89" s="35"/>
      <c r="H89" s="35"/>
      <c r="I89" s="35"/>
      <c r="J89" s="35"/>
      <c r="K89" s="35">
        <f t="shared" si="20"/>
        <v>0</v>
      </c>
      <c r="L89" s="35"/>
      <c r="M89" s="35">
        <v>0</v>
      </c>
      <c r="N89" s="35"/>
      <c r="O89" s="35"/>
      <c r="P89" s="35"/>
      <c r="Q89" s="35"/>
      <c r="R89" s="35"/>
      <c r="S89" s="35">
        <v>0</v>
      </c>
      <c r="T89" s="35"/>
      <c r="U89" s="35"/>
      <c r="V89" s="35"/>
      <c r="W89" s="35">
        <f t="shared" si="18"/>
        <v>0</v>
      </c>
      <c r="X89" s="35"/>
      <c r="Y89" s="35" t="s">
        <v>116</v>
      </c>
      <c r="Z89" s="55"/>
      <c r="AA89" s="35" t="s">
        <v>80</v>
      </c>
      <c r="AB89" s="35"/>
      <c r="AC89" s="35">
        <v>0</v>
      </c>
      <c r="AD89" s="35"/>
      <c r="AE89" s="35">
        <v>0</v>
      </c>
      <c r="AF89" s="35"/>
      <c r="AG89" s="35">
        <v>0</v>
      </c>
      <c r="AH89" s="35"/>
      <c r="AI89" s="45">
        <f t="shared" si="23"/>
        <v>0</v>
      </c>
      <c r="AJ89" s="45"/>
      <c r="AK89" s="35"/>
      <c r="AL89" s="35"/>
      <c r="AM89" s="35">
        <v>0</v>
      </c>
      <c r="AN89" s="35"/>
      <c r="AO89" s="35">
        <v>0</v>
      </c>
      <c r="AP89" s="35"/>
      <c r="AQ89" s="35">
        <v>0</v>
      </c>
      <c r="AR89" s="35"/>
      <c r="AS89" s="45">
        <f t="shared" si="17"/>
        <v>0</v>
      </c>
      <c r="AT89" s="45"/>
      <c r="AU89" s="35">
        <v>0</v>
      </c>
      <c r="AV89" s="35"/>
      <c r="AW89" s="35">
        <v>0</v>
      </c>
      <c r="AX89" s="35"/>
      <c r="AY89" s="35">
        <f t="shared" si="21"/>
        <v>0</v>
      </c>
      <c r="AZ89" s="35"/>
      <c r="BA89" s="35" t="s">
        <v>116</v>
      </c>
      <c r="BB89" s="55"/>
      <c r="BC89" s="35" t="s">
        <v>80</v>
      </c>
      <c r="BD89" s="35"/>
      <c r="BE89" s="35"/>
      <c r="BF89" s="35"/>
      <c r="BG89" s="35"/>
      <c r="BH89" s="35"/>
      <c r="BI89" s="35"/>
      <c r="BJ89" s="35"/>
      <c r="BK89" s="35"/>
      <c r="BL89" s="35"/>
      <c r="BM89" s="35">
        <f t="shared" si="15"/>
        <v>0</v>
      </c>
      <c r="BN89" s="54" t="s">
        <v>347</v>
      </c>
    </row>
    <row r="90" spans="1:67" ht="12.75" hidden="1" customHeight="1">
      <c r="A90" s="44" t="s">
        <v>117</v>
      </c>
      <c r="C90" s="35" t="s">
        <v>43</v>
      </c>
      <c r="D90" s="35"/>
      <c r="E90" s="35">
        <f t="shared" si="19"/>
        <v>0</v>
      </c>
      <c r="F90" s="35"/>
      <c r="G90" s="35"/>
      <c r="H90" s="35"/>
      <c r="I90" s="35"/>
      <c r="J90" s="35"/>
      <c r="K90" s="35">
        <f t="shared" si="20"/>
        <v>0</v>
      </c>
      <c r="L90" s="35"/>
      <c r="M90" s="35">
        <v>0</v>
      </c>
      <c r="N90" s="35"/>
      <c r="O90" s="35"/>
      <c r="P90" s="35"/>
      <c r="Q90" s="35"/>
      <c r="R90" s="35"/>
      <c r="S90" s="35">
        <v>0</v>
      </c>
      <c r="T90" s="35"/>
      <c r="U90" s="35"/>
      <c r="V90" s="35"/>
      <c r="W90" s="35">
        <f t="shared" si="18"/>
        <v>0</v>
      </c>
      <c r="X90" s="35"/>
      <c r="Y90" s="44" t="s">
        <v>117</v>
      </c>
      <c r="Z90" s="55"/>
      <c r="AA90" s="35" t="s">
        <v>43</v>
      </c>
      <c r="AB90" s="35"/>
      <c r="AC90" s="35">
        <v>0</v>
      </c>
      <c r="AD90" s="35"/>
      <c r="AE90" s="35">
        <v>0</v>
      </c>
      <c r="AF90" s="35"/>
      <c r="AG90" s="35">
        <v>0</v>
      </c>
      <c r="AH90" s="35"/>
      <c r="AI90" s="45">
        <f t="shared" si="23"/>
        <v>0</v>
      </c>
      <c r="AJ90" s="45"/>
      <c r="AK90" s="35"/>
      <c r="AL90" s="35"/>
      <c r="AM90" s="35">
        <v>0</v>
      </c>
      <c r="AN90" s="35"/>
      <c r="AO90" s="35">
        <v>0</v>
      </c>
      <c r="AP90" s="35"/>
      <c r="AQ90" s="35">
        <v>0</v>
      </c>
      <c r="AR90" s="35"/>
      <c r="AS90" s="45">
        <f t="shared" si="17"/>
        <v>0</v>
      </c>
      <c r="AT90" s="45"/>
      <c r="AU90" s="35">
        <v>0</v>
      </c>
      <c r="AV90" s="35"/>
      <c r="AW90" s="35">
        <v>0</v>
      </c>
      <c r="AX90" s="35"/>
      <c r="AY90" s="35">
        <f t="shared" si="21"/>
        <v>0</v>
      </c>
      <c r="AZ90" s="35"/>
      <c r="BA90" s="44" t="s">
        <v>117</v>
      </c>
      <c r="BB90" s="55"/>
      <c r="BC90" s="35" t="s">
        <v>43</v>
      </c>
      <c r="BD90" s="35"/>
      <c r="BE90" s="35"/>
      <c r="BF90" s="35"/>
      <c r="BG90" s="35"/>
      <c r="BH90" s="35"/>
      <c r="BI90" s="35"/>
      <c r="BJ90" s="35"/>
      <c r="BK90" s="35"/>
      <c r="BL90" s="35"/>
      <c r="BM90" s="35">
        <f t="shared" si="15"/>
        <v>0</v>
      </c>
      <c r="BN90" s="54" t="s">
        <v>347</v>
      </c>
    </row>
    <row r="91" spans="1:67" ht="12.75" hidden="1" customHeight="1">
      <c r="A91" s="35" t="s">
        <v>118</v>
      </c>
      <c r="C91" s="35" t="s">
        <v>13</v>
      </c>
      <c r="D91" s="35"/>
      <c r="E91" s="35">
        <f t="shared" si="19"/>
        <v>0</v>
      </c>
      <c r="F91" s="35"/>
      <c r="G91" s="35"/>
      <c r="H91" s="35"/>
      <c r="I91" s="35"/>
      <c r="J91" s="35"/>
      <c r="K91" s="35">
        <f t="shared" si="20"/>
        <v>0</v>
      </c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>
        <f t="shared" si="18"/>
        <v>0</v>
      </c>
      <c r="X91" s="35"/>
      <c r="Y91" s="35" t="s">
        <v>118</v>
      </c>
      <c r="Z91" s="55"/>
      <c r="AA91" s="35" t="s">
        <v>13</v>
      </c>
      <c r="AB91" s="35"/>
      <c r="AC91" s="35"/>
      <c r="AD91" s="35"/>
      <c r="AE91" s="35"/>
      <c r="AF91" s="35"/>
      <c r="AG91" s="35"/>
      <c r="AH91" s="35"/>
      <c r="AI91" s="45">
        <f t="shared" si="23"/>
        <v>0</v>
      </c>
      <c r="AJ91" s="45"/>
      <c r="AK91" s="35"/>
      <c r="AL91" s="35"/>
      <c r="AM91" s="35"/>
      <c r="AN91" s="35"/>
      <c r="AO91" s="35"/>
      <c r="AP91" s="35"/>
      <c r="AQ91" s="35"/>
      <c r="AR91" s="35"/>
      <c r="AS91" s="45">
        <f t="shared" si="17"/>
        <v>0</v>
      </c>
      <c r="AT91" s="45"/>
      <c r="AU91" s="35">
        <v>0</v>
      </c>
      <c r="AV91" s="35"/>
      <c r="AW91" s="35">
        <v>0</v>
      </c>
      <c r="AX91" s="35"/>
      <c r="AY91" s="35">
        <f t="shared" si="21"/>
        <v>0</v>
      </c>
      <c r="AZ91" s="35"/>
      <c r="BA91" s="35" t="s">
        <v>118</v>
      </c>
      <c r="BB91" s="55"/>
      <c r="BC91" s="35" t="s">
        <v>13</v>
      </c>
      <c r="BD91" s="35"/>
      <c r="BE91" s="35"/>
      <c r="BF91" s="35"/>
      <c r="BG91" s="35"/>
      <c r="BH91" s="35"/>
      <c r="BI91" s="35"/>
      <c r="BJ91" s="35"/>
      <c r="BK91" s="35"/>
      <c r="BL91" s="35"/>
      <c r="BM91" s="35">
        <f t="shared" si="15"/>
        <v>0</v>
      </c>
      <c r="BN91" s="54" t="s">
        <v>347</v>
      </c>
    </row>
    <row r="92" spans="1:67" ht="12.75" hidden="1" customHeight="1">
      <c r="A92" s="35" t="s">
        <v>120</v>
      </c>
      <c r="C92" s="35" t="s">
        <v>121</v>
      </c>
      <c r="D92" s="35"/>
      <c r="E92" s="35">
        <f t="shared" si="19"/>
        <v>0</v>
      </c>
      <c r="F92" s="35"/>
      <c r="G92" s="35"/>
      <c r="H92" s="35"/>
      <c r="I92" s="35"/>
      <c r="J92" s="35"/>
      <c r="K92" s="35">
        <f t="shared" si="20"/>
        <v>0</v>
      </c>
      <c r="L92" s="35"/>
      <c r="M92" s="35">
        <v>0</v>
      </c>
      <c r="N92" s="35"/>
      <c r="O92" s="35"/>
      <c r="P92" s="35"/>
      <c r="Q92" s="35"/>
      <c r="R92" s="35"/>
      <c r="S92" s="35">
        <v>0</v>
      </c>
      <c r="T92" s="35"/>
      <c r="U92" s="35"/>
      <c r="V92" s="35"/>
      <c r="W92" s="35">
        <f t="shared" si="18"/>
        <v>0</v>
      </c>
      <c r="X92" s="35"/>
      <c r="Y92" s="35" t="s">
        <v>120</v>
      </c>
      <c r="Z92" s="55"/>
      <c r="AA92" s="35" t="s">
        <v>121</v>
      </c>
      <c r="AB92" s="35"/>
      <c r="AC92" s="35">
        <v>0</v>
      </c>
      <c r="AD92" s="35"/>
      <c r="AE92" s="35">
        <v>0</v>
      </c>
      <c r="AF92" s="35"/>
      <c r="AG92" s="35">
        <v>0</v>
      </c>
      <c r="AH92" s="35"/>
      <c r="AI92" s="45">
        <f t="shared" si="23"/>
        <v>0</v>
      </c>
      <c r="AJ92" s="45"/>
      <c r="AK92" s="35"/>
      <c r="AL92" s="35"/>
      <c r="AM92" s="35">
        <v>0</v>
      </c>
      <c r="AN92" s="35"/>
      <c r="AO92" s="35">
        <v>0</v>
      </c>
      <c r="AP92" s="35"/>
      <c r="AQ92" s="35">
        <v>0</v>
      </c>
      <c r="AR92" s="35"/>
      <c r="AS92" s="45">
        <f t="shared" si="17"/>
        <v>0</v>
      </c>
      <c r="AT92" s="45"/>
      <c r="AU92" s="35">
        <v>0</v>
      </c>
      <c r="AV92" s="35"/>
      <c r="AW92" s="35">
        <v>0</v>
      </c>
      <c r="AX92" s="35"/>
      <c r="AY92" s="35">
        <f t="shared" si="21"/>
        <v>0</v>
      </c>
      <c r="AZ92" s="35"/>
      <c r="BA92" s="35" t="s">
        <v>120</v>
      </c>
      <c r="BB92" s="55"/>
      <c r="BC92" s="35" t="s">
        <v>121</v>
      </c>
      <c r="BD92" s="35"/>
      <c r="BE92" s="35"/>
      <c r="BF92" s="35"/>
      <c r="BG92" s="35"/>
      <c r="BH92" s="35"/>
      <c r="BI92" s="35"/>
      <c r="BJ92" s="35"/>
      <c r="BK92" s="35"/>
      <c r="BL92" s="35"/>
      <c r="BM92" s="35">
        <f t="shared" si="15"/>
        <v>0</v>
      </c>
      <c r="BN92" s="54" t="s">
        <v>347</v>
      </c>
      <c r="BO92" s="55" t="s">
        <v>371</v>
      </c>
    </row>
    <row r="93" spans="1:67" ht="12.75" hidden="1" customHeight="1">
      <c r="A93" s="35" t="s">
        <v>122</v>
      </c>
      <c r="C93" s="35" t="s">
        <v>43</v>
      </c>
      <c r="D93" s="35"/>
      <c r="E93" s="35">
        <f t="shared" si="19"/>
        <v>0</v>
      </c>
      <c r="F93" s="35"/>
      <c r="G93" s="35"/>
      <c r="H93" s="35"/>
      <c r="I93" s="35"/>
      <c r="J93" s="35"/>
      <c r="K93" s="35">
        <f t="shared" si="20"/>
        <v>0</v>
      </c>
      <c r="L93" s="35"/>
      <c r="M93" s="35">
        <v>0</v>
      </c>
      <c r="N93" s="35"/>
      <c r="O93" s="35"/>
      <c r="P93" s="35"/>
      <c r="Q93" s="35"/>
      <c r="R93" s="35"/>
      <c r="S93" s="35">
        <v>0</v>
      </c>
      <c r="T93" s="35"/>
      <c r="U93" s="35"/>
      <c r="V93" s="35"/>
      <c r="W93" s="35">
        <f t="shared" si="18"/>
        <v>0</v>
      </c>
      <c r="X93" s="35"/>
      <c r="Y93" s="35" t="s">
        <v>122</v>
      </c>
      <c r="Z93" s="55"/>
      <c r="AA93" s="35" t="s">
        <v>43</v>
      </c>
      <c r="AB93" s="35"/>
      <c r="AC93" s="35">
        <v>0</v>
      </c>
      <c r="AD93" s="35"/>
      <c r="AE93" s="35">
        <v>0</v>
      </c>
      <c r="AF93" s="35"/>
      <c r="AG93" s="35">
        <v>0</v>
      </c>
      <c r="AH93" s="35"/>
      <c r="AI93" s="45">
        <f t="shared" si="23"/>
        <v>0</v>
      </c>
      <c r="AJ93" s="45"/>
      <c r="AK93" s="35"/>
      <c r="AL93" s="35"/>
      <c r="AM93" s="35">
        <v>0</v>
      </c>
      <c r="AN93" s="35"/>
      <c r="AO93" s="35">
        <v>0</v>
      </c>
      <c r="AP93" s="35"/>
      <c r="AQ93" s="35">
        <v>0</v>
      </c>
      <c r="AR93" s="35"/>
      <c r="AS93" s="45">
        <f t="shared" si="17"/>
        <v>0</v>
      </c>
      <c r="AT93" s="45"/>
      <c r="AU93" s="35">
        <v>0</v>
      </c>
      <c r="AV93" s="35"/>
      <c r="AW93" s="35">
        <v>0</v>
      </c>
      <c r="AX93" s="35"/>
      <c r="AY93" s="35">
        <f t="shared" si="21"/>
        <v>0</v>
      </c>
      <c r="AZ93" s="35"/>
      <c r="BA93" s="35" t="s">
        <v>122</v>
      </c>
      <c r="BB93" s="55"/>
      <c r="BC93" s="35" t="s">
        <v>43</v>
      </c>
      <c r="BD93" s="35"/>
      <c r="BE93" s="35"/>
      <c r="BF93" s="35"/>
      <c r="BG93" s="35"/>
      <c r="BH93" s="35"/>
      <c r="BI93" s="35"/>
      <c r="BJ93" s="35"/>
      <c r="BK93" s="35"/>
      <c r="BL93" s="35"/>
      <c r="BM93" s="35">
        <f t="shared" si="15"/>
        <v>0</v>
      </c>
      <c r="BN93" s="54" t="s">
        <v>347</v>
      </c>
    </row>
    <row r="94" spans="1:67" ht="12.75" customHeight="1">
      <c r="A94" s="44" t="s">
        <v>45</v>
      </c>
      <c r="C94" s="35" t="s">
        <v>103</v>
      </c>
      <c r="D94" s="35"/>
      <c r="E94" s="35">
        <f t="shared" si="19"/>
        <v>39339854</v>
      </c>
      <c r="F94" s="35"/>
      <c r="G94" s="35">
        <v>139581192</v>
      </c>
      <c r="H94" s="35"/>
      <c r="I94" s="35">
        <v>178921046</v>
      </c>
      <c r="J94" s="35"/>
      <c r="K94" s="35">
        <f t="shared" si="20"/>
        <v>38597731</v>
      </c>
      <c r="L94" s="35"/>
      <c r="M94" s="35">
        <v>136980299</v>
      </c>
      <c r="N94" s="35"/>
      <c r="O94" s="35">
        <v>175578030</v>
      </c>
      <c r="P94" s="35"/>
      <c r="Q94" s="35">
        <v>-18942067</v>
      </c>
      <c r="R94" s="35"/>
      <c r="S94" s="35">
        <f>6382846+4000000</f>
        <v>10382846</v>
      </c>
      <c r="T94" s="35"/>
      <c r="U94" s="35">
        <v>11902237</v>
      </c>
      <c r="V94" s="35"/>
      <c r="W94" s="35">
        <f t="shared" si="18"/>
        <v>3343016</v>
      </c>
      <c r="X94" s="35"/>
      <c r="Y94" s="44" t="s">
        <v>45</v>
      </c>
      <c r="Z94" s="55"/>
      <c r="AA94" s="35" t="s">
        <v>103</v>
      </c>
      <c r="AB94" s="35"/>
      <c r="AC94" s="35">
        <v>65136558</v>
      </c>
      <c r="AD94" s="35"/>
      <c r="AE94" s="35">
        <f>58983261-10077438</f>
        <v>48905823</v>
      </c>
      <c r="AF94" s="35"/>
      <c r="AG94" s="35">
        <v>10077438</v>
      </c>
      <c r="AH94" s="35"/>
      <c r="AI94" s="45">
        <f t="shared" si="23"/>
        <v>6153297</v>
      </c>
      <c r="AJ94" s="45"/>
      <c r="AK94" s="35">
        <v>-7113743</v>
      </c>
      <c r="AL94" s="35"/>
      <c r="AM94" s="35">
        <v>0</v>
      </c>
      <c r="AN94" s="35"/>
      <c r="AO94" s="35">
        <v>60000</v>
      </c>
      <c r="AP94" s="35"/>
      <c r="AQ94" s="35">
        <v>0</v>
      </c>
      <c r="AR94" s="35"/>
      <c r="AS94" s="45">
        <f t="shared" si="17"/>
        <v>-1020446</v>
      </c>
      <c r="AT94" s="45"/>
      <c r="AU94" s="35">
        <v>0</v>
      </c>
      <c r="AV94" s="35"/>
      <c r="AW94" s="35">
        <v>0</v>
      </c>
      <c r="AX94" s="35"/>
      <c r="AY94" s="35">
        <f t="shared" si="21"/>
        <v>742123</v>
      </c>
      <c r="AZ94" s="35"/>
      <c r="BA94" s="44" t="s">
        <v>45</v>
      </c>
      <c r="BB94" s="55"/>
      <c r="BC94" s="35" t="s">
        <v>103</v>
      </c>
      <c r="BD94" s="35"/>
      <c r="BE94" s="35">
        <v>149020000</v>
      </c>
      <c r="BF94" s="35"/>
      <c r="BG94" s="35">
        <v>4000000</v>
      </c>
      <c r="BH94" s="35"/>
      <c r="BI94" s="35">
        <v>0</v>
      </c>
      <c r="BJ94" s="35"/>
      <c r="BK94" s="35">
        <v>0</v>
      </c>
      <c r="BL94" s="35"/>
      <c r="BM94" s="35">
        <f t="shared" si="15"/>
        <v>153020000</v>
      </c>
      <c r="BN94" s="54" t="s">
        <v>347</v>
      </c>
      <c r="BO94" s="55" t="s">
        <v>315</v>
      </c>
    </row>
    <row r="95" spans="1:67" ht="12.75" hidden="1" customHeight="1">
      <c r="A95" s="44" t="s">
        <v>123</v>
      </c>
      <c r="C95" s="35" t="s">
        <v>45</v>
      </c>
      <c r="D95" s="35"/>
      <c r="E95" s="35">
        <f t="shared" si="19"/>
        <v>0</v>
      </c>
      <c r="F95" s="35"/>
      <c r="G95" s="35"/>
      <c r="H95" s="35"/>
      <c r="I95" s="35"/>
      <c r="J95" s="35"/>
      <c r="K95" s="35">
        <f t="shared" si="20"/>
        <v>0</v>
      </c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>
        <f t="shared" si="18"/>
        <v>0</v>
      </c>
      <c r="X95" s="35"/>
      <c r="Y95" s="44" t="s">
        <v>123</v>
      </c>
      <c r="Z95" s="55"/>
      <c r="AA95" s="35" t="s">
        <v>45</v>
      </c>
      <c r="AB95" s="35"/>
      <c r="AC95" s="35"/>
      <c r="AD95" s="35"/>
      <c r="AE95" s="35"/>
      <c r="AF95" s="35"/>
      <c r="AG95" s="35"/>
      <c r="AH95" s="35"/>
      <c r="AI95" s="45">
        <f t="shared" si="23"/>
        <v>0</v>
      </c>
      <c r="AJ95" s="45"/>
      <c r="AK95" s="35"/>
      <c r="AL95" s="35"/>
      <c r="AM95" s="35"/>
      <c r="AN95" s="35"/>
      <c r="AO95" s="35"/>
      <c r="AP95" s="35"/>
      <c r="AQ95" s="35"/>
      <c r="AR95" s="35"/>
      <c r="AS95" s="45">
        <f t="shared" si="17"/>
        <v>0</v>
      </c>
      <c r="AT95" s="45"/>
      <c r="AU95" s="35">
        <v>0</v>
      </c>
      <c r="AV95" s="35"/>
      <c r="AW95" s="35">
        <v>0</v>
      </c>
      <c r="AX95" s="35"/>
      <c r="AY95" s="35">
        <f t="shared" si="21"/>
        <v>0</v>
      </c>
      <c r="AZ95" s="35"/>
      <c r="BA95" s="44" t="s">
        <v>123</v>
      </c>
      <c r="BB95" s="55"/>
      <c r="BC95" s="35" t="s">
        <v>45</v>
      </c>
      <c r="BD95" s="35"/>
      <c r="BE95" s="35"/>
      <c r="BF95" s="35"/>
      <c r="BG95" s="35"/>
      <c r="BH95" s="35"/>
      <c r="BI95" s="35"/>
      <c r="BJ95" s="35"/>
      <c r="BK95" s="35"/>
      <c r="BL95" s="35"/>
      <c r="BM95" s="35">
        <f t="shared" si="15"/>
        <v>0</v>
      </c>
      <c r="BN95" s="54" t="s">
        <v>347</v>
      </c>
    </row>
    <row r="96" spans="1:67" ht="12.75" hidden="1" customHeight="1">
      <c r="A96" s="35" t="s">
        <v>124</v>
      </c>
      <c r="C96" s="35" t="s">
        <v>125</v>
      </c>
      <c r="D96" s="35"/>
      <c r="E96" s="35">
        <f t="shared" si="19"/>
        <v>0</v>
      </c>
      <c r="F96" s="35"/>
      <c r="G96" s="35"/>
      <c r="H96" s="35"/>
      <c r="I96" s="35"/>
      <c r="J96" s="35"/>
      <c r="K96" s="35">
        <f t="shared" si="20"/>
        <v>0</v>
      </c>
      <c r="L96" s="35"/>
      <c r="M96" s="35">
        <v>0</v>
      </c>
      <c r="N96" s="35"/>
      <c r="O96" s="35"/>
      <c r="P96" s="35"/>
      <c r="Q96" s="35"/>
      <c r="R96" s="35"/>
      <c r="S96" s="35">
        <v>0</v>
      </c>
      <c r="T96" s="35"/>
      <c r="U96" s="35"/>
      <c r="V96" s="35"/>
      <c r="W96" s="35">
        <f t="shared" si="18"/>
        <v>0</v>
      </c>
      <c r="X96" s="35"/>
      <c r="Y96" s="35" t="s">
        <v>124</v>
      </c>
      <c r="Z96" s="55"/>
      <c r="AA96" s="35" t="s">
        <v>125</v>
      </c>
      <c r="AB96" s="35"/>
      <c r="AC96" s="35">
        <v>0</v>
      </c>
      <c r="AD96" s="35"/>
      <c r="AE96" s="35">
        <v>0</v>
      </c>
      <c r="AF96" s="35"/>
      <c r="AG96" s="35">
        <v>0</v>
      </c>
      <c r="AH96" s="35"/>
      <c r="AI96" s="45">
        <f t="shared" si="23"/>
        <v>0</v>
      </c>
      <c r="AJ96" s="45"/>
      <c r="AK96" s="35"/>
      <c r="AL96" s="35"/>
      <c r="AM96" s="35">
        <v>0</v>
      </c>
      <c r="AN96" s="35"/>
      <c r="AO96" s="35">
        <v>0</v>
      </c>
      <c r="AP96" s="35"/>
      <c r="AQ96" s="35">
        <v>0</v>
      </c>
      <c r="AR96" s="35"/>
      <c r="AS96" s="45">
        <f t="shared" si="17"/>
        <v>0</v>
      </c>
      <c r="AT96" s="45"/>
      <c r="AU96" s="35">
        <v>0</v>
      </c>
      <c r="AV96" s="35"/>
      <c r="AW96" s="35">
        <v>0</v>
      </c>
      <c r="AX96" s="35"/>
      <c r="AY96" s="35">
        <f t="shared" si="21"/>
        <v>0</v>
      </c>
      <c r="AZ96" s="35"/>
      <c r="BA96" s="35" t="s">
        <v>124</v>
      </c>
      <c r="BB96" s="55"/>
      <c r="BC96" s="35" t="s">
        <v>125</v>
      </c>
      <c r="BD96" s="35"/>
      <c r="BE96" s="35"/>
      <c r="BF96" s="35"/>
      <c r="BG96" s="35"/>
      <c r="BH96" s="35"/>
      <c r="BI96" s="35"/>
      <c r="BJ96" s="35"/>
      <c r="BK96" s="35"/>
      <c r="BL96" s="35"/>
      <c r="BM96" s="35">
        <f t="shared" si="15"/>
        <v>0</v>
      </c>
      <c r="BN96" s="54" t="s">
        <v>347</v>
      </c>
    </row>
    <row r="97" spans="1:67" ht="12.75" hidden="1" customHeight="1">
      <c r="A97" s="35" t="s">
        <v>126</v>
      </c>
      <c r="C97" s="35" t="s">
        <v>27</v>
      </c>
      <c r="D97" s="35"/>
      <c r="E97" s="35">
        <f t="shared" si="19"/>
        <v>0</v>
      </c>
      <c r="F97" s="35"/>
      <c r="G97" s="35"/>
      <c r="H97" s="35"/>
      <c r="I97" s="35"/>
      <c r="J97" s="35"/>
      <c r="K97" s="35">
        <f t="shared" si="20"/>
        <v>0</v>
      </c>
      <c r="L97" s="35"/>
      <c r="M97" s="35">
        <v>0</v>
      </c>
      <c r="N97" s="35"/>
      <c r="O97" s="35"/>
      <c r="P97" s="35"/>
      <c r="Q97" s="35"/>
      <c r="R97" s="35"/>
      <c r="S97" s="35">
        <v>0</v>
      </c>
      <c r="T97" s="35"/>
      <c r="U97" s="35"/>
      <c r="V97" s="35"/>
      <c r="W97" s="35">
        <f t="shared" si="18"/>
        <v>0</v>
      </c>
      <c r="X97" s="35"/>
      <c r="Y97" s="35" t="s">
        <v>126</v>
      </c>
      <c r="Z97" s="55"/>
      <c r="AA97" s="35" t="s">
        <v>27</v>
      </c>
      <c r="AB97" s="35"/>
      <c r="AC97" s="35">
        <v>0</v>
      </c>
      <c r="AD97" s="35"/>
      <c r="AE97" s="35">
        <v>0</v>
      </c>
      <c r="AF97" s="35"/>
      <c r="AG97" s="35">
        <v>0</v>
      </c>
      <c r="AH97" s="35"/>
      <c r="AI97" s="45">
        <f t="shared" si="23"/>
        <v>0</v>
      </c>
      <c r="AJ97" s="45"/>
      <c r="AK97" s="35"/>
      <c r="AL97" s="35"/>
      <c r="AM97" s="35">
        <v>0</v>
      </c>
      <c r="AN97" s="35"/>
      <c r="AO97" s="35">
        <v>0</v>
      </c>
      <c r="AP97" s="35"/>
      <c r="AQ97" s="35">
        <v>0</v>
      </c>
      <c r="AR97" s="35"/>
      <c r="AS97" s="45">
        <f t="shared" si="17"/>
        <v>0</v>
      </c>
      <c r="AT97" s="45"/>
      <c r="AU97" s="35">
        <v>0</v>
      </c>
      <c r="AV97" s="35"/>
      <c r="AW97" s="35">
        <v>0</v>
      </c>
      <c r="AX97" s="35"/>
      <c r="AY97" s="35">
        <f t="shared" si="21"/>
        <v>0</v>
      </c>
      <c r="AZ97" s="35"/>
      <c r="BA97" s="35" t="s">
        <v>126</v>
      </c>
      <c r="BB97" s="55"/>
      <c r="BC97" s="35" t="s">
        <v>27</v>
      </c>
      <c r="BD97" s="35"/>
      <c r="BE97" s="35"/>
      <c r="BF97" s="35"/>
      <c r="BG97" s="35"/>
      <c r="BH97" s="35"/>
      <c r="BI97" s="35"/>
      <c r="BJ97" s="35"/>
      <c r="BK97" s="35"/>
      <c r="BL97" s="35"/>
      <c r="BM97" s="35">
        <f t="shared" si="15"/>
        <v>0</v>
      </c>
      <c r="BN97" s="54" t="s">
        <v>347</v>
      </c>
    </row>
    <row r="98" spans="1:67" ht="12.75" hidden="1" customHeight="1">
      <c r="A98" s="35" t="s">
        <v>127</v>
      </c>
      <c r="C98" s="35" t="s">
        <v>43</v>
      </c>
      <c r="D98" s="35"/>
      <c r="E98" s="35">
        <f t="shared" si="19"/>
        <v>0</v>
      </c>
      <c r="F98" s="35"/>
      <c r="G98" s="35"/>
      <c r="H98" s="35"/>
      <c r="I98" s="35"/>
      <c r="J98" s="35"/>
      <c r="K98" s="35">
        <f t="shared" si="20"/>
        <v>0</v>
      </c>
      <c r="L98" s="35"/>
      <c r="M98" s="35">
        <v>0</v>
      </c>
      <c r="N98" s="35"/>
      <c r="O98" s="35"/>
      <c r="P98" s="35"/>
      <c r="Q98" s="35"/>
      <c r="R98" s="35"/>
      <c r="S98" s="35">
        <v>0</v>
      </c>
      <c r="T98" s="35"/>
      <c r="U98" s="35"/>
      <c r="V98" s="35"/>
      <c r="W98" s="35">
        <f t="shared" si="18"/>
        <v>0</v>
      </c>
      <c r="X98" s="35"/>
      <c r="Y98" s="35" t="s">
        <v>127</v>
      </c>
      <c r="Z98" s="55"/>
      <c r="AA98" s="35" t="s">
        <v>43</v>
      </c>
      <c r="AB98" s="35"/>
      <c r="AC98" s="35">
        <v>0</v>
      </c>
      <c r="AD98" s="35"/>
      <c r="AE98" s="35">
        <v>0</v>
      </c>
      <c r="AF98" s="35"/>
      <c r="AG98" s="35">
        <v>0</v>
      </c>
      <c r="AH98" s="35"/>
      <c r="AI98" s="45">
        <f t="shared" si="23"/>
        <v>0</v>
      </c>
      <c r="AJ98" s="45"/>
      <c r="AK98" s="35"/>
      <c r="AL98" s="35"/>
      <c r="AM98" s="35">
        <v>0</v>
      </c>
      <c r="AN98" s="35"/>
      <c r="AO98" s="35">
        <v>0</v>
      </c>
      <c r="AP98" s="35"/>
      <c r="AQ98" s="35">
        <v>0</v>
      </c>
      <c r="AR98" s="35"/>
      <c r="AS98" s="45">
        <f t="shared" si="17"/>
        <v>0</v>
      </c>
      <c r="AT98" s="45"/>
      <c r="AU98" s="35">
        <v>0</v>
      </c>
      <c r="AV98" s="35"/>
      <c r="AW98" s="35">
        <v>0</v>
      </c>
      <c r="AX98" s="35"/>
      <c r="AY98" s="35">
        <f t="shared" si="21"/>
        <v>0</v>
      </c>
      <c r="AZ98" s="35"/>
      <c r="BA98" s="35" t="s">
        <v>127</v>
      </c>
      <c r="BB98" s="55"/>
      <c r="BC98" s="35" t="s">
        <v>43</v>
      </c>
      <c r="BD98" s="35"/>
      <c r="BE98" s="35"/>
      <c r="BF98" s="35"/>
      <c r="BG98" s="35"/>
      <c r="BH98" s="35"/>
      <c r="BI98" s="35"/>
      <c r="BJ98" s="35"/>
      <c r="BK98" s="35"/>
      <c r="BL98" s="35"/>
      <c r="BM98" s="35">
        <f t="shared" ref="BM98:BM129" si="24">SUM(BE98:BK98)</f>
        <v>0</v>
      </c>
      <c r="BN98" s="54" t="s">
        <v>347</v>
      </c>
    </row>
    <row r="99" spans="1:67" ht="12.75" hidden="1" customHeight="1">
      <c r="A99" s="35" t="s">
        <v>128</v>
      </c>
      <c r="C99" s="35" t="s">
        <v>119</v>
      </c>
      <c r="D99" s="35"/>
      <c r="E99" s="35">
        <f t="shared" si="19"/>
        <v>0</v>
      </c>
      <c r="F99" s="35"/>
      <c r="G99" s="35"/>
      <c r="H99" s="35"/>
      <c r="I99" s="35"/>
      <c r="J99" s="35"/>
      <c r="K99" s="35">
        <f t="shared" si="20"/>
        <v>0</v>
      </c>
      <c r="L99" s="35"/>
      <c r="M99" s="35">
        <v>0</v>
      </c>
      <c r="N99" s="35"/>
      <c r="O99" s="35"/>
      <c r="P99" s="35"/>
      <c r="Q99" s="35"/>
      <c r="R99" s="35"/>
      <c r="S99" s="35">
        <v>0</v>
      </c>
      <c r="T99" s="35"/>
      <c r="U99" s="35"/>
      <c r="V99" s="35"/>
      <c r="W99" s="35">
        <f t="shared" si="18"/>
        <v>0</v>
      </c>
      <c r="X99" s="35"/>
      <c r="Y99" s="35" t="s">
        <v>128</v>
      </c>
      <c r="Z99" s="55"/>
      <c r="AA99" s="35" t="s">
        <v>119</v>
      </c>
      <c r="AB99" s="35"/>
      <c r="AC99" s="35">
        <v>0</v>
      </c>
      <c r="AD99" s="35"/>
      <c r="AE99" s="35">
        <v>0</v>
      </c>
      <c r="AF99" s="35"/>
      <c r="AG99" s="35">
        <v>0</v>
      </c>
      <c r="AH99" s="35"/>
      <c r="AI99" s="45">
        <f t="shared" si="23"/>
        <v>0</v>
      </c>
      <c r="AJ99" s="45"/>
      <c r="AK99" s="35"/>
      <c r="AL99" s="35"/>
      <c r="AM99" s="35">
        <v>0</v>
      </c>
      <c r="AN99" s="35"/>
      <c r="AO99" s="35">
        <v>0</v>
      </c>
      <c r="AP99" s="35"/>
      <c r="AQ99" s="35">
        <v>0</v>
      </c>
      <c r="AR99" s="35"/>
      <c r="AS99" s="45">
        <f t="shared" si="17"/>
        <v>0</v>
      </c>
      <c r="AT99" s="45"/>
      <c r="AU99" s="35">
        <v>0</v>
      </c>
      <c r="AV99" s="35"/>
      <c r="AW99" s="35">
        <v>0</v>
      </c>
      <c r="AX99" s="35"/>
      <c r="AY99" s="35">
        <f t="shared" si="21"/>
        <v>0</v>
      </c>
      <c r="AZ99" s="35"/>
      <c r="BA99" s="35" t="s">
        <v>128</v>
      </c>
      <c r="BB99" s="55"/>
      <c r="BC99" s="35" t="s">
        <v>119</v>
      </c>
      <c r="BD99" s="35"/>
      <c r="BE99" s="35"/>
      <c r="BF99" s="35"/>
      <c r="BG99" s="35"/>
      <c r="BH99" s="35"/>
      <c r="BI99" s="35"/>
      <c r="BJ99" s="35"/>
      <c r="BK99" s="35"/>
      <c r="BL99" s="35"/>
      <c r="BM99" s="35">
        <f t="shared" si="24"/>
        <v>0</v>
      </c>
      <c r="BN99" s="54" t="s">
        <v>347</v>
      </c>
    </row>
    <row r="100" spans="1:67" ht="12.75" customHeight="1">
      <c r="A100" s="35" t="s">
        <v>129</v>
      </c>
      <c r="B100" s="55"/>
      <c r="C100" s="35" t="s">
        <v>80</v>
      </c>
      <c r="D100" s="35"/>
      <c r="E100" s="35">
        <f t="shared" si="19"/>
        <v>4353957</v>
      </c>
      <c r="F100" s="35"/>
      <c r="G100" s="35">
        <v>3262327</v>
      </c>
      <c r="H100" s="35"/>
      <c r="I100" s="35">
        <v>7616284</v>
      </c>
      <c r="J100" s="35"/>
      <c r="K100" s="35">
        <f t="shared" si="20"/>
        <v>2427176</v>
      </c>
      <c r="L100" s="35"/>
      <c r="M100" s="35">
        <v>24506</v>
      </c>
      <c r="N100" s="35"/>
      <c r="O100" s="35">
        <v>2451682</v>
      </c>
      <c r="P100" s="35"/>
      <c r="Q100" s="35">
        <v>1047281</v>
      </c>
      <c r="R100" s="35"/>
      <c r="S100" s="35">
        <v>0</v>
      </c>
      <c r="T100" s="35"/>
      <c r="U100" s="35">
        <v>4117321</v>
      </c>
      <c r="V100" s="35"/>
      <c r="W100" s="35">
        <f t="shared" si="18"/>
        <v>5164602</v>
      </c>
      <c r="X100" s="35"/>
      <c r="Y100" s="35" t="s">
        <v>129</v>
      </c>
      <c r="Z100" s="55"/>
      <c r="AA100" s="35" t="s">
        <v>80</v>
      </c>
      <c r="AB100" s="35"/>
      <c r="AC100" s="35">
        <v>5630963</v>
      </c>
      <c r="AD100" s="35"/>
      <c r="AE100" s="35">
        <f>5068456-305350</f>
        <v>4763106</v>
      </c>
      <c r="AF100" s="35"/>
      <c r="AG100" s="35">
        <v>305350</v>
      </c>
      <c r="AH100" s="35"/>
      <c r="AI100" s="45">
        <f t="shared" si="23"/>
        <v>562507</v>
      </c>
      <c r="AJ100" s="45"/>
      <c r="AK100" s="35">
        <v>57420</v>
      </c>
      <c r="AL100" s="35"/>
      <c r="AM100" s="35">
        <v>0</v>
      </c>
      <c r="AN100" s="35"/>
      <c r="AO100" s="35">
        <v>0</v>
      </c>
      <c r="AP100" s="35"/>
      <c r="AQ100" s="35">
        <v>0</v>
      </c>
      <c r="AR100" s="35"/>
      <c r="AS100" s="45">
        <f t="shared" si="17"/>
        <v>619927</v>
      </c>
      <c r="AT100" s="45"/>
      <c r="AU100" s="35">
        <v>0</v>
      </c>
      <c r="AV100" s="35"/>
      <c r="AW100" s="35">
        <v>0</v>
      </c>
      <c r="AX100" s="35"/>
      <c r="AY100" s="35">
        <f t="shared" si="21"/>
        <v>1926781</v>
      </c>
      <c r="AZ100" s="35"/>
      <c r="BA100" s="35" t="s">
        <v>129</v>
      </c>
      <c r="BB100" s="55"/>
      <c r="BC100" s="35" t="s">
        <v>80</v>
      </c>
      <c r="BD100" s="35"/>
      <c r="BE100" s="35">
        <v>0</v>
      </c>
      <c r="BF100" s="35"/>
      <c r="BG100" s="35">
        <v>0</v>
      </c>
      <c r="BH100" s="35"/>
      <c r="BI100" s="35">
        <v>0</v>
      </c>
      <c r="BJ100" s="35"/>
      <c r="BK100" s="35">
        <v>0</v>
      </c>
      <c r="BL100" s="35"/>
      <c r="BM100" s="35">
        <f t="shared" si="24"/>
        <v>0</v>
      </c>
      <c r="BN100" s="54" t="s">
        <v>347</v>
      </c>
    </row>
    <row r="101" spans="1:67" ht="12.75" hidden="1" customHeight="1">
      <c r="A101" s="35" t="s">
        <v>130</v>
      </c>
      <c r="C101" s="35" t="s">
        <v>66</v>
      </c>
      <c r="D101" s="35"/>
      <c r="E101" s="35">
        <f t="shared" si="19"/>
        <v>0</v>
      </c>
      <c r="F101" s="35"/>
      <c r="G101" s="35"/>
      <c r="H101" s="35"/>
      <c r="I101" s="35"/>
      <c r="J101" s="35"/>
      <c r="K101" s="35">
        <f t="shared" si="20"/>
        <v>0</v>
      </c>
      <c r="L101" s="35"/>
      <c r="M101" s="35">
        <v>0</v>
      </c>
      <c r="N101" s="35"/>
      <c r="O101" s="35"/>
      <c r="P101" s="35"/>
      <c r="Q101" s="35"/>
      <c r="R101" s="35"/>
      <c r="S101" s="35">
        <v>0</v>
      </c>
      <c r="T101" s="35"/>
      <c r="U101" s="35"/>
      <c r="V101" s="35"/>
      <c r="W101" s="35">
        <f t="shared" si="18"/>
        <v>0</v>
      </c>
      <c r="X101" s="35"/>
      <c r="Y101" s="35" t="s">
        <v>130</v>
      </c>
      <c r="Z101" s="55"/>
      <c r="AA101" s="35" t="s">
        <v>66</v>
      </c>
      <c r="AB101" s="35"/>
      <c r="AC101" s="35">
        <v>0</v>
      </c>
      <c r="AD101" s="35"/>
      <c r="AE101" s="35">
        <v>0</v>
      </c>
      <c r="AF101" s="35"/>
      <c r="AG101" s="35">
        <v>0</v>
      </c>
      <c r="AH101" s="35"/>
      <c r="AI101" s="45">
        <f t="shared" si="23"/>
        <v>0</v>
      </c>
      <c r="AJ101" s="45"/>
      <c r="AK101" s="35"/>
      <c r="AL101" s="35"/>
      <c r="AM101" s="35">
        <v>0</v>
      </c>
      <c r="AN101" s="35"/>
      <c r="AO101" s="35">
        <v>0</v>
      </c>
      <c r="AP101" s="35"/>
      <c r="AQ101" s="35">
        <v>0</v>
      </c>
      <c r="AR101" s="35"/>
      <c r="AS101" s="45">
        <f t="shared" si="17"/>
        <v>0</v>
      </c>
      <c r="AT101" s="45"/>
      <c r="AU101" s="35">
        <v>0</v>
      </c>
      <c r="AV101" s="35"/>
      <c r="AW101" s="35">
        <v>0</v>
      </c>
      <c r="AX101" s="35"/>
      <c r="AY101" s="35">
        <f t="shared" si="21"/>
        <v>0</v>
      </c>
      <c r="AZ101" s="35"/>
      <c r="BA101" s="35" t="s">
        <v>130</v>
      </c>
      <c r="BB101" s="55"/>
      <c r="BC101" s="35" t="s">
        <v>66</v>
      </c>
      <c r="BD101" s="35"/>
      <c r="BE101" s="35"/>
      <c r="BF101" s="35"/>
      <c r="BG101" s="35"/>
      <c r="BH101" s="35"/>
      <c r="BI101" s="35"/>
      <c r="BJ101" s="35"/>
      <c r="BK101" s="35"/>
      <c r="BL101" s="35"/>
      <c r="BM101" s="35">
        <f t="shared" si="24"/>
        <v>0</v>
      </c>
      <c r="BN101" s="54" t="s">
        <v>347</v>
      </c>
    </row>
    <row r="102" spans="1:67" ht="12.75" customHeight="1">
      <c r="A102" s="35" t="s">
        <v>131</v>
      </c>
      <c r="C102" s="35" t="s">
        <v>13</v>
      </c>
      <c r="D102" s="35"/>
      <c r="E102" s="35">
        <f t="shared" si="19"/>
        <v>22409990</v>
      </c>
      <c r="F102" s="35"/>
      <c r="G102" s="35">
        <v>7171719</v>
      </c>
      <c r="H102" s="35"/>
      <c r="I102" s="35">
        <v>29581709</v>
      </c>
      <c r="J102" s="35"/>
      <c r="K102" s="35">
        <f t="shared" si="20"/>
        <v>5612941</v>
      </c>
      <c r="L102" s="35"/>
      <c r="M102" s="35">
        <v>2928160</v>
      </c>
      <c r="N102" s="35"/>
      <c r="O102" s="35">
        <v>8541101</v>
      </c>
      <c r="P102" s="35"/>
      <c r="Q102" s="35">
        <v>3916956</v>
      </c>
      <c r="R102" s="35"/>
      <c r="S102" s="35">
        <v>0</v>
      </c>
      <c r="T102" s="35"/>
      <c r="U102" s="35">
        <v>17123652</v>
      </c>
      <c r="V102" s="35"/>
      <c r="W102" s="35">
        <f t="shared" si="18"/>
        <v>21040608</v>
      </c>
      <c r="X102" s="35"/>
      <c r="Y102" s="35" t="s">
        <v>131</v>
      </c>
      <c r="Z102" s="55"/>
      <c r="AA102" s="35" t="s">
        <v>13</v>
      </c>
      <c r="AB102" s="35"/>
      <c r="AC102" s="35">
        <v>17192574</v>
      </c>
      <c r="AD102" s="35"/>
      <c r="AE102" s="35">
        <f>15976546-428814</f>
        <v>15547732</v>
      </c>
      <c r="AF102" s="35"/>
      <c r="AG102" s="35">
        <v>428814</v>
      </c>
      <c r="AH102" s="35"/>
      <c r="AI102" s="45">
        <f t="shared" si="23"/>
        <v>1216028</v>
      </c>
      <c r="AJ102" s="45"/>
      <c r="AK102" s="35">
        <v>-333366</v>
      </c>
      <c r="AL102" s="35"/>
      <c r="AM102" s="35">
        <v>0</v>
      </c>
      <c r="AN102" s="35"/>
      <c r="AO102" s="35">
        <v>0</v>
      </c>
      <c r="AP102" s="35"/>
      <c r="AQ102" s="35">
        <v>0</v>
      </c>
      <c r="AR102" s="35"/>
      <c r="AS102" s="45">
        <f t="shared" si="17"/>
        <v>882662</v>
      </c>
      <c r="AT102" s="45"/>
      <c r="AU102" s="35">
        <v>0</v>
      </c>
      <c r="AV102" s="35"/>
      <c r="AW102" s="35">
        <v>0</v>
      </c>
      <c r="AX102" s="35"/>
      <c r="AY102" s="35">
        <f t="shared" si="21"/>
        <v>16797049</v>
      </c>
      <c r="AZ102" s="35"/>
      <c r="BA102" s="35" t="s">
        <v>131</v>
      </c>
      <c r="BB102" s="55"/>
      <c r="BC102" s="35" t="s">
        <v>13</v>
      </c>
      <c r="BD102" s="35"/>
      <c r="BE102" s="35">
        <f>920000+1825000</f>
        <v>2745000</v>
      </c>
      <c r="BF102" s="35"/>
      <c r="BG102" s="35">
        <v>0</v>
      </c>
      <c r="BH102" s="35"/>
      <c r="BI102" s="35">
        <v>0</v>
      </c>
      <c r="BJ102" s="35"/>
      <c r="BK102" s="35">
        <v>0</v>
      </c>
      <c r="BL102" s="35"/>
      <c r="BM102" s="35">
        <f t="shared" si="24"/>
        <v>2745000</v>
      </c>
      <c r="BN102" s="54" t="s">
        <v>347</v>
      </c>
    </row>
    <row r="103" spans="1:67" ht="12.75" hidden="1" customHeight="1">
      <c r="A103" s="35" t="s">
        <v>38</v>
      </c>
      <c r="C103" s="35" t="s">
        <v>132</v>
      </c>
      <c r="D103" s="35"/>
      <c r="E103" s="35">
        <f t="shared" si="19"/>
        <v>0</v>
      </c>
      <c r="F103" s="35"/>
      <c r="G103" s="35"/>
      <c r="H103" s="35"/>
      <c r="I103" s="35"/>
      <c r="J103" s="35"/>
      <c r="K103" s="35">
        <f t="shared" si="20"/>
        <v>0</v>
      </c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>
        <f t="shared" si="18"/>
        <v>0</v>
      </c>
      <c r="X103" s="35"/>
      <c r="Y103" s="35" t="s">
        <v>38</v>
      </c>
      <c r="Z103" s="55"/>
      <c r="AA103" s="35" t="s">
        <v>132</v>
      </c>
      <c r="AB103" s="35"/>
      <c r="AC103" s="35"/>
      <c r="AD103" s="35"/>
      <c r="AE103" s="35"/>
      <c r="AF103" s="35"/>
      <c r="AG103" s="35"/>
      <c r="AH103" s="35"/>
      <c r="AI103" s="45">
        <f t="shared" si="23"/>
        <v>0</v>
      </c>
      <c r="AJ103" s="45"/>
      <c r="AK103" s="35"/>
      <c r="AL103" s="35"/>
      <c r="AM103" s="35"/>
      <c r="AN103" s="35"/>
      <c r="AO103" s="35"/>
      <c r="AP103" s="35"/>
      <c r="AQ103" s="35"/>
      <c r="AR103" s="35"/>
      <c r="AS103" s="45">
        <f t="shared" ref="AS103:AS108" si="25">+AI103+AK103+AM103-AO103+AQ103</f>
        <v>0</v>
      </c>
      <c r="AT103" s="45"/>
      <c r="AU103" s="35">
        <v>0</v>
      </c>
      <c r="AV103" s="35"/>
      <c r="AW103" s="35">
        <v>0</v>
      </c>
      <c r="AX103" s="35"/>
      <c r="AY103" s="35">
        <f t="shared" si="21"/>
        <v>0</v>
      </c>
      <c r="AZ103" s="35"/>
      <c r="BA103" s="35" t="s">
        <v>38</v>
      </c>
      <c r="BB103" s="55"/>
      <c r="BC103" s="35" t="s">
        <v>132</v>
      </c>
      <c r="BD103" s="35"/>
      <c r="BE103" s="35"/>
      <c r="BF103" s="35"/>
      <c r="BG103" s="35"/>
      <c r="BH103" s="35"/>
      <c r="BI103" s="35"/>
      <c r="BJ103" s="35"/>
      <c r="BK103" s="35"/>
      <c r="BL103" s="35"/>
      <c r="BM103" s="35">
        <f t="shared" si="24"/>
        <v>0</v>
      </c>
      <c r="BN103" s="54" t="s">
        <v>347</v>
      </c>
    </row>
    <row r="104" spans="1:67" ht="12.75" hidden="1" customHeight="1">
      <c r="A104" s="35" t="s">
        <v>133</v>
      </c>
      <c r="C104" s="35" t="s">
        <v>27</v>
      </c>
      <c r="D104" s="35"/>
      <c r="E104" s="35">
        <f t="shared" si="19"/>
        <v>0</v>
      </c>
      <c r="F104" s="35"/>
      <c r="G104" s="35"/>
      <c r="H104" s="35"/>
      <c r="I104" s="35"/>
      <c r="J104" s="35"/>
      <c r="K104" s="35">
        <f t="shared" si="20"/>
        <v>0</v>
      </c>
      <c r="L104" s="35"/>
      <c r="M104" s="35">
        <v>0</v>
      </c>
      <c r="N104" s="35"/>
      <c r="O104" s="35"/>
      <c r="P104" s="35"/>
      <c r="Q104" s="35"/>
      <c r="R104" s="35"/>
      <c r="S104" s="35">
        <v>0</v>
      </c>
      <c r="T104" s="35"/>
      <c r="U104" s="35"/>
      <c r="V104" s="35"/>
      <c r="W104" s="35">
        <f t="shared" si="18"/>
        <v>0</v>
      </c>
      <c r="X104" s="35"/>
      <c r="Y104" s="35" t="s">
        <v>133</v>
      </c>
      <c r="Z104" s="55"/>
      <c r="AA104" s="35" t="s">
        <v>27</v>
      </c>
      <c r="AB104" s="35"/>
      <c r="AC104" s="35">
        <v>0</v>
      </c>
      <c r="AD104" s="35"/>
      <c r="AE104" s="35">
        <v>0</v>
      </c>
      <c r="AF104" s="35"/>
      <c r="AG104" s="35">
        <v>0</v>
      </c>
      <c r="AH104" s="35"/>
      <c r="AI104" s="45">
        <v>0</v>
      </c>
      <c r="AJ104" s="45"/>
      <c r="AK104" s="35"/>
      <c r="AL104" s="35"/>
      <c r="AM104" s="35">
        <v>0</v>
      </c>
      <c r="AN104" s="35"/>
      <c r="AO104" s="35">
        <v>0</v>
      </c>
      <c r="AP104" s="35"/>
      <c r="AQ104" s="35">
        <v>0</v>
      </c>
      <c r="AR104" s="35"/>
      <c r="AS104" s="45">
        <f t="shared" si="25"/>
        <v>0</v>
      </c>
      <c r="AT104" s="45"/>
      <c r="AU104" s="35">
        <v>0</v>
      </c>
      <c r="AV104" s="35"/>
      <c r="AW104" s="35">
        <v>0</v>
      </c>
      <c r="AX104" s="35"/>
      <c r="AY104" s="35">
        <f t="shared" si="21"/>
        <v>0</v>
      </c>
      <c r="AZ104" s="35"/>
      <c r="BA104" s="35" t="s">
        <v>133</v>
      </c>
      <c r="BB104" s="55"/>
      <c r="BC104" s="35" t="s">
        <v>27</v>
      </c>
      <c r="BD104" s="35"/>
      <c r="BE104" s="35"/>
      <c r="BF104" s="35"/>
      <c r="BG104" s="35"/>
      <c r="BH104" s="35"/>
      <c r="BI104" s="35"/>
      <c r="BJ104" s="35"/>
      <c r="BK104" s="35"/>
      <c r="BL104" s="35"/>
      <c r="BM104" s="35">
        <f t="shared" si="24"/>
        <v>0</v>
      </c>
      <c r="BN104" s="54" t="s">
        <v>347</v>
      </c>
    </row>
    <row r="105" spans="1:67" ht="12.75" hidden="1" customHeight="1">
      <c r="A105" s="35" t="s">
        <v>134</v>
      </c>
      <c r="C105" s="35" t="s">
        <v>135</v>
      </c>
      <c r="D105" s="35"/>
      <c r="E105" s="35">
        <f t="shared" si="19"/>
        <v>0</v>
      </c>
      <c r="F105" s="35"/>
      <c r="G105" s="35"/>
      <c r="H105" s="35"/>
      <c r="I105" s="35"/>
      <c r="J105" s="35"/>
      <c r="K105" s="35">
        <f t="shared" si="20"/>
        <v>0</v>
      </c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>
        <f t="shared" si="18"/>
        <v>0</v>
      </c>
      <c r="X105" s="35"/>
      <c r="Y105" s="35" t="s">
        <v>134</v>
      </c>
      <c r="Z105" s="55"/>
      <c r="AA105" s="35" t="s">
        <v>135</v>
      </c>
      <c r="AB105" s="35"/>
      <c r="AC105" s="35"/>
      <c r="AD105" s="35"/>
      <c r="AE105" s="35"/>
      <c r="AF105" s="35"/>
      <c r="AG105" s="35"/>
      <c r="AH105" s="35"/>
      <c r="AI105" s="45">
        <f>+AC105-AE105-AG105</f>
        <v>0</v>
      </c>
      <c r="AJ105" s="45"/>
      <c r="AK105" s="35"/>
      <c r="AL105" s="35"/>
      <c r="AM105" s="35"/>
      <c r="AN105" s="35"/>
      <c r="AO105" s="35"/>
      <c r="AP105" s="35"/>
      <c r="AQ105" s="35"/>
      <c r="AR105" s="35"/>
      <c r="AS105" s="45">
        <f t="shared" si="25"/>
        <v>0</v>
      </c>
      <c r="AT105" s="45"/>
      <c r="AU105" s="35">
        <v>0</v>
      </c>
      <c r="AV105" s="35"/>
      <c r="AW105" s="35">
        <v>0</v>
      </c>
      <c r="AX105" s="35"/>
      <c r="AY105" s="35">
        <f t="shared" si="21"/>
        <v>0</v>
      </c>
      <c r="AZ105" s="35"/>
      <c r="BA105" s="35" t="s">
        <v>134</v>
      </c>
      <c r="BB105" s="55"/>
      <c r="BC105" s="35" t="s">
        <v>135</v>
      </c>
      <c r="BD105" s="35"/>
      <c r="BE105" s="35"/>
      <c r="BF105" s="35"/>
      <c r="BG105" s="35"/>
      <c r="BH105" s="35"/>
      <c r="BI105" s="35"/>
      <c r="BJ105" s="35"/>
      <c r="BK105" s="35"/>
      <c r="BL105" s="35"/>
      <c r="BM105" s="35">
        <f t="shared" si="24"/>
        <v>0</v>
      </c>
      <c r="BN105" s="54" t="s">
        <v>347</v>
      </c>
    </row>
    <row r="106" spans="1:67" ht="12.75" customHeight="1">
      <c r="A106" s="35" t="s">
        <v>136</v>
      </c>
      <c r="C106" s="35" t="s">
        <v>136</v>
      </c>
      <c r="D106" s="35"/>
      <c r="E106" s="35">
        <f t="shared" si="19"/>
        <v>9656421</v>
      </c>
      <c r="F106" s="35"/>
      <c r="G106" s="35">
        <v>8070014</v>
      </c>
      <c r="H106" s="35"/>
      <c r="I106" s="35">
        <v>17726435</v>
      </c>
      <c r="J106" s="35"/>
      <c r="K106" s="35">
        <f t="shared" si="20"/>
        <v>388262</v>
      </c>
      <c r="L106" s="35"/>
      <c r="M106" s="35">
        <v>4872372</v>
      </c>
      <c r="N106" s="35"/>
      <c r="O106" s="35">
        <v>5260634</v>
      </c>
      <c r="P106" s="35"/>
      <c r="Q106" s="35">
        <v>2636347</v>
      </c>
      <c r="R106" s="35"/>
      <c r="S106" s="35">
        <v>588477</v>
      </c>
      <c r="T106" s="35"/>
      <c r="U106" s="35">
        <v>9240977</v>
      </c>
      <c r="V106" s="35"/>
      <c r="W106" s="35">
        <f t="shared" si="18"/>
        <v>12465801</v>
      </c>
      <c r="X106" s="35"/>
      <c r="Y106" s="35" t="s">
        <v>136</v>
      </c>
      <c r="Z106" s="55"/>
      <c r="AA106" s="35" t="s">
        <v>136</v>
      </c>
      <c r="AB106" s="35"/>
      <c r="AC106" s="35">
        <v>15055997</v>
      </c>
      <c r="AD106" s="35"/>
      <c r="AE106" s="35">
        <f>13167887-208189</f>
        <v>12959698</v>
      </c>
      <c r="AF106" s="35"/>
      <c r="AG106" s="35">
        <v>208189</v>
      </c>
      <c r="AH106" s="35"/>
      <c r="AI106" s="45">
        <f>+AC106-AE106-AG106</f>
        <v>1888110</v>
      </c>
      <c r="AJ106" s="45"/>
      <c r="AK106" s="35">
        <v>-190164</v>
      </c>
      <c r="AL106" s="35"/>
      <c r="AM106" s="35">
        <v>0</v>
      </c>
      <c r="AN106" s="35"/>
      <c r="AO106" s="35">
        <v>-742</v>
      </c>
      <c r="AP106" s="35"/>
      <c r="AQ106" s="35">
        <v>0</v>
      </c>
      <c r="AR106" s="35"/>
      <c r="AS106" s="45">
        <f t="shared" si="25"/>
        <v>1698688</v>
      </c>
      <c r="AT106" s="45"/>
      <c r="AU106" s="35">
        <v>0</v>
      </c>
      <c r="AV106" s="35"/>
      <c r="AW106" s="35">
        <v>0</v>
      </c>
      <c r="AX106" s="35"/>
      <c r="AY106" s="35">
        <f t="shared" si="21"/>
        <v>9268159</v>
      </c>
      <c r="AZ106" s="35"/>
      <c r="BA106" s="35" t="s">
        <v>136</v>
      </c>
      <c r="BB106" s="55"/>
      <c r="BC106" s="35" t="s">
        <v>136</v>
      </c>
      <c r="BD106" s="35"/>
      <c r="BE106" s="35">
        <f>4860000-66000</f>
        <v>4794000</v>
      </c>
      <c r="BF106" s="35"/>
      <c r="BG106" s="35">
        <v>0</v>
      </c>
      <c r="BH106" s="35"/>
      <c r="BI106" s="35">
        <v>6011</v>
      </c>
      <c r="BJ106" s="35"/>
      <c r="BK106" s="35">
        <v>0</v>
      </c>
      <c r="BL106" s="35"/>
      <c r="BM106" s="35">
        <f t="shared" si="24"/>
        <v>4800011</v>
      </c>
      <c r="BN106" s="54" t="s">
        <v>347</v>
      </c>
    </row>
    <row r="107" spans="1:67" ht="12.75" hidden="1" customHeight="1">
      <c r="A107" s="35" t="s">
        <v>137</v>
      </c>
      <c r="C107" s="35" t="s">
        <v>22</v>
      </c>
      <c r="D107" s="35"/>
      <c r="E107" s="35">
        <f t="shared" si="19"/>
        <v>0</v>
      </c>
      <c r="F107" s="35"/>
      <c r="G107" s="35"/>
      <c r="H107" s="35"/>
      <c r="I107" s="35"/>
      <c r="J107" s="35"/>
      <c r="K107" s="35">
        <f t="shared" si="20"/>
        <v>0</v>
      </c>
      <c r="L107" s="35"/>
      <c r="M107" s="35">
        <v>0</v>
      </c>
      <c r="N107" s="35"/>
      <c r="O107" s="35"/>
      <c r="P107" s="35"/>
      <c r="Q107" s="35"/>
      <c r="R107" s="35"/>
      <c r="S107" s="35">
        <v>0</v>
      </c>
      <c r="T107" s="35"/>
      <c r="U107" s="35"/>
      <c r="V107" s="35"/>
      <c r="W107" s="35">
        <f t="shared" ref="W107:W138" si="26">SUM(Q107:U107)</f>
        <v>0</v>
      </c>
      <c r="X107" s="35"/>
      <c r="Y107" s="35" t="s">
        <v>137</v>
      </c>
      <c r="Z107" s="55"/>
      <c r="AA107" s="35" t="s">
        <v>22</v>
      </c>
      <c r="AB107" s="35"/>
      <c r="AC107" s="35">
        <v>0</v>
      </c>
      <c r="AD107" s="35"/>
      <c r="AE107" s="35">
        <v>0</v>
      </c>
      <c r="AF107" s="35"/>
      <c r="AG107" s="35">
        <v>0</v>
      </c>
      <c r="AH107" s="35"/>
      <c r="AI107" s="45">
        <v>0</v>
      </c>
      <c r="AJ107" s="45"/>
      <c r="AK107" s="35"/>
      <c r="AL107" s="35"/>
      <c r="AM107" s="35">
        <v>0</v>
      </c>
      <c r="AN107" s="35"/>
      <c r="AO107" s="35">
        <v>0</v>
      </c>
      <c r="AP107" s="35"/>
      <c r="AQ107" s="35">
        <v>0</v>
      </c>
      <c r="AR107" s="35"/>
      <c r="AS107" s="45">
        <f t="shared" si="25"/>
        <v>0</v>
      </c>
      <c r="AT107" s="45"/>
      <c r="AU107" s="35">
        <v>0</v>
      </c>
      <c r="AV107" s="35"/>
      <c r="AW107" s="35">
        <v>0</v>
      </c>
      <c r="AX107" s="35"/>
      <c r="AY107" s="35">
        <f t="shared" si="21"/>
        <v>0</v>
      </c>
      <c r="AZ107" s="35"/>
      <c r="BA107" s="35" t="s">
        <v>137</v>
      </c>
      <c r="BB107" s="55"/>
      <c r="BC107" s="35" t="s">
        <v>22</v>
      </c>
      <c r="BD107" s="35"/>
      <c r="BE107" s="35"/>
      <c r="BF107" s="35"/>
      <c r="BG107" s="35"/>
      <c r="BH107" s="35"/>
      <c r="BI107" s="35"/>
      <c r="BJ107" s="35"/>
      <c r="BK107" s="35"/>
      <c r="BL107" s="35"/>
      <c r="BM107" s="35">
        <f t="shared" si="24"/>
        <v>0</v>
      </c>
      <c r="BN107" s="54" t="s">
        <v>347</v>
      </c>
    </row>
    <row r="108" spans="1:67" ht="12.75" hidden="1" customHeight="1">
      <c r="A108" s="35" t="s">
        <v>138</v>
      </c>
      <c r="C108" s="35" t="s">
        <v>139</v>
      </c>
      <c r="D108" s="35"/>
      <c r="E108" s="35">
        <f t="shared" si="19"/>
        <v>0</v>
      </c>
      <c r="F108" s="35"/>
      <c r="G108" s="35"/>
      <c r="H108" s="35"/>
      <c r="I108" s="35"/>
      <c r="J108" s="35"/>
      <c r="K108" s="35">
        <f t="shared" si="20"/>
        <v>0</v>
      </c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>
        <f t="shared" si="26"/>
        <v>0</v>
      </c>
      <c r="X108" s="35"/>
      <c r="Y108" s="35" t="s">
        <v>138</v>
      </c>
      <c r="Z108" s="55"/>
      <c r="AA108" s="35" t="s">
        <v>139</v>
      </c>
      <c r="AB108" s="35"/>
      <c r="AC108" s="35"/>
      <c r="AD108" s="35"/>
      <c r="AE108" s="35"/>
      <c r="AF108" s="35"/>
      <c r="AG108" s="35"/>
      <c r="AH108" s="35"/>
      <c r="AI108" s="45">
        <f t="shared" ref="AI108:AI117" si="27">+AC108-AE108-AG108</f>
        <v>0</v>
      </c>
      <c r="AJ108" s="45"/>
      <c r="AK108" s="35"/>
      <c r="AL108" s="35"/>
      <c r="AM108" s="35"/>
      <c r="AN108" s="35"/>
      <c r="AO108" s="35"/>
      <c r="AP108" s="35"/>
      <c r="AQ108" s="35"/>
      <c r="AR108" s="35"/>
      <c r="AS108" s="45">
        <f t="shared" si="25"/>
        <v>0</v>
      </c>
      <c r="AT108" s="45"/>
      <c r="AU108" s="35">
        <v>0</v>
      </c>
      <c r="AV108" s="35"/>
      <c r="AW108" s="35">
        <v>0</v>
      </c>
      <c r="AX108" s="35"/>
      <c r="AY108" s="35">
        <f t="shared" si="21"/>
        <v>0</v>
      </c>
      <c r="AZ108" s="35"/>
      <c r="BA108" s="35" t="s">
        <v>138</v>
      </c>
      <c r="BB108" s="55"/>
      <c r="BC108" s="35" t="s">
        <v>139</v>
      </c>
      <c r="BD108" s="35"/>
      <c r="BE108" s="35"/>
      <c r="BF108" s="35"/>
      <c r="BG108" s="35"/>
      <c r="BH108" s="35"/>
      <c r="BI108" s="35"/>
      <c r="BJ108" s="35"/>
      <c r="BK108" s="35"/>
      <c r="BL108" s="35"/>
      <c r="BM108" s="35">
        <f t="shared" si="24"/>
        <v>0</v>
      </c>
      <c r="BN108" s="54" t="s">
        <v>347</v>
      </c>
    </row>
    <row r="109" spans="1:67" ht="12.75" hidden="1" customHeight="1">
      <c r="A109" s="35" t="s">
        <v>140</v>
      </c>
      <c r="C109" s="35" t="s">
        <v>66</v>
      </c>
      <c r="D109" s="35"/>
      <c r="E109" s="35">
        <f t="shared" si="19"/>
        <v>0</v>
      </c>
      <c r="F109" s="35"/>
      <c r="G109" s="35"/>
      <c r="H109" s="35"/>
      <c r="I109" s="35"/>
      <c r="J109" s="35"/>
      <c r="K109" s="35">
        <f t="shared" si="20"/>
        <v>0</v>
      </c>
      <c r="L109" s="35"/>
      <c r="M109" s="35">
        <v>0</v>
      </c>
      <c r="N109" s="35"/>
      <c r="O109" s="35"/>
      <c r="P109" s="35"/>
      <c r="Q109" s="35"/>
      <c r="R109" s="35"/>
      <c r="S109" s="35">
        <v>0</v>
      </c>
      <c r="T109" s="35"/>
      <c r="U109" s="35"/>
      <c r="V109" s="35"/>
      <c r="W109" s="35">
        <f t="shared" si="26"/>
        <v>0</v>
      </c>
      <c r="X109" s="35"/>
      <c r="Y109" s="35" t="s">
        <v>140</v>
      </c>
      <c r="Z109" s="55"/>
      <c r="AA109" s="35" t="s">
        <v>66</v>
      </c>
      <c r="AB109" s="35"/>
      <c r="AC109" s="35">
        <v>0</v>
      </c>
      <c r="AD109" s="35"/>
      <c r="AE109" s="35">
        <v>0</v>
      </c>
      <c r="AF109" s="35"/>
      <c r="AG109" s="35">
        <v>0</v>
      </c>
      <c r="AH109" s="35"/>
      <c r="AI109" s="45">
        <f t="shared" si="27"/>
        <v>0</v>
      </c>
      <c r="AJ109" s="45"/>
      <c r="AK109" s="35"/>
      <c r="AL109" s="35"/>
      <c r="AM109" s="35">
        <v>0</v>
      </c>
      <c r="AN109" s="35"/>
      <c r="AO109" s="35">
        <v>0</v>
      </c>
      <c r="AP109" s="35"/>
      <c r="AQ109" s="35">
        <v>0</v>
      </c>
      <c r="AR109" s="35"/>
      <c r="AS109" s="45">
        <v>0</v>
      </c>
      <c r="AT109" s="45"/>
      <c r="AU109" s="35">
        <v>0</v>
      </c>
      <c r="AV109" s="35"/>
      <c r="AW109" s="35">
        <v>0</v>
      </c>
      <c r="AX109" s="35"/>
      <c r="AY109" s="35">
        <v>0</v>
      </c>
      <c r="AZ109" s="35"/>
      <c r="BA109" s="35" t="s">
        <v>140</v>
      </c>
      <c r="BB109" s="55"/>
      <c r="BC109" s="35" t="s">
        <v>66</v>
      </c>
      <c r="BD109" s="35"/>
      <c r="BE109" s="35"/>
      <c r="BF109" s="35"/>
      <c r="BG109" s="35"/>
      <c r="BH109" s="35"/>
      <c r="BI109" s="35"/>
      <c r="BJ109" s="35"/>
      <c r="BK109" s="35"/>
      <c r="BL109" s="35"/>
      <c r="BM109" s="35">
        <f t="shared" si="24"/>
        <v>0</v>
      </c>
      <c r="BN109" s="54" t="s">
        <v>347</v>
      </c>
    </row>
    <row r="110" spans="1:67" ht="12.75" hidden="1" customHeight="1">
      <c r="A110" s="35" t="s">
        <v>141</v>
      </c>
      <c r="C110" s="35" t="s">
        <v>27</v>
      </c>
      <c r="D110" s="35"/>
      <c r="E110" s="35">
        <f t="shared" si="19"/>
        <v>0</v>
      </c>
      <c r="F110" s="35"/>
      <c r="G110" s="35"/>
      <c r="H110" s="35"/>
      <c r="I110" s="35"/>
      <c r="J110" s="35"/>
      <c r="K110" s="35">
        <f t="shared" si="20"/>
        <v>0</v>
      </c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>
        <f t="shared" si="26"/>
        <v>0</v>
      </c>
      <c r="X110" s="35"/>
      <c r="Y110" s="35" t="s">
        <v>141</v>
      </c>
      <c r="Z110" s="55"/>
      <c r="AA110" s="35" t="s">
        <v>27</v>
      </c>
      <c r="AB110" s="35"/>
      <c r="AC110" s="35"/>
      <c r="AD110" s="35"/>
      <c r="AE110" s="35"/>
      <c r="AF110" s="35"/>
      <c r="AG110" s="35"/>
      <c r="AH110" s="35"/>
      <c r="AI110" s="45">
        <f t="shared" si="27"/>
        <v>0</v>
      </c>
      <c r="AJ110" s="45"/>
      <c r="AK110" s="35"/>
      <c r="AL110" s="35"/>
      <c r="AM110" s="35"/>
      <c r="AN110" s="35"/>
      <c r="AO110" s="35"/>
      <c r="AP110" s="35"/>
      <c r="AQ110" s="35"/>
      <c r="AR110" s="35"/>
      <c r="AS110" s="45">
        <f t="shared" ref="AS110:AS141" si="28">+AI110+AK110+AM110-AO110+AQ110</f>
        <v>0</v>
      </c>
      <c r="AT110" s="45"/>
      <c r="AU110" s="35">
        <v>0</v>
      </c>
      <c r="AV110" s="35"/>
      <c r="AW110" s="35">
        <v>0</v>
      </c>
      <c r="AX110" s="35"/>
      <c r="AY110" s="35">
        <f t="shared" ref="AY110:AY141" si="29">+E110-K110</f>
        <v>0</v>
      </c>
      <c r="AZ110" s="35"/>
      <c r="BA110" s="35" t="s">
        <v>141</v>
      </c>
      <c r="BB110" s="55"/>
      <c r="BC110" s="35" t="s">
        <v>27</v>
      </c>
      <c r="BD110" s="35"/>
      <c r="BE110" s="35"/>
      <c r="BF110" s="35"/>
      <c r="BG110" s="35"/>
      <c r="BH110" s="35"/>
      <c r="BI110" s="35"/>
      <c r="BJ110" s="35"/>
      <c r="BK110" s="35"/>
      <c r="BL110" s="35"/>
      <c r="BM110" s="35">
        <f t="shared" si="24"/>
        <v>0</v>
      </c>
      <c r="BN110" s="54" t="s">
        <v>347</v>
      </c>
      <c r="BO110" s="55" t="s">
        <v>372</v>
      </c>
    </row>
    <row r="111" spans="1:67" ht="12.75" hidden="1" customHeight="1">
      <c r="A111" s="35" t="s">
        <v>142</v>
      </c>
      <c r="C111" s="35" t="s">
        <v>102</v>
      </c>
      <c r="D111" s="35"/>
      <c r="E111" s="35">
        <f t="shared" si="19"/>
        <v>0</v>
      </c>
      <c r="F111" s="35"/>
      <c r="G111" s="35"/>
      <c r="H111" s="35"/>
      <c r="I111" s="35"/>
      <c r="J111" s="35"/>
      <c r="K111" s="35">
        <f t="shared" si="20"/>
        <v>0</v>
      </c>
      <c r="L111" s="35"/>
      <c r="M111" s="35">
        <v>0</v>
      </c>
      <c r="N111" s="35"/>
      <c r="O111" s="35"/>
      <c r="P111" s="35"/>
      <c r="Q111" s="35"/>
      <c r="R111" s="35"/>
      <c r="S111" s="35">
        <v>0</v>
      </c>
      <c r="T111" s="35"/>
      <c r="U111" s="35"/>
      <c r="V111" s="35"/>
      <c r="W111" s="35">
        <f t="shared" si="26"/>
        <v>0</v>
      </c>
      <c r="X111" s="35"/>
      <c r="Y111" s="35" t="s">
        <v>142</v>
      </c>
      <c r="Z111" s="55"/>
      <c r="AA111" s="35" t="s">
        <v>102</v>
      </c>
      <c r="AB111" s="35"/>
      <c r="AC111" s="35">
        <v>0</v>
      </c>
      <c r="AD111" s="35"/>
      <c r="AE111" s="35">
        <v>0</v>
      </c>
      <c r="AF111" s="35"/>
      <c r="AG111" s="35">
        <v>0</v>
      </c>
      <c r="AH111" s="35"/>
      <c r="AI111" s="45">
        <f t="shared" si="27"/>
        <v>0</v>
      </c>
      <c r="AJ111" s="45"/>
      <c r="AK111" s="35"/>
      <c r="AL111" s="35"/>
      <c r="AM111" s="35">
        <v>0</v>
      </c>
      <c r="AN111" s="35"/>
      <c r="AO111" s="35">
        <v>0</v>
      </c>
      <c r="AP111" s="35"/>
      <c r="AQ111" s="35">
        <v>0</v>
      </c>
      <c r="AR111" s="35"/>
      <c r="AS111" s="45">
        <f t="shared" si="28"/>
        <v>0</v>
      </c>
      <c r="AT111" s="45"/>
      <c r="AU111" s="35">
        <v>0</v>
      </c>
      <c r="AV111" s="35"/>
      <c r="AW111" s="35">
        <v>0</v>
      </c>
      <c r="AX111" s="35"/>
      <c r="AY111" s="35">
        <f t="shared" si="29"/>
        <v>0</v>
      </c>
      <c r="AZ111" s="35"/>
      <c r="BA111" s="35" t="s">
        <v>142</v>
      </c>
      <c r="BB111" s="55"/>
      <c r="BC111" s="35" t="s">
        <v>102</v>
      </c>
      <c r="BD111" s="35"/>
      <c r="BE111" s="35"/>
      <c r="BF111" s="35"/>
      <c r="BG111" s="35"/>
      <c r="BH111" s="35"/>
      <c r="BI111" s="35"/>
      <c r="BJ111" s="35"/>
      <c r="BK111" s="35"/>
      <c r="BL111" s="35"/>
      <c r="BM111" s="35">
        <f t="shared" si="24"/>
        <v>0</v>
      </c>
      <c r="BN111" s="54" t="s">
        <v>347</v>
      </c>
      <c r="BO111" s="55" t="s">
        <v>372</v>
      </c>
    </row>
    <row r="112" spans="1:67" ht="12.75" customHeight="1">
      <c r="A112" s="35" t="s">
        <v>143</v>
      </c>
      <c r="C112" s="35" t="s">
        <v>111</v>
      </c>
      <c r="D112" s="35"/>
      <c r="E112" s="35">
        <f t="shared" si="19"/>
        <v>17315564</v>
      </c>
      <c r="F112" s="35"/>
      <c r="G112" s="35">
        <v>20431706</v>
      </c>
      <c r="H112" s="35"/>
      <c r="I112" s="35">
        <v>37747270</v>
      </c>
      <c r="J112" s="35"/>
      <c r="K112" s="35">
        <f t="shared" si="20"/>
        <v>1498304</v>
      </c>
      <c r="L112" s="35"/>
      <c r="M112" s="35">
        <v>18262918</v>
      </c>
      <c r="N112" s="35"/>
      <c r="O112" s="35">
        <v>19761222</v>
      </c>
      <c r="P112" s="35"/>
      <c r="Q112" s="35">
        <v>-3383428</v>
      </c>
      <c r="R112" s="35"/>
      <c r="S112" s="35">
        <f>492500+5155079</f>
        <v>5647579</v>
      </c>
      <c r="T112" s="35"/>
      <c r="U112" s="35">
        <v>15721897</v>
      </c>
      <c r="V112" s="35"/>
      <c r="W112" s="35">
        <f t="shared" si="26"/>
        <v>17986048</v>
      </c>
      <c r="X112" s="35"/>
      <c r="Y112" s="35" t="s">
        <v>143</v>
      </c>
      <c r="Z112" s="55"/>
      <c r="AA112" s="35" t="s">
        <v>111</v>
      </c>
      <c r="AB112" s="35"/>
      <c r="AC112" s="35">
        <v>28337525</v>
      </c>
      <c r="AD112" s="35"/>
      <c r="AE112" s="35">
        <f>25918196-986504</f>
        <v>24931692</v>
      </c>
      <c r="AF112" s="35"/>
      <c r="AG112" s="35">
        <v>986504</v>
      </c>
      <c r="AH112" s="35"/>
      <c r="AI112" s="45">
        <f t="shared" si="27"/>
        <v>2419329</v>
      </c>
      <c r="AJ112" s="45"/>
      <c r="AK112" s="35">
        <v>-445736</v>
      </c>
      <c r="AL112" s="35"/>
      <c r="AM112" s="35">
        <v>16055</v>
      </c>
      <c r="AN112" s="35"/>
      <c r="AO112" s="35">
        <v>3546158</v>
      </c>
      <c r="AP112" s="35"/>
      <c r="AQ112" s="35">
        <v>0</v>
      </c>
      <c r="AR112" s="35"/>
      <c r="AS112" s="45">
        <f t="shared" si="28"/>
        <v>-1556510</v>
      </c>
      <c r="AT112" s="45"/>
      <c r="AU112" s="35">
        <v>0</v>
      </c>
      <c r="AV112" s="35"/>
      <c r="AW112" s="35">
        <v>0</v>
      </c>
      <c r="AX112" s="35"/>
      <c r="AY112" s="35">
        <f t="shared" si="29"/>
        <v>15817260</v>
      </c>
      <c r="AZ112" s="35"/>
      <c r="BA112" s="35" t="s">
        <v>143</v>
      </c>
      <c r="BB112" s="55"/>
      <c r="BC112" s="35" t="s">
        <v>111</v>
      </c>
      <c r="BD112" s="35"/>
      <c r="BE112" s="35">
        <f>15295000+125839-887607+4385000-7503</f>
        <v>18910729</v>
      </c>
      <c r="BF112" s="35"/>
      <c r="BG112" s="35">
        <v>0</v>
      </c>
      <c r="BH112" s="35"/>
      <c r="BI112" s="35">
        <v>0</v>
      </c>
      <c r="BJ112" s="35"/>
      <c r="BK112" s="35">
        <v>0</v>
      </c>
      <c r="BL112" s="35"/>
      <c r="BM112" s="35">
        <f t="shared" si="24"/>
        <v>18910729</v>
      </c>
      <c r="BN112" s="54" t="s">
        <v>347</v>
      </c>
      <c r="BO112" s="55" t="s">
        <v>315</v>
      </c>
    </row>
    <row r="113" spans="1:66" ht="12.75" hidden="1" customHeight="1">
      <c r="A113" s="35" t="s">
        <v>144</v>
      </c>
      <c r="C113" s="35" t="s">
        <v>88</v>
      </c>
      <c r="D113" s="35"/>
      <c r="E113" s="35">
        <f t="shared" si="19"/>
        <v>0</v>
      </c>
      <c r="F113" s="35"/>
      <c r="G113" s="35"/>
      <c r="H113" s="35"/>
      <c r="I113" s="35"/>
      <c r="J113" s="35"/>
      <c r="K113" s="35">
        <f t="shared" si="20"/>
        <v>0</v>
      </c>
      <c r="L113" s="35"/>
      <c r="M113" s="35">
        <v>0</v>
      </c>
      <c r="N113" s="35"/>
      <c r="O113" s="35"/>
      <c r="P113" s="35"/>
      <c r="Q113" s="35"/>
      <c r="R113" s="35"/>
      <c r="S113" s="35">
        <v>0</v>
      </c>
      <c r="T113" s="35"/>
      <c r="U113" s="35"/>
      <c r="V113" s="35"/>
      <c r="W113" s="35">
        <f t="shared" si="26"/>
        <v>0</v>
      </c>
      <c r="X113" s="35"/>
      <c r="Y113" s="35" t="s">
        <v>144</v>
      </c>
      <c r="Z113" s="55"/>
      <c r="AA113" s="35" t="s">
        <v>88</v>
      </c>
      <c r="AB113" s="35"/>
      <c r="AC113" s="35">
        <v>0</v>
      </c>
      <c r="AD113" s="35"/>
      <c r="AE113" s="35">
        <v>0</v>
      </c>
      <c r="AF113" s="35"/>
      <c r="AG113" s="35">
        <v>0</v>
      </c>
      <c r="AH113" s="35"/>
      <c r="AI113" s="45">
        <f t="shared" si="27"/>
        <v>0</v>
      </c>
      <c r="AJ113" s="45"/>
      <c r="AK113" s="35"/>
      <c r="AL113" s="35"/>
      <c r="AM113" s="35">
        <v>0</v>
      </c>
      <c r="AN113" s="35"/>
      <c r="AO113" s="35">
        <v>0</v>
      </c>
      <c r="AP113" s="35"/>
      <c r="AQ113" s="35">
        <v>0</v>
      </c>
      <c r="AR113" s="35"/>
      <c r="AS113" s="45">
        <f t="shared" si="28"/>
        <v>0</v>
      </c>
      <c r="AT113" s="45"/>
      <c r="AU113" s="35">
        <v>0</v>
      </c>
      <c r="AV113" s="35"/>
      <c r="AW113" s="35">
        <v>0</v>
      </c>
      <c r="AX113" s="35"/>
      <c r="AY113" s="35">
        <f t="shared" si="29"/>
        <v>0</v>
      </c>
      <c r="AZ113" s="35"/>
      <c r="BA113" s="35" t="s">
        <v>144</v>
      </c>
      <c r="BB113" s="55"/>
      <c r="BC113" s="35" t="s">
        <v>88</v>
      </c>
      <c r="BD113" s="35"/>
      <c r="BE113" s="35"/>
      <c r="BF113" s="35"/>
      <c r="BG113" s="35"/>
      <c r="BH113" s="35"/>
      <c r="BI113" s="35"/>
      <c r="BJ113" s="35"/>
      <c r="BK113" s="35"/>
      <c r="BL113" s="35"/>
      <c r="BM113" s="35">
        <f t="shared" si="24"/>
        <v>0</v>
      </c>
      <c r="BN113" s="54" t="s">
        <v>347</v>
      </c>
    </row>
    <row r="114" spans="1:66" ht="12.75" hidden="1" customHeight="1">
      <c r="A114" s="35" t="s">
        <v>36</v>
      </c>
      <c r="C114" s="35" t="s">
        <v>145</v>
      </c>
      <c r="D114" s="35"/>
      <c r="E114" s="35">
        <f t="shared" si="19"/>
        <v>0</v>
      </c>
      <c r="F114" s="35"/>
      <c r="G114" s="35"/>
      <c r="H114" s="35"/>
      <c r="I114" s="35"/>
      <c r="J114" s="35"/>
      <c r="K114" s="35">
        <f t="shared" si="20"/>
        <v>0</v>
      </c>
      <c r="L114" s="35"/>
      <c r="M114" s="35">
        <v>0</v>
      </c>
      <c r="N114" s="35"/>
      <c r="O114" s="35"/>
      <c r="P114" s="35"/>
      <c r="Q114" s="35"/>
      <c r="R114" s="35"/>
      <c r="S114" s="35">
        <v>0</v>
      </c>
      <c r="T114" s="35"/>
      <c r="U114" s="35"/>
      <c r="V114" s="35"/>
      <c r="W114" s="35">
        <f t="shared" si="26"/>
        <v>0</v>
      </c>
      <c r="X114" s="35"/>
      <c r="Y114" s="35" t="s">
        <v>36</v>
      </c>
      <c r="Z114" s="55"/>
      <c r="AA114" s="35" t="s">
        <v>145</v>
      </c>
      <c r="AB114" s="35"/>
      <c r="AC114" s="35">
        <v>0</v>
      </c>
      <c r="AD114" s="35"/>
      <c r="AE114" s="35">
        <v>0</v>
      </c>
      <c r="AF114" s="35"/>
      <c r="AG114" s="35">
        <v>0</v>
      </c>
      <c r="AH114" s="35"/>
      <c r="AI114" s="45">
        <f t="shared" si="27"/>
        <v>0</v>
      </c>
      <c r="AJ114" s="45"/>
      <c r="AK114" s="35"/>
      <c r="AL114" s="35"/>
      <c r="AM114" s="35">
        <v>0</v>
      </c>
      <c r="AN114" s="35"/>
      <c r="AO114" s="35">
        <v>0</v>
      </c>
      <c r="AP114" s="35"/>
      <c r="AQ114" s="35">
        <v>0</v>
      </c>
      <c r="AR114" s="35"/>
      <c r="AS114" s="45">
        <f t="shared" si="28"/>
        <v>0</v>
      </c>
      <c r="AT114" s="45"/>
      <c r="AU114" s="35">
        <v>0</v>
      </c>
      <c r="AV114" s="35"/>
      <c r="AW114" s="35">
        <v>0</v>
      </c>
      <c r="AX114" s="35"/>
      <c r="AY114" s="35">
        <f t="shared" si="29"/>
        <v>0</v>
      </c>
      <c r="AZ114" s="35"/>
      <c r="BA114" s="35" t="s">
        <v>36</v>
      </c>
      <c r="BB114" s="55"/>
      <c r="BC114" s="35" t="s">
        <v>145</v>
      </c>
      <c r="BD114" s="35"/>
      <c r="BE114" s="35"/>
      <c r="BF114" s="35"/>
      <c r="BG114" s="35"/>
      <c r="BH114" s="35"/>
      <c r="BI114" s="35"/>
      <c r="BJ114" s="35"/>
      <c r="BK114" s="35"/>
      <c r="BL114" s="35"/>
      <c r="BM114" s="35">
        <f t="shared" si="24"/>
        <v>0</v>
      </c>
      <c r="BN114" s="54" t="s">
        <v>347</v>
      </c>
    </row>
    <row r="115" spans="1:66" ht="12.75" hidden="1" customHeight="1">
      <c r="A115" s="35" t="s">
        <v>146</v>
      </c>
      <c r="C115" s="35" t="s">
        <v>147</v>
      </c>
      <c r="D115" s="35"/>
      <c r="E115" s="35">
        <f t="shared" si="19"/>
        <v>0</v>
      </c>
      <c r="F115" s="35"/>
      <c r="G115" s="35"/>
      <c r="H115" s="35"/>
      <c r="I115" s="35"/>
      <c r="J115" s="35"/>
      <c r="K115" s="35">
        <f t="shared" si="20"/>
        <v>0</v>
      </c>
      <c r="L115" s="35"/>
      <c r="M115" s="35">
        <v>0</v>
      </c>
      <c r="N115" s="35"/>
      <c r="O115" s="35"/>
      <c r="P115" s="35"/>
      <c r="Q115" s="35"/>
      <c r="R115" s="35"/>
      <c r="S115" s="35">
        <v>0</v>
      </c>
      <c r="T115" s="35"/>
      <c r="U115" s="35"/>
      <c r="V115" s="35"/>
      <c r="W115" s="35">
        <f t="shared" si="26"/>
        <v>0</v>
      </c>
      <c r="X115" s="35"/>
      <c r="Y115" s="35" t="s">
        <v>146</v>
      </c>
      <c r="Z115" s="55"/>
      <c r="AA115" s="35" t="s">
        <v>147</v>
      </c>
      <c r="AB115" s="35"/>
      <c r="AC115" s="35">
        <v>0</v>
      </c>
      <c r="AD115" s="35"/>
      <c r="AE115" s="35">
        <v>0</v>
      </c>
      <c r="AF115" s="35"/>
      <c r="AG115" s="35">
        <v>0</v>
      </c>
      <c r="AH115" s="35"/>
      <c r="AI115" s="45">
        <f t="shared" si="27"/>
        <v>0</v>
      </c>
      <c r="AJ115" s="45"/>
      <c r="AK115" s="35"/>
      <c r="AL115" s="35"/>
      <c r="AM115" s="35">
        <v>0</v>
      </c>
      <c r="AN115" s="35"/>
      <c r="AO115" s="35">
        <v>0</v>
      </c>
      <c r="AP115" s="35"/>
      <c r="AQ115" s="35">
        <v>0</v>
      </c>
      <c r="AR115" s="35"/>
      <c r="AS115" s="45">
        <f t="shared" si="28"/>
        <v>0</v>
      </c>
      <c r="AT115" s="45"/>
      <c r="AU115" s="35">
        <v>0</v>
      </c>
      <c r="AV115" s="35"/>
      <c r="AW115" s="35">
        <v>0</v>
      </c>
      <c r="AX115" s="35"/>
      <c r="AY115" s="35">
        <f t="shared" si="29"/>
        <v>0</v>
      </c>
      <c r="AZ115" s="35"/>
      <c r="BA115" s="35" t="s">
        <v>146</v>
      </c>
      <c r="BB115" s="55"/>
      <c r="BC115" s="35" t="s">
        <v>147</v>
      </c>
      <c r="BD115" s="35"/>
      <c r="BE115" s="35"/>
      <c r="BF115" s="35"/>
      <c r="BG115" s="35"/>
      <c r="BH115" s="35"/>
      <c r="BI115" s="35"/>
      <c r="BJ115" s="35"/>
      <c r="BK115" s="35"/>
      <c r="BL115" s="35"/>
      <c r="BM115" s="35">
        <f t="shared" si="24"/>
        <v>0</v>
      </c>
      <c r="BN115" s="54" t="s">
        <v>347</v>
      </c>
    </row>
    <row r="116" spans="1:66" ht="12.75" hidden="1" customHeight="1">
      <c r="A116" s="35" t="s">
        <v>17</v>
      </c>
      <c r="C116" s="35" t="s">
        <v>17</v>
      </c>
      <c r="D116" s="35"/>
      <c r="E116" s="35">
        <f t="shared" si="19"/>
        <v>0</v>
      </c>
      <c r="F116" s="35"/>
      <c r="G116" s="35"/>
      <c r="H116" s="35"/>
      <c r="I116" s="35"/>
      <c r="J116" s="35"/>
      <c r="K116" s="35">
        <f t="shared" si="20"/>
        <v>0</v>
      </c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>
        <f t="shared" si="26"/>
        <v>0</v>
      </c>
      <c r="X116" s="35"/>
      <c r="Y116" s="35" t="s">
        <v>17</v>
      </c>
      <c r="Z116" s="55"/>
      <c r="AA116" s="35" t="s">
        <v>17</v>
      </c>
      <c r="AB116" s="35"/>
      <c r="AC116" s="35"/>
      <c r="AD116" s="35"/>
      <c r="AE116" s="35"/>
      <c r="AF116" s="35"/>
      <c r="AG116" s="35"/>
      <c r="AH116" s="35"/>
      <c r="AI116" s="45">
        <f t="shared" si="27"/>
        <v>0</v>
      </c>
      <c r="AJ116" s="45"/>
      <c r="AK116" s="35"/>
      <c r="AL116" s="35"/>
      <c r="AM116" s="35"/>
      <c r="AN116" s="35"/>
      <c r="AO116" s="35"/>
      <c r="AP116" s="35"/>
      <c r="AQ116" s="35"/>
      <c r="AR116" s="35"/>
      <c r="AS116" s="45">
        <f t="shared" si="28"/>
        <v>0</v>
      </c>
      <c r="AT116" s="45"/>
      <c r="AU116" s="35">
        <v>0</v>
      </c>
      <c r="AV116" s="35"/>
      <c r="AW116" s="35">
        <v>0</v>
      </c>
      <c r="AX116" s="35"/>
      <c r="AY116" s="35">
        <f t="shared" si="29"/>
        <v>0</v>
      </c>
      <c r="AZ116" s="35"/>
      <c r="BA116" s="35" t="s">
        <v>17</v>
      </c>
      <c r="BB116" s="55"/>
      <c r="BC116" s="35" t="s">
        <v>17</v>
      </c>
      <c r="BD116" s="35"/>
      <c r="BE116" s="35"/>
      <c r="BF116" s="35"/>
      <c r="BG116" s="35"/>
      <c r="BH116" s="35"/>
      <c r="BI116" s="35"/>
      <c r="BJ116" s="35"/>
      <c r="BK116" s="35"/>
      <c r="BL116" s="35"/>
      <c r="BM116" s="35">
        <f t="shared" si="24"/>
        <v>0</v>
      </c>
      <c r="BN116" s="54" t="s">
        <v>347</v>
      </c>
    </row>
    <row r="117" spans="1:66" ht="12.75" hidden="1" customHeight="1">
      <c r="A117" s="35" t="s">
        <v>148</v>
      </c>
      <c r="C117" s="35" t="s">
        <v>15</v>
      </c>
      <c r="D117" s="35"/>
      <c r="E117" s="35">
        <f t="shared" si="19"/>
        <v>0</v>
      </c>
      <c r="F117" s="35"/>
      <c r="G117" s="35"/>
      <c r="H117" s="35"/>
      <c r="I117" s="35"/>
      <c r="J117" s="35"/>
      <c r="K117" s="35">
        <f t="shared" si="20"/>
        <v>0</v>
      </c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>
        <f t="shared" si="26"/>
        <v>0</v>
      </c>
      <c r="X117" s="35"/>
      <c r="Y117" s="35" t="s">
        <v>148</v>
      </c>
      <c r="Z117" s="55"/>
      <c r="AA117" s="35" t="s">
        <v>15</v>
      </c>
      <c r="AB117" s="35"/>
      <c r="AC117" s="35"/>
      <c r="AD117" s="35"/>
      <c r="AE117" s="35"/>
      <c r="AF117" s="35"/>
      <c r="AG117" s="35"/>
      <c r="AH117" s="35"/>
      <c r="AI117" s="45">
        <f t="shared" si="27"/>
        <v>0</v>
      </c>
      <c r="AJ117" s="45"/>
      <c r="AK117" s="35"/>
      <c r="AL117" s="35"/>
      <c r="AM117" s="35"/>
      <c r="AN117" s="35"/>
      <c r="AO117" s="35"/>
      <c r="AP117" s="35"/>
      <c r="AQ117" s="35"/>
      <c r="AR117" s="35"/>
      <c r="AS117" s="45">
        <f t="shared" si="28"/>
        <v>0</v>
      </c>
      <c r="AT117" s="45"/>
      <c r="AU117" s="35">
        <v>0</v>
      </c>
      <c r="AV117" s="35"/>
      <c r="AW117" s="35">
        <v>0</v>
      </c>
      <c r="AX117" s="35"/>
      <c r="AY117" s="35">
        <f t="shared" si="29"/>
        <v>0</v>
      </c>
      <c r="AZ117" s="35"/>
      <c r="BA117" s="35" t="s">
        <v>148</v>
      </c>
      <c r="BB117" s="55"/>
      <c r="BC117" s="35" t="s">
        <v>15</v>
      </c>
      <c r="BD117" s="35"/>
      <c r="BE117" s="35"/>
      <c r="BF117" s="35"/>
      <c r="BG117" s="35"/>
      <c r="BH117" s="35"/>
      <c r="BI117" s="35"/>
      <c r="BJ117" s="35"/>
      <c r="BK117" s="35"/>
      <c r="BL117" s="35"/>
      <c r="BM117" s="35">
        <f t="shared" si="24"/>
        <v>0</v>
      </c>
      <c r="BN117" s="54" t="s">
        <v>347</v>
      </c>
    </row>
    <row r="118" spans="1:66" ht="12.75" hidden="1" customHeight="1">
      <c r="A118" s="35" t="s">
        <v>149</v>
      </c>
      <c r="C118" s="35" t="s">
        <v>45</v>
      </c>
      <c r="D118" s="35"/>
      <c r="E118" s="35">
        <f t="shared" si="19"/>
        <v>0</v>
      </c>
      <c r="F118" s="35"/>
      <c r="G118" s="35"/>
      <c r="H118" s="35"/>
      <c r="I118" s="35"/>
      <c r="J118" s="35"/>
      <c r="K118" s="35">
        <f t="shared" si="20"/>
        <v>0</v>
      </c>
      <c r="L118" s="35"/>
      <c r="M118" s="35">
        <v>0</v>
      </c>
      <c r="N118" s="35"/>
      <c r="O118" s="35"/>
      <c r="P118" s="35"/>
      <c r="Q118" s="35"/>
      <c r="R118" s="35"/>
      <c r="S118" s="35">
        <v>0</v>
      </c>
      <c r="T118" s="35"/>
      <c r="U118" s="35"/>
      <c r="V118" s="35"/>
      <c r="W118" s="35">
        <f t="shared" si="26"/>
        <v>0</v>
      </c>
      <c r="X118" s="35"/>
      <c r="Y118" s="35" t="s">
        <v>149</v>
      </c>
      <c r="Z118" s="55"/>
      <c r="AA118" s="35" t="s">
        <v>45</v>
      </c>
      <c r="AB118" s="35"/>
      <c r="AC118" s="35">
        <v>0</v>
      </c>
      <c r="AD118" s="35"/>
      <c r="AE118" s="35">
        <v>0</v>
      </c>
      <c r="AF118" s="35"/>
      <c r="AG118" s="35">
        <v>0</v>
      </c>
      <c r="AH118" s="35"/>
      <c r="AI118" s="45">
        <v>0</v>
      </c>
      <c r="AJ118" s="45"/>
      <c r="AK118" s="35"/>
      <c r="AL118" s="35"/>
      <c r="AM118" s="35">
        <v>0</v>
      </c>
      <c r="AN118" s="35"/>
      <c r="AO118" s="35">
        <v>0</v>
      </c>
      <c r="AP118" s="35"/>
      <c r="AQ118" s="35">
        <v>0</v>
      </c>
      <c r="AR118" s="35"/>
      <c r="AS118" s="45">
        <f t="shared" si="28"/>
        <v>0</v>
      </c>
      <c r="AT118" s="45"/>
      <c r="AU118" s="35">
        <v>0</v>
      </c>
      <c r="AV118" s="35"/>
      <c r="AW118" s="35">
        <v>0</v>
      </c>
      <c r="AX118" s="35"/>
      <c r="AY118" s="35">
        <f t="shared" si="29"/>
        <v>0</v>
      </c>
      <c r="AZ118" s="35"/>
      <c r="BA118" s="35" t="s">
        <v>149</v>
      </c>
      <c r="BB118" s="55"/>
      <c r="BC118" s="35" t="s">
        <v>45</v>
      </c>
      <c r="BD118" s="35"/>
      <c r="BE118" s="35"/>
      <c r="BF118" s="35"/>
      <c r="BG118" s="35"/>
      <c r="BH118" s="35"/>
      <c r="BI118" s="35"/>
      <c r="BJ118" s="35"/>
      <c r="BK118" s="35"/>
      <c r="BL118" s="35"/>
      <c r="BM118" s="35">
        <f t="shared" si="24"/>
        <v>0</v>
      </c>
      <c r="BN118" s="54" t="s">
        <v>347</v>
      </c>
    </row>
    <row r="119" spans="1:66" ht="12.75" hidden="1" customHeight="1">
      <c r="A119" s="35" t="s">
        <v>150</v>
      </c>
      <c r="C119" s="35" t="s">
        <v>27</v>
      </c>
      <c r="D119" s="35"/>
      <c r="E119" s="35">
        <f t="shared" si="19"/>
        <v>0</v>
      </c>
      <c r="F119" s="35"/>
      <c r="G119" s="35"/>
      <c r="H119" s="35"/>
      <c r="I119" s="35"/>
      <c r="J119" s="35"/>
      <c r="K119" s="35">
        <f t="shared" si="20"/>
        <v>0</v>
      </c>
      <c r="L119" s="35"/>
      <c r="M119" s="35">
        <v>0</v>
      </c>
      <c r="N119" s="35"/>
      <c r="O119" s="35"/>
      <c r="P119" s="35"/>
      <c r="Q119" s="35"/>
      <c r="R119" s="35"/>
      <c r="S119" s="35">
        <v>0</v>
      </c>
      <c r="T119" s="35"/>
      <c r="U119" s="35"/>
      <c r="V119" s="35"/>
      <c r="W119" s="35">
        <f t="shared" si="26"/>
        <v>0</v>
      </c>
      <c r="X119" s="35"/>
      <c r="Y119" s="35" t="s">
        <v>150</v>
      </c>
      <c r="Z119" s="55"/>
      <c r="AA119" s="35" t="s">
        <v>27</v>
      </c>
      <c r="AB119" s="35"/>
      <c r="AC119" s="35">
        <v>0</v>
      </c>
      <c r="AD119" s="35"/>
      <c r="AE119" s="35">
        <v>0</v>
      </c>
      <c r="AF119" s="35"/>
      <c r="AG119" s="35">
        <v>0</v>
      </c>
      <c r="AH119" s="35"/>
      <c r="AI119" s="45">
        <f t="shared" ref="AI119:AI129" si="30">+AC119-AE119-AG119</f>
        <v>0</v>
      </c>
      <c r="AJ119" s="45"/>
      <c r="AK119" s="35"/>
      <c r="AL119" s="35"/>
      <c r="AM119" s="35">
        <v>0</v>
      </c>
      <c r="AN119" s="35"/>
      <c r="AO119" s="35">
        <v>0</v>
      </c>
      <c r="AP119" s="35"/>
      <c r="AQ119" s="35">
        <v>0</v>
      </c>
      <c r="AR119" s="35"/>
      <c r="AS119" s="45">
        <f t="shared" si="28"/>
        <v>0</v>
      </c>
      <c r="AT119" s="45"/>
      <c r="AU119" s="35">
        <v>0</v>
      </c>
      <c r="AV119" s="35"/>
      <c r="AW119" s="35">
        <v>0</v>
      </c>
      <c r="AX119" s="35"/>
      <c r="AY119" s="35">
        <f t="shared" si="29"/>
        <v>0</v>
      </c>
      <c r="AZ119" s="35"/>
      <c r="BA119" s="35" t="s">
        <v>150</v>
      </c>
      <c r="BB119" s="55"/>
      <c r="BC119" s="35" t="s">
        <v>27</v>
      </c>
      <c r="BD119" s="35"/>
      <c r="BE119" s="35"/>
      <c r="BF119" s="35"/>
      <c r="BG119" s="35"/>
      <c r="BH119" s="35"/>
      <c r="BI119" s="35"/>
      <c r="BJ119" s="35"/>
      <c r="BK119" s="35"/>
      <c r="BL119" s="35"/>
      <c r="BM119" s="35">
        <f t="shared" si="24"/>
        <v>0</v>
      </c>
      <c r="BN119" s="54" t="s">
        <v>347</v>
      </c>
    </row>
    <row r="120" spans="1:66" ht="13.5" hidden="1" customHeight="1">
      <c r="A120" s="35" t="s">
        <v>151</v>
      </c>
      <c r="C120" s="35" t="s">
        <v>13</v>
      </c>
      <c r="D120" s="35"/>
      <c r="E120" s="35">
        <f t="shared" si="19"/>
        <v>0</v>
      </c>
      <c r="F120" s="35"/>
      <c r="G120" s="35"/>
      <c r="H120" s="35"/>
      <c r="I120" s="35"/>
      <c r="J120" s="35"/>
      <c r="K120" s="35">
        <f t="shared" si="20"/>
        <v>0</v>
      </c>
      <c r="L120" s="35"/>
      <c r="M120" s="35">
        <v>0</v>
      </c>
      <c r="N120" s="35"/>
      <c r="O120" s="35"/>
      <c r="P120" s="35"/>
      <c r="Q120" s="35"/>
      <c r="R120" s="35"/>
      <c r="S120" s="35">
        <v>0</v>
      </c>
      <c r="T120" s="35"/>
      <c r="U120" s="35"/>
      <c r="V120" s="35"/>
      <c r="W120" s="35">
        <f t="shared" si="26"/>
        <v>0</v>
      </c>
      <c r="X120" s="35"/>
      <c r="Y120" s="35" t="s">
        <v>151</v>
      </c>
      <c r="Z120" s="55"/>
      <c r="AA120" s="35" t="s">
        <v>13</v>
      </c>
      <c r="AB120" s="35"/>
      <c r="AC120" s="35">
        <v>0</v>
      </c>
      <c r="AD120" s="35"/>
      <c r="AE120" s="35">
        <v>0</v>
      </c>
      <c r="AF120" s="35"/>
      <c r="AG120" s="35">
        <v>0</v>
      </c>
      <c r="AH120" s="35"/>
      <c r="AI120" s="45">
        <f t="shared" si="30"/>
        <v>0</v>
      </c>
      <c r="AJ120" s="45"/>
      <c r="AK120" s="35"/>
      <c r="AL120" s="35"/>
      <c r="AM120" s="35">
        <v>0</v>
      </c>
      <c r="AN120" s="35"/>
      <c r="AO120" s="35">
        <v>0</v>
      </c>
      <c r="AP120" s="35"/>
      <c r="AQ120" s="35">
        <v>0</v>
      </c>
      <c r="AR120" s="35"/>
      <c r="AS120" s="45">
        <f t="shared" si="28"/>
        <v>0</v>
      </c>
      <c r="AT120" s="45"/>
      <c r="AU120" s="35">
        <v>0</v>
      </c>
      <c r="AV120" s="35"/>
      <c r="AW120" s="35">
        <v>0</v>
      </c>
      <c r="AX120" s="35"/>
      <c r="AY120" s="35">
        <f t="shared" si="29"/>
        <v>0</v>
      </c>
      <c r="AZ120" s="35"/>
      <c r="BA120" s="35" t="s">
        <v>151</v>
      </c>
      <c r="BB120" s="55"/>
      <c r="BC120" s="35" t="s">
        <v>13</v>
      </c>
      <c r="BD120" s="35"/>
      <c r="BE120" s="35"/>
      <c r="BF120" s="35"/>
      <c r="BG120" s="35"/>
      <c r="BH120" s="35"/>
      <c r="BI120" s="35"/>
      <c r="BJ120" s="35"/>
      <c r="BK120" s="35"/>
      <c r="BL120" s="35"/>
      <c r="BM120" s="35">
        <f t="shared" si="24"/>
        <v>0</v>
      </c>
      <c r="BN120" s="54" t="s">
        <v>347</v>
      </c>
    </row>
    <row r="121" spans="1:66" ht="12.75" hidden="1" customHeight="1">
      <c r="A121" s="35" t="s">
        <v>152</v>
      </c>
      <c r="C121" s="35" t="s">
        <v>153</v>
      </c>
      <c r="D121" s="35"/>
      <c r="E121" s="35">
        <f t="shared" si="19"/>
        <v>0</v>
      </c>
      <c r="F121" s="35"/>
      <c r="G121" s="35"/>
      <c r="H121" s="35"/>
      <c r="I121" s="35"/>
      <c r="J121" s="35"/>
      <c r="K121" s="35">
        <f t="shared" si="20"/>
        <v>0</v>
      </c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>
        <f t="shared" si="26"/>
        <v>0</v>
      </c>
      <c r="X121" s="35"/>
      <c r="Y121" s="35" t="s">
        <v>152</v>
      </c>
      <c r="Z121" s="55"/>
      <c r="AA121" s="35" t="s">
        <v>153</v>
      </c>
      <c r="AB121" s="35"/>
      <c r="AC121" s="35"/>
      <c r="AD121" s="35"/>
      <c r="AE121" s="35"/>
      <c r="AF121" s="35"/>
      <c r="AG121" s="35"/>
      <c r="AH121" s="35"/>
      <c r="AI121" s="45">
        <f t="shared" si="30"/>
        <v>0</v>
      </c>
      <c r="AJ121" s="45"/>
      <c r="AK121" s="35"/>
      <c r="AL121" s="35"/>
      <c r="AM121" s="35"/>
      <c r="AN121" s="35"/>
      <c r="AO121" s="35"/>
      <c r="AP121" s="35"/>
      <c r="AQ121" s="35"/>
      <c r="AR121" s="35"/>
      <c r="AS121" s="45">
        <f t="shared" si="28"/>
        <v>0</v>
      </c>
      <c r="AT121" s="45"/>
      <c r="AU121" s="35">
        <v>0</v>
      </c>
      <c r="AV121" s="35"/>
      <c r="AW121" s="35">
        <v>0</v>
      </c>
      <c r="AX121" s="35"/>
      <c r="AY121" s="35">
        <f t="shared" si="29"/>
        <v>0</v>
      </c>
      <c r="AZ121" s="35"/>
      <c r="BA121" s="35" t="s">
        <v>152</v>
      </c>
      <c r="BB121" s="55"/>
      <c r="BC121" s="35" t="s">
        <v>153</v>
      </c>
      <c r="BD121" s="35"/>
      <c r="BE121" s="35"/>
      <c r="BF121" s="35"/>
      <c r="BG121" s="35"/>
      <c r="BH121" s="35"/>
      <c r="BI121" s="35"/>
      <c r="BJ121" s="35"/>
      <c r="BK121" s="35"/>
      <c r="BL121" s="35"/>
      <c r="BM121" s="35">
        <f t="shared" si="24"/>
        <v>0</v>
      </c>
      <c r="BN121" s="54" t="s">
        <v>347</v>
      </c>
    </row>
    <row r="122" spans="1:66" ht="12.75" hidden="1" customHeight="1">
      <c r="A122" s="35" t="s">
        <v>154</v>
      </c>
      <c r="C122" s="35" t="s">
        <v>27</v>
      </c>
      <c r="D122" s="35"/>
      <c r="E122" s="35">
        <f t="shared" si="19"/>
        <v>0</v>
      </c>
      <c r="F122" s="35"/>
      <c r="G122" s="35"/>
      <c r="H122" s="35"/>
      <c r="I122" s="35"/>
      <c r="J122" s="35"/>
      <c r="K122" s="35">
        <f t="shared" si="20"/>
        <v>0</v>
      </c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>
        <f t="shared" si="26"/>
        <v>0</v>
      </c>
      <c r="X122" s="35"/>
      <c r="Y122" s="35" t="s">
        <v>154</v>
      </c>
      <c r="Z122" s="55"/>
      <c r="AA122" s="35" t="s">
        <v>27</v>
      </c>
      <c r="AB122" s="35"/>
      <c r="AC122" s="35"/>
      <c r="AD122" s="35"/>
      <c r="AE122" s="35"/>
      <c r="AF122" s="35"/>
      <c r="AG122" s="35"/>
      <c r="AH122" s="35"/>
      <c r="AI122" s="45">
        <f t="shared" si="30"/>
        <v>0</v>
      </c>
      <c r="AJ122" s="45"/>
      <c r="AK122" s="35"/>
      <c r="AL122" s="35"/>
      <c r="AM122" s="35"/>
      <c r="AN122" s="35"/>
      <c r="AO122" s="35"/>
      <c r="AP122" s="35"/>
      <c r="AQ122" s="35"/>
      <c r="AR122" s="35"/>
      <c r="AS122" s="45">
        <f t="shared" si="28"/>
        <v>0</v>
      </c>
      <c r="AT122" s="45"/>
      <c r="AU122" s="35">
        <v>0</v>
      </c>
      <c r="AV122" s="35"/>
      <c r="AW122" s="35">
        <v>0</v>
      </c>
      <c r="AX122" s="35"/>
      <c r="AY122" s="35">
        <f t="shared" si="29"/>
        <v>0</v>
      </c>
      <c r="AZ122" s="35"/>
      <c r="BA122" s="35" t="s">
        <v>154</v>
      </c>
      <c r="BB122" s="55"/>
      <c r="BC122" s="35" t="s">
        <v>27</v>
      </c>
      <c r="BD122" s="35"/>
      <c r="BE122" s="35"/>
      <c r="BF122" s="35"/>
      <c r="BG122" s="35"/>
      <c r="BH122" s="35"/>
      <c r="BI122" s="35"/>
      <c r="BJ122" s="35"/>
      <c r="BK122" s="35"/>
      <c r="BL122" s="35"/>
      <c r="BM122" s="35">
        <f t="shared" si="24"/>
        <v>0</v>
      </c>
      <c r="BN122" s="54" t="s">
        <v>347</v>
      </c>
    </row>
    <row r="123" spans="1:66" ht="12.75" hidden="1" customHeight="1">
      <c r="A123" s="35" t="s">
        <v>155</v>
      </c>
      <c r="C123" s="35" t="s">
        <v>40</v>
      </c>
      <c r="D123" s="35"/>
      <c r="E123" s="35">
        <f t="shared" si="19"/>
        <v>0</v>
      </c>
      <c r="F123" s="35"/>
      <c r="G123" s="35"/>
      <c r="H123" s="35"/>
      <c r="I123" s="35"/>
      <c r="J123" s="35"/>
      <c r="K123" s="35">
        <f t="shared" si="20"/>
        <v>0</v>
      </c>
      <c r="L123" s="35"/>
      <c r="M123" s="35">
        <v>0</v>
      </c>
      <c r="N123" s="35"/>
      <c r="O123" s="35"/>
      <c r="P123" s="35"/>
      <c r="Q123" s="35"/>
      <c r="R123" s="35"/>
      <c r="S123" s="35">
        <v>0</v>
      </c>
      <c r="T123" s="35"/>
      <c r="U123" s="35"/>
      <c r="V123" s="35"/>
      <c r="W123" s="35">
        <f t="shared" si="26"/>
        <v>0</v>
      </c>
      <c r="X123" s="35"/>
      <c r="Y123" s="35" t="s">
        <v>155</v>
      </c>
      <c r="Z123" s="55"/>
      <c r="AA123" s="35" t="s">
        <v>40</v>
      </c>
      <c r="AB123" s="35"/>
      <c r="AC123" s="35">
        <v>0</v>
      </c>
      <c r="AD123" s="35"/>
      <c r="AE123" s="35">
        <v>0</v>
      </c>
      <c r="AF123" s="35"/>
      <c r="AG123" s="35">
        <v>0</v>
      </c>
      <c r="AH123" s="35"/>
      <c r="AI123" s="45">
        <f t="shared" si="30"/>
        <v>0</v>
      </c>
      <c r="AJ123" s="45"/>
      <c r="AK123" s="35"/>
      <c r="AL123" s="35"/>
      <c r="AM123" s="35">
        <v>0</v>
      </c>
      <c r="AN123" s="35"/>
      <c r="AO123" s="35">
        <v>0</v>
      </c>
      <c r="AP123" s="35"/>
      <c r="AQ123" s="35">
        <v>0</v>
      </c>
      <c r="AR123" s="35"/>
      <c r="AS123" s="45">
        <f t="shared" si="28"/>
        <v>0</v>
      </c>
      <c r="AT123" s="45"/>
      <c r="AU123" s="35">
        <v>0</v>
      </c>
      <c r="AV123" s="35"/>
      <c r="AW123" s="35">
        <v>0</v>
      </c>
      <c r="AX123" s="35"/>
      <c r="AY123" s="35">
        <f t="shared" si="29"/>
        <v>0</v>
      </c>
      <c r="AZ123" s="35"/>
      <c r="BA123" s="35" t="s">
        <v>155</v>
      </c>
      <c r="BB123" s="55"/>
      <c r="BC123" s="35" t="s">
        <v>40</v>
      </c>
      <c r="BD123" s="35"/>
      <c r="BE123" s="35"/>
      <c r="BF123" s="35"/>
      <c r="BG123" s="35"/>
      <c r="BH123" s="35"/>
      <c r="BI123" s="35"/>
      <c r="BJ123" s="35"/>
      <c r="BK123" s="35"/>
      <c r="BL123" s="35"/>
      <c r="BM123" s="35">
        <f t="shared" si="24"/>
        <v>0</v>
      </c>
      <c r="BN123" s="54" t="s">
        <v>347</v>
      </c>
    </row>
    <row r="124" spans="1:66" ht="12.75" hidden="1" customHeight="1">
      <c r="A124" s="35" t="s">
        <v>156</v>
      </c>
      <c r="C124" s="35" t="s">
        <v>156</v>
      </c>
      <c r="D124" s="35"/>
      <c r="E124" s="35">
        <f t="shared" si="19"/>
        <v>0</v>
      </c>
      <c r="F124" s="35"/>
      <c r="G124" s="35"/>
      <c r="H124" s="35"/>
      <c r="I124" s="35"/>
      <c r="J124" s="35"/>
      <c r="K124" s="35">
        <f t="shared" si="20"/>
        <v>0</v>
      </c>
      <c r="L124" s="35"/>
      <c r="M124" s="35">
        <v>0</v>
      </c>
      <c r="N124" s="35"/>
      <c r="O124" s="35"/>
      <c r="P124" s="35"/>
      <c r="Q124" s="35"/>
      <c r="R124" s="35"/>
      <c r="S124" s="35">
        <v>0</v>
      </c>
      <c r="T124" s="35"/>
      <c r="U124" s="35"/>
      <c r="V124" s="35"/>
      <c r="W124" s="35">
        <f t="shared" si="26"/>
        <v>0</v>
      </c>
      <c r="X124" s="35"/>
      <c r="Y124" s="35" t="s">
        <v>156</v>
      </c>
      <c r="Z124" s="55"/>
      <c r="AA124" s="35" t="s">
        <v>156</v>
      </c>
      <c r="AB124" s="35"/>
      <c r="AC124" s="35">
        <v>0</v>
      </c>
      <c r="AD124" s="35"/>
      <c r="AE124" s="35">
        <v>0</v>
      </c>
      <c r="AF124" s="35"/>
      <c r="AG124" s="35">
        <v>0</v>
      </c>
      <c r="AH124" s="35"/>
      <c r="AI124" s="45">
        <f t="shared" si="30"/>
        <v>0</v>
      </c>
      <c r="AJ124" s="45"/>
      <c r="AK124" s="35"/>
      <c r="AL124" s="35"/>
      <c r="AM124" s="35">
        <v>0</v>
      </c>
      <c r="AN124" s="35"/>
      <c r="AO124" s="35">
        <v>0</v>
      </c>
      <c r="AP124" s="35"/>
      <c r="AQ124" s="35">
        <v>0</v>
      </c>
      <c r="AR124" s="35"/>
      <c r="AS124" s="45">
        <f t="shared" si="28"/>
        <v>0</v>
      </c>
      <c r="AT124" s="45"/>
      <c r="AU124" s="35">
        <v>0</v>
      </c>
      <c r="AV124" s="35"/>
      <c r="AW124" s="35">
        <v>0</v>
      </c>
      <c r="AX124" s="35"/>
      <c r="AY124" s="35">
        <f t="shared" si="29"/>
        <v>0</v>
      </c>
      <c r="AZ124" s="35"/>
      <c r="BA124" s="35" t="s">
        <v>156</v>
      </c>
      <c r="BB124" s="55"/>
      <c r="BC124" s="35" t="s">
        <v>156</v>
      </c>
      <c r="BD124" s="35"/>
      <c r="BE124" s="35"/>
      <c r="BF124" s="35"/>
      <c r="BG124" s="35"/>
      <c r="BH124" s="35"/>
      <c r="BI124" s="35"/>
      <c r="BJ124" s="35"/>
      <c r="BK124" s="35"/>
      <c r="BL124" s="35"/>
      <c r="BM124" s="35">
        <f t="shared" si="24"/>
        <v>0</v>
      </c>
      <c r="BN124" s="54" t="s">
        <v>347</v>
      </c>
    </row>
    <row r="125" spans="1:66" ht="12.75" hidden="1" customHeight="1">
      <c r="A125" s="35" t="s">
        <v>157</v>
      </c>
      <c r="C125" s="35" t="s">
        <v>33</v>
      </c>
      <c r="D125" s="35"/>
      <c r="E125" s="35">
        <f t="shared" si="19"/>
        <v>0</v>
      </c>
      <c r="F125" s="35"/>
      <c r="G125" s="35"/>
      <c r="H125" s="35"/>
      <c r="I125" s="35"/>
      <c r="J125" s="35"/>
      <c r="K125" s="35">
        <f t="shared" si="20"/>
        <v>0</v>
      </c>
      <c r="L125" s="35"/>
      <c r="M125" s="35">
        <v>0</v>
      </c>
      <c r="N125" s="35"/>
      <c r="O125" s="35"/>
      <c r="P125" s="35"/>
      <c r="Q125" s="35"/>
      <c r="R125" s="35"/>
      <c r="S125" s="35">
        <v>0</v>
      </c>
      <c r="T125" s="35"/>
      <c r="U125" s="35"/>
      <c r="V125" s="35"/>
      <c r="W125" s="35">
        <f t="shared" si="26"/>
        <v>0</v>
      </c>
      <c r="X125" s="35"/>
      <c r="Y125" s="35" t="s">
        <v>157</v>
      </c>
      <c r="Z125" s="55"/>
      <c r="AA125" s="35" t="s">
        <v>33</v>
      </c>
      <c r="AB125" s="35"/>
      <c r="AC125" s="35">
        <v>0</v>
      </c>
      <c r="AD125" s="35"/>
      <c r="AE125" s="35">
        <v>0</v>
      </c>
      <c r="AF125" s="35"/>
      <c r="AG125" s="35">
        <v>0</v>
      </c>
      <c r="AH125" s="35"/>
      <c r="AI125" s="45">
        <f t="shared" si="30"/>
        <v>0</v>
      </c>
      <c r="AJ125" s="45"/>
      <c r="AK125" s="35"/>
      <c r="AL125" s="35"/>
      <c r="AM125" s="35">
        <v>0</v>
      </c>
      <c r="AN125" s="35"/>
      <c r="AO125" s="35">
        <v>0</v>
      </c>
      <c r="AP125" s="35"/>
      <c r="AQ125" s="35">
        <v>0</v>
      </c>
      <c r="AR125" s="35"/>
      <c r="AS125" s="45">
        <f t="shared" si="28"/>
        <v>0</v>
      </c>
      <c r="AT125" s="45"/>
      <c r="AU125" s="35">
        <v>0</v>
      </c>
      <c r="AV125" s="35"/>
      <c r="AW125" s="35">
        <v>0</v>
      </c>
      <c r="AX125" s="35"/>
      <c r="AY125" s="35">
        <f t="shared" si="29"/>
        <v>0</v>
      </c>
      <c r="AZ125" s="35"/>
      <c r="BA125" s="35" t="s">
        <v>157</v>
      </c>
      <c r="BB125" s="55"/>
      <c r="BC125" s="35" t="s">
        <v>33</v>
      </c>
      <c r="BD125" s="35"/>
      <c r="BE125" s="35"/>
      <c r="BF125" s="35"/>
      <c r="BG125" s="35"/>
      <c r="BH125" s="35"/>
      <c r="BI125" s="35"/>
      <c r="BJ125" s="35"/>
      <c r="BK125" s="35"/>
      <c r="BL125" s="35"/>
      <c r="BM125" s="35">
        <f t="shared" si="24"/>
        <v>0</v>
      </c>
      <c r="BN125" s="54" t="s">
        <v>347</v>
      </c>
    </row>
    <row r="126" spans="1:66" ht="12.75" hidden="1" customHeight="1">
      <c r="A126" s="35" t="s">
        <v>158</v>
      </c>
      <c r="C126" s="35" t="s">
        <v>159</v>
      </c>
      <c r="D126" s="35"/>
      <c r="E126" s="35">
        <f t="shared" si="19"/>
        <v>0</v>
      </c>
      <c r="F126" s="35"/>
      <c r="G126" s="35"/>
      <c r="H126" s="35"/>
      <c r="I126" s="35"/>
      <c r="J126" s="35"/>
      <c r="K126" s="35">
        <f t="shared" si="20"/>
        <v>0</v>
      </c>
      <c r="L126" s="35"/>
      <c r="M126" s="35">
        <v>0</v>
      </c>
      <c r="N126" s="35"/>
      <c r="O126" s="35"/>
      <c r="P126" s="35"/>
      <c r="Q126" s="35"/>
      <c r="R126" s="35"/>
      <c r="S126" s="35">
        <v>0</v>
      </c>
      <c r="T126" s="35"/>
      <c r="U126" s="35"/>
      <c r="V126" s="35"/>
      <c r="W126" s="35">
        <f t="shared" si="26"/>
        <v>0</v>
      </c>
      <c r="X126" s="35"/>
      <c r="Y126" s="35" t="s">
        <v>158</v>
      </c>
      <c r="Z126" s="55"/>
      <c r="AA126" s="35" t="s">
        <v>159</v>
      </c>
      <c r="AB126" s="35"/>
      <c r="AC126" s="35">
        <v>0</v>
      </c>
      <c r="AD126" s="35"/>
      <c r="AE126" s="35">
        <v>0</v>
      </c>
      <c r="AF126" s="35"/>
      <c r="AG126" s="35">
        <v>0</v>
      </c>
      <c r="AH126" s="35"/>
      <c r="AI126" s="45">
        <f t="shared" si="30"/>
        <v>0</v>
      </c>
      <c r="AJ126" s="45"/>
      <c r="AK126" s="35"/>
      <c r="AL126" s="35"/>
      <c r="AM126" s="35">
        <v>0</v>
      </c>
      <c r="AN126" s="35"/>
      <c r="AO126" s="35">
        <v>0</v>
      </c>
      <c r="AP126" s="35"/>
      <c r="AQ126" s="35">
        <v>0</v>
      </c>
      <c r="AR126" s="35"/>
      <c r="AS126" s="45">
        <f t="shared" si="28"/>
        <v>0</v>
      </c>
      <c r="AT126" s="45"/>
      <c r="AU126" s="35">
        <v>0</v>
      </c>
      <c r="AV126" s="35"/>
      <c r="AW126" s="35">
        <v>0</v>
      </c>
      <c r="AX126" s="35"/>
      <c r="AY126" s="35">
        <f t="shared" si="29"/>
        <v>0</v>
      </c>
      <c r="AZ126" s="35"/>
      <c r="BA126" s="35" t="s">
        <v>158</v>
      </c>
      <c r="BB126" s="55"/>
      <c r="BC126" s="35" t="s">
        <v>159</v>
      </c>
      <c r="BD126" s="35"/>
      <c r="BE126" s="35"/>
      <c r="BF126" s="35"/>
      <c r="BG126" s="35"/>
      <c r="BH126" s="35"/>
      <c r="BI126" s="35"/>
      <c r="BJ126" s="35"/>
      <c r="BK126" s="35"/>
      <c r="BL126" s="35"/>
      <c r="BM126" s="35">
        <f t="shared" si="24"/>
        <v>0</v>
      </c>
      <c r="BN126" s="54" t="s">
        <v>347</v>
      </c>
    </row>
    <row r="127" spans="1:66" ht="12.75" hidden="1" customHeight="1">
      <c r="A127" s="35" t="s">
        <v>160</v>
      </c>
      <c r="C127" s="35" t="s">
        <v>111</v>
      </c>
      <c r="D127" s="35"/>
      <c r="E127" s="35">
        <f t="shared" si="19"/>
        <v>0</v>
      </c>
      <c r="F127" s="35"/>
      <c r="G127" s="35"/>
      <c r="H127" s="35"/>
      <c r="I127" s="35"/>
      <c r="J127" s="35"/>
      <c r="K127" s="35">
        <f t="shared" si="20"/>
        <v>0</v>
      </c>
      <c r="L127" s="35"/>
      <c r="M127" s="35">
        <v>0</v>
      </c>
      <c r="N127" s="35"/>
      <c r="O127" s="35"/>
      <c r="P127" s="35"/>
      <c r="Q127" s="35"/>
      <c r="R127" s="35"/>
      <c r="S127" s="35">
        <v>0</v>
      </c>
      <c r="T127" s="35"/>
      <c r="U127" s="35"/>
      <c r="V127" s="35"/>
      <c r="W127" s="35">
        <f t="shared" si="26"/>
        <v>0</v>
      </c>
      <c r="X127" s="35"/>
      <c r="Y127" s="35" t="s">
        <v>160</v>
      </c>
      <c r="Z127" s="55"/>
      <c r="AA127" s="35" t="s">
        <v>111</v>
      </c>
      <c r="AB127" s="35"/>
      <c r="AC127" s="35">
        <v>0</v>
      </c>
      <c r="AD127" s="35"/>
      <c r="AE127" s="35">
        <v>0</v>
      </c>
      <c r="AF127" s="35"/>
      <c r="AG127" s="35">
        <v>0</v>
      </c>
      <c r="AH127" s="35"/>
      <c r="AI127" s="45">
        <f t="shared" si="30"/>
        <v>0</v>
      </c>
      <c r="AJ127" s="45"/>
      <c r="AK127" s="35"/>
      <c r="AL127" s="35"/>
      <c r="AM127" s="35">
        <v>0</v>
      </c>
      <c r="AN127" s="35"/>
      <c r="AO127" s="35">
        <v>0</v>
      </c>
      <c r="AP127" s="35"/>
      <c r="AQ127" s="35">
        <v>0</v>
      </c>
      <c r="AR127" s="35"/>
      <c r="AS127" s="45">
        <f t="shared" si="28"/>
        <v>0</v>
      </c>
      <c r="AT127" s="45"/>
      <c r="AU127" s="35">
        <v>0</v>
      </c>
      <c r="AV127" s="35"/>
      <c r="AW127" s="35">
        <v>0</v>
      </c>
      <c r="AX127" s="35"/>
      <c r="AY127" s="35">
        <f t="shared" si="29"/>
        <v>0</v>
      </c>
      <c r="AZ127" s="35"/>
      <c r="BA127" s="35" t="s">
        <v>160</v>
      </c>
      <c r="BB127" s="55"/>
      <c r="BC127" s="35" t="s">
        <v>111</v>
      </c>
      <c r="BD127" s="35"/>
      <c r="BE127" s="35"/>
      <c r="BF127" s="35"/>
      <c r="BG127" s="35"/>
      <c r="BH127" s="35"/>
      <c r="BI127" s="35"/>
      <c r="BJ127" s="35"/>
      <c r="BK127" s="35"/>
      <c r="BL127" s="35"/>
      <c r="BM127" s="35">
        <f t="shared" si="24"/>
        <v>0</v>
      </c>
      <c r="BN127" s="54" t="s">
        <v>347</v>
      </c>
    </row>
    <row r="128" spans="1:66" ht="12.75" hidden="1" customHeight="1">
      <c r="A128" s="35" t="s">
        <v>161</v>
      </c>
      <c r="C128" s="35" t="s">
        <v>15</v>
      </c>
      <c r="D128" s="35"/>
      <c r="E128" s="35">
        <f t="shared" si="19"/>
        <v>0</v>
      </c>
      <c r="F128" s="35"/>
      <c r="G128" s="35"/>
      <c r="H128" s="35"/>
      <c r="I128" s="35"/>
      <c r="J128" s="35"/>
      <c r="K128" s="35">
        <f t="shared" si="20"/>
        <v>0</v>
      </c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>
        <f t="shared" si="26"/>
        <v>0</v>
      </c>
      <c r="X128" s="35"/>
      <c r="Y128" s="35" t="s">
        <v>161</v>
      </c>
      <c r="Z128" s="55"/>
      <c r="AA128" s="35" t="s">
        <v>15</v>
      </c>
      <c r="AB128" s="35"/>
      <c r="AC128" s="35"/>
      <c r="AD128" s="35"/>
      <c r="AE128" s="35"/>
      <c r="AF128" s="35"/>
      <c r="AG128" s="35"/>
      <c r="AH128" s="35"/>
      <c r="AI128" s="45">
        <f t="shared" si="30"/>
        <v>0</v>
      </c>
      <c r="AJ128" s="45"/>
      <c r="AK128" s="35"/>
      <c r="AL128" s="35"/>
      <c r="AM128" s="35"/>
      <c r="AN128" s="35"/>
      <c r="AO128" s="35"/>
      <c r="AP128" s="35"/>
      <c r="AQ128" s="35"/>
      <c r="AR128" s="35"/>
      <c r="AS128" s="45">
        <f t="shared" si="28"/>
        <v>0</v>
      </c>
      <c r="AT128" s="45"/>
      <c r="AU128" s="35">
        <v>0</v>
      </c>
      <c r="AV128" s="35"/>
      <c r="AW128" s="35">
        <v>0</v>
      </c>
      <c r="AX128" s="35"/>
      <c r="AY128" s="35">
        <f t="shared" si="29"/>
        <v>0</v>
      </c>
      <c r="AZ128" s="35"/>
      <c r="BA128" s="35" t="s">
        <v>161</v>
      </c>
      <c r="BB128" s="55"/>
      <c r="BC128" s="35" t="s">
        <v>15</v>
      </c>
      <c r="BD128" s="35"/>
      <c r="BE128" s="35"/>
      <c r="BF128" s="35"/>
      <c r="BG128" s="35"/>
      <c r="BH128" s="35"/>
      <c r="BI128" s="35"/>
      <c r="BJ128" s="35"/>
      <c r="BK128" s="35"/>
      <c r="BL128" s="35"/>
      <c r="BM128" s="35">
        <f t="shared" si="24"/>
        <v>0</v>
      </c>
      <c r="BN128" s="54" t="s">
        <v>347</v>
      </c>
    </row>
    <row r="129" spans="1:66" ht="12.75" hidden="1" customHeight="1">
      <c r="A129" s="35" t="s">
        <v>162</v>
      </c>
      <c r="C129" s="35" t="s">
        <v>163</v>
      </c>
      <c r="D129" s="35"/>
      <c r="E129" s="35">
        <f t="shared" si="19"/>
        <v>0</v>
      </c>
      <c r="F129" s="35"/>
      <c r="G129" s="35"/>
      <c r="H129" s="35"/>
      <c r="I129" s="35"/>
      <c r="J129" s="35"/>
      <c r="K129" s="35">
        <f t="shared" si="20"/>
        <v>0</v>
      </c>
      <c r="L129" s="35"/>
      <c r="M129" s="35">
        <v>0</v>
      </c>
      <c r="N129" s="35"/>
      <c r="O129" s="35"/>
      <c r="P129" s="35"/>
      <c r="Q129" s="35"/>
      <c r="R129" s="35"/>
      <c r="S129" s="35">
        <v>0</v>
      </c>
      <c r="T129" s="35"/>
      <c r="U129" s="35"/>
      <c r="V129" s="35"/>
      <c r="W129" s="35">
        <f t="shared" si="26"/>
        <v>0</v>
      </c>
      <c r="X129" s="35"/>
      <c r="Y129" s="35" t="s">
        <v>162</v>
      </c>
      <c r="Z129" s="55"/>
      <c r="AA129" s="35" t="s">
        <v>163</v>
      </c>
      <c r="AB129" s="35"/>
      <c r="AC129" s="35">
        <v>0</v>
      </c>
      <c r="AD129" s="35"/>
      <c r="AE129" s="35">
        <v>0</v>
      </c>
      <c r="AF129" s="35"/>
      <c r="AG129" s="35">
        <v>0</v>
      </c>
      <c r="AH129" s="35"/>
      <c r="AI129" s="45">
        <f t="shared" si="30"/>
        <v>0</v>
      </c>
      <c r="AJ129" s="45"/>
      <c r="AK129" s="35"/>
      <c r="AL129" s="35"/>
      <c r="AM129" s="35">
        <v>0</v>
      </c>
      <c r="AN129" s="35"/>
      <c r="AO129" s="35">
        <v>0</v>
      </c>
      <c r="AP129" s="35"/>
      <c r="AQ129" s="35">
        <v>0</v>
      </c>
      <c r="AR129" s="35"/>
      <c r="AS129" s="45">
        <f t="shared" si="28"/>
        <v>0</v>
      </c>
      <c r="AT129" s="45"/>
      <c r="AU129" s="35">
        <v>0</v>
      </c>
      <c r="AV129" s="35"/>
      <c r="AW129" s="35">
        <v>0</v>
      </c>
      <c r="AX129" s="35"/>
      <c r="AY129" s="35">
        <f t="shared" si="29"/>
        <v>0</v>
      </c>
      <c r="AZ129" s="35"/>
      <c r="BA129" s="35" t="s">
        <v>162</v>
      </c>
      <c r="BB129" s="55"/>
      <c r="BC129" s="35" t="s">
        <v>163</v>
      </c>
      <c r="BD129" s="35"/>
      <c r="BE129" s="35"/>
      <c r="BF129" s="35"/>
      <c r="BG129" s="35"/>
      <c r="BH129" s="35"/>
      <c r="BI129" s="35"/>
      <c r="BJ129" s="35"/>
      <c r="BK129" s="35"/>
      <c r="BL129" s="35"/>
      <c r="BM129" s="35">
        <f t="shared" si="24"/>
        <v>0</v>
      </c>
      <c r="BN129" s="54" t="s">
        <v>347</v>
      </c>
    </row>
    <row r="130" spans="1:66" ht="12.75" hidden="1" customHeight="1">
      <c r="A130" s="35" t="s">
        <v>164</v>
      </c>
      <c r="C130" s="35" t="s">
        <v>27</v>
      </c>
      <c r="D130" s="35"/>
      <c r="E130" s="35">
        <f t="shared" si="19"/>
        <v>0</v>
      </c>
      <c r="F130" s="35"/>
      <c r="G130" s="35"/>
      <c r="H130" s="35"/>
      <c r="I130" s="35"/>
      <c r="J130" s="35"/>
      <c r="K130" s="35">
        <f t="shared" si="20"/>
        <v>0</v>
      </c>
      <c r="L130" s="35"/>
      <c r="M130" s="35">
        <v>0</v>
      </c>
      <c r="N130" s="35"/>
      <c r="O130" s="35"/>
      <c r="P130" s="35"/>
      <c r="Q130" s="35"/>
      <c r="R130" s="35"/>
      <c r="S130" s="35">
        <v>0</v>
      </c>
      <c r="T130" s="35"/>
      <c r="U130" s="35"/>
      <c r="V130" s="35"/>
      <c r="W130" s="35">
        <f t="shared" si="26"/>
        <v>0</v>
      </c>
      <c r="X130" s="35"/>
      <c r="Y130" s="35" t="s">
        <v>164</v>
      </c>
      <c r="Z130" s="55"/>
      <c r="AA130" s="35" t="s">
        <v>27</v>
      </c>
      <c r="AB130" s="35"/>
      <c r="AC130" s="35">
        <v>0</v>
      </c>
      <c r="AD130" s="35"/>
      <c r="AE130" s="35">
        <v>0</v>
      </c>
      <c r="AF130" s="35"/>
      <c r="AG130" s="35">
        <v>0</v>
      </c>
      <c r="AH130" s="35"/>
      <c r="AI130" s="45">
        <v>0</v>
      </c>
      <c r="AJ130" s="45"/>
      <c r="AK130" s="35"/>
      <c r="AL130" s="35"/>
      <c r="AM130" s="35">
        <v>0</v>
      </c>
      <c r="AN130" s="35"/>
      <c r="AO130" s="35">
        <v>0</v>
      </c>
      <c r="AP130" s="35"/>
      <c r="AQ130" s="35">
        <v>0</v>
      </c>
      <c r="AR130" s="35"/>
      <c r="AS130" s="45">
        <f t="shared" si="28"/>
        <v>0</v>
      </c>
      <c r="AT130" s="45"/>
      <c r="AU130" s="35">
        <v>0</v>
      </c>
      <c r="AV130" s="35"/>
      <c r="AW130" s="35">
        <v>0</v>
      </c>
      <c r="AX130" s="35"/>
      <c r="AY130" s="35">
        <f t="shared" si="29"/>
        <v>0</v>
      </c>
      <c r="AZ130" s="35"/>
      <c r="BA130" s="35" t="s">
        <v>164</v>
      </c>
      <c r="BB130" s="55"/>
      <c r="BC130" s="35" t="s">
        <v>27</v>
      </c>
      <c r="BD130" s="35"/>
      <c r="BE130" s="35"/>
      <c r="BF130" s="35"/>
      <c r="BG130" s="35"/>
      <c r="BH130" s="35"/>
      <c r="BI130" s="35"/>
      <c r="BJ130" s="35"/>
      <c r="BK130" s="35"/>
      <c r="BL130" s="35"/>
      <c r="BM130" s="35">
        <f t="shared" ref="BM130:BM141" si="31">SUM(BE130:BK130)</f>
        <v>0</v>
      </c>
      <c r="BN130" s="54" t="s">
        <v>347</v>
      </c>
    </row>
    <row r="131" spans="1:66" ht="12.75" hidden="1" customHeight="1">
      <c r="A131" s="35" t="s">
        <v>53</v>
      </c>
      <c r="C131" s="35" t="s">
        <v>53</v>
      </c>
      <c r="D131" s="35"/>
      <c r="E131" s="35">
        <f t="shared" si="19"/>
        <v>0</v>
      </c>
      <c r="F131" s="35"/>
      <c r="G131" s="35"/>
      <c r="H131" s="35"/>
      <c r="I131" s="35"/>
      <c r="J131" s="35"/>
      <c r="K131" s="35">
        <f t="shared" si="20"/>
        <v>0</v>
      </c>
      <c r="L131" s="35"/>
      <c r="M131" s="35">
        <v>0</v>
      </c>
      <c r="N131" s="35"/>
      <c r="O131" s="35"/>
      <c r="P131" s="35"/>
      <c r="Q131" s="35"/>
      <c r="R131" s="35"/>
      <c r="S131" s="35">
        <v>0</v>
      </c>
      <c r="T131" s="35"/>
      <c r="U131" s="35"/>
      <c r="V131" s="35"/>
      <c r="W131" s="35">
        <f t="shared" si="26"/>
        <v>0</v>
      </c>
      <c r="X131" s="35"/>
      <c r="Y131" s="35" t="s">
        <v>53</v>
      </c>
      <c r="Z131" s="55"/>
      <c r="AA131" s="35" t="s">
        <v>53</v>
      </c>
      <c r="AB131" s="35"/>
      <c r="AC131" s="35">
        <v>0</v>
      </c>
      <c r="AD131" s="35"/>
      <c r="AE131" s="35">
        <v>0</v>
      </c>
      <c r="AF131" s="35"/>
      <c r="AG131" s="35">
        <v>0</v>
      </c>
      <c r="AH131" s="35"/>
      <c r="AI131" s="45">
        <f t="shared" ref="AI131:AI192" si="32">+AC131-AE131-AG131</f>
        <v>0</v>
      </c>
      <c r="AJ131" s="45"/>
      <c r="AK131" s="35"/>
      <c r="AL131" s="35"/>
      <c r="AM131" s="35">
        <v>0</v>
      </c>
      <c r="AN131" s="35"/>
      <c r="AO131" s="35">
        <v>0</v>
      </c>
      <c r="AP131" s="35"/>
      <c r="AQ131" s="35">
        <v>0</v>
      </c>
      <c r="AR131" s="35"/>
      <c r="AS131" s="45">
        <f t="shared" si="28"/>
        <v>0</v>
      </c>
      <c r="AT131" s="45"/>
      <c r="AU131" s="35">
        <v>0</v>
      </c>
      <c r="AV131" s="35"/>
      <c r="AW131" s="35">
        <v>0</v>
      </c>
      <c r="AX131" s="35"/>
      <c r="AY131" s="35">
        <f t="shared" si="29"/>
        <v>0</v>
      </c>
      <c r="AZ131" s="35"/>
      <c r="BA131" s="35" t="s">
        <v>53</v>
      </c>
      <c r="BB131" s="55"/>
      <c r="BC131" s="35" t="s">
        <v>53</v>
      </c>
      <c r="BD131" s="35"/>
      <c r="BE131" s="35"/>
      <c r="BF131" s="35"/>
      <c r="BG131" s="35"/>
      <c r="BH131" s="35"/>
      <c r="BI131" s="35"/>
      <c r="BJ131" s="35"/>
      <c r="BK131" s="35"/>
      <c r="BL131" s="35"/>
      <c r="BM131" s="35">
        <f t="shared" si="31"/>
        <v>0</v>
      </c>
      <c r="BN131" s="54" t="s">
        <v>347</v>
      </c>
    </row>
    <row r="132" spans="1:66" ht="12.75" hidden="1" customHeight="1">
      <c r="A132" s="35" t="s">
        <v>165</v>
      </c>
      <c r="C132" s="35" t="s">
        <v>92</v>
      </c>
      <c r="D132" s="35"/>
      <c r="E132" s="35">
        <f t="shared" si="19"/>
        <v>0</v>
      </c>
      <c r="F132" s="35"/>
      <c r="G132" s="35"/>
      <c r="H132" s="35"/>
      <c r="I132" s="35"/>
      <c r="J132" s="35"/>
      <c r="K132" s="35">
        <f t="shared" si="20"/>
        <v>0</v>
      </c>
      <c r="L132" s="35"/>
      <c r="M132" s="35">
        <v>0</v>
      </c>
      <c r="N132" s="35"/>
      <c r="O132" s="35"/>
      <c r="P132" s="35"/>
      <c r="Q132" s="35"/>
      <c r="R132" s="35"/>
      <c r="S132" s="35">
        <v>0</v>
      </c>
      <c r="T132" s="35"/>
      <c r="U132" s="35"/>
      <c r="V132" s="35"/>
      <c r="W132" s="35">
        <f t="shared" si="26"/>
        <v>0</v>
      </c>
      <c r="X132" s="35"/>
      <c r="Y132" s="35" t="s">
        <v>165</v>
      </c>
      <c r="Z132" s="55"/>
      <c r="AA132" s="35" t="s">
        <v>92</v>
      </c>
      <c r="AB132" s="35"/>
      <c r="AC132" s="35">
        <v>0</v>
      </c>
      <c r="AD132" s="35"/>
      <c r="AE132" s="35">
        <v>0</v>
      </c>
      <c r="AF132" s="35"/>
      <c r="AG132" s="35">
        <v>0</v>
      </c>
      <c r="AH132" s="35"/>
      <c r="AI132" s="45">
        <f t="shared" si="32"/>
        <v>0</v>
      </c>
      <c r="AJ132" s="45"/>
      <c r="AK132" s="35"/>
      <c r="AL132" s="35"/>
      <c r="AM132" s="35">
        <v>0</v>
      </c>
      <c r="AN132" s="35"/>
      <c r="AO132" s="35">
        <v>0</v>
      </c>
      <c r="AP132" s="35"/>
      <c r="AQ132" s="35">
        <v>0</v>
      </c>
      <c r="AR132" s="35"/>
      <c r="AS132" s="45">
        <f t="shared" si="28"/>
        <v>0</v>
      </c>
      <c r="AT132" s="45"/>
      <c r="AU132" s="35">
        <v>0</v>
      </c>
      <c r="AV132" s="35"/>
      <c r="AW132" s="35">
        <v>0</v>
      </c>
      <c r="AX132" s="35"/>
      <c r="AY132" s="35">
        <f t="shared" si="29"/>
        <v>0</v>
      </c>
      <c r="AZ132" s="35"/>
      <c r="BA132" s="35" t="s">
        <v>165</v>
      </c>
      <c r="BB132" s="55"/>
      <c r="BC132" s="35" t="s">
        <v>92</v>
      </c>
      <c r="BD132" s="35"/>
      <c r="BE132" s="35"/>
      <c r="BF132" s="35"/>
      <c r="BG132" s="35"/>
      <c r="BH132" s="35"/>
      <c r="BI132" s="35"/>
      <c r="BJ132" s="35"/>
      <c r="BK132" s="35"/>
      <c r="BL132" s="35"/>
      <c r="BM132" s="35">
        <f t="shared" si="31"/>
        <v>0</v>
      </c>
      <c r="BN132" s="54" t="s">
        <v>347</v>
      </c>
    </row>
    <row r="133" spans="1:66" ht="12.75" hidden="1" customHeight="1">
      <c r="A133" s="35" t="s">
        <v>166</v>
      </c>
      <c r="C133" s="35" t="s">
        <v>92</v>
      </c>
      <c r="D133" s="35"/>
      <c r="E133" s="35">
        <f t="shared" si="19"/>
        <v>0</v>
      </c>
      <c r="F133" s="35"/>
      <c r="G133" s="35"/>
      <c r="H133" s="35"/>
      <c r="I133" s="35"/>
      <c r="J133" s="35"/>
      <c r="K133" s="35">
        <f t="shared" si="20"/>
        <v>0</v>
      </c>
      <c r="L133" s="35"/>
      <c r="M133" s="35">
        <v>0</v>
      </c>
      <c r="N133" s="35"/>
      <c r="O133" s="35"/>
      <c r="P133" s="35"/>
      <c r="Q133" s="35"/>
      <c r="R133" s="35"/>
      <c r="S133" s="35">
        <v>0</v>
      </c>
      <c r="T133" s="35"/>
      <c r="U133" s="35"/>
      <c r="V133" s="35"/>
      <c r="W133" s="35">
        <f t="shared" si="26"/>
        <v>0</v>
      </c>
      <c r="X133" s="35"/>
      <c r="Y133" s="35" t="s">
        <v>166</v>
      </c>
      <c r="Z133" s="55"/>
      <c r="AA133" s="35" t="s">
        <v>92</v>
      </c>
      <c r="AB133" s="35"/>
      <c r="AC133" s="35">
        <v>0</v>
      </c>
      <c r="AD133" s="35"/>
      <c r="AE133" s="35">
        <v>0</v>
      </c>
      <c r="AF133" s="35"/>
      <c r="AG133" s="35">
        <v>0</v>
      </c>
      <c r="AH133" s="35"/>
      <c r="AI133" s="45">
        <f t="shared" si="32"/>
        <v>0</v>
      </c>
      <c r="AJ133" s="45"/>
      <c r="AK133" s="35"/>
      <c r="AL133" s="35"/>
      <c r="AM133" s="35">
        <v>0</v>
      </c>
      <c r="AN133" s="35"/>
      <c r="AO133" s="35">
        <v>0</v>
      </c>
      <c r="AP133" s="35"/>
      <c r="AQ133" s="35">
        <v>0</v>
      </c>
      <c r="AR133" s="35"/>
      <c r="AS133" s="45">
        <f t="shared" si="28"/>
        <v>0</v>
      </c>
      <c r="AT133" s="45"/>
      <c r="AU133" s="35">
        <v>0</v>
      </c>
      <c r="AV133" s="35"/>
      <c r="AW133" s="35">
        <v>0</v>
      </c>
      <c r="AX133" s="35"/>
      <c r="AY133" s="35">
        <f t="shared" si="29"/>
        <v>0</v>
      </c>
      <c r="AZ133" s="35"/>
      <c r="BA133" s="35" t="s">
        <v>166</v>
      </c>
      <c r="BB133" s="55"/>
      <c r="BC133" s="35" t="s">
        <v>92</v>
      </c>
      <c r="BD133" s="35"/>
      <c r="BE133" s="35"/>
      <c r="BF133" s="35"/>
      <c r="BG133" s="35"/>
      <c r="BH133" s="35"/>
      <c r="BI133" s="35"/>
      <c r="BJ133" s="35"/>
      <c r="BK133" s="35"/>
      <c r="BL133" s="35"/>
      <c r="BM133" s="35">
        <f t="shared" si="31"/>
        <v>0</v>
      </c>
      <c r="BN133" s="54" t="s">
        <v>347</v>
      </c>
    </row>
    <row r="134" spans="1:66" ht="12.75" hidden="1" customHeight="1">
      <c r="A134" s="35" t="s">
        <v>167</v>
      </c>
      <c r="C134" s="35" t="s">
        <v>66</v>
      </c>
      <c r="D134" s="35"/>
      <c r="E134" s="35">
        <f t="shared" si="19"/>
        <v>0</v>
      </c>
      <c r="F134" s="35"/>
      <c r="G134" s="35"/>
      <c r="H134" s="35"/>
      <c r="I134" s="35"/>
      <c r="J134" s="35"/>
      <c r="K134" s="35">
        <f t="shared" si="20"/>
        <v>0</v>
      </c>
      <c r="L134" s="35"/>
      <c r="M134" s="35">
        <v>0</v>
      </c>
      <c r="N134" s="35"/>
      <c r="O134" s="35"/>
      <c r="P134" s="35"/>
      <c r="Q134" s="35"/>
      <c r="R134" s="35"/>
      <c r="S134" s="35">
        <v>0</v>
      </c>
      <c r="T134" s="35"/>
      <c r="U134" s="35"/>
      <c r="V134" s="35"/>
      <c r="W134" s="35">
        <f t="shared" si="26"/>
        <v>0</v>
      </c>
      <c r="X134" s="35"/>
      <c r="Y134" s="35" t="s">
        <v>167</v>
      </c>
      <c r="Z134" s="55"/>
      <c r="AA134" s="35" t="s">
        <v>66</v>
      </c>
      <c r="AB134" s="35"/>
      <c r="AC134" s="35">
        <v>0</v>
      </c>
      <c r="AD134" s="35"/>
      <c r="AE134" s="35">
        <v>0</v>
      </c>
      <c r="AF134" s="35"/>
      <c r="AG134" s="35">
        <v>0</v>
      </c>
      <c r="AH134" s="35"/>
      <c r="AI134" s="45">
        <f t="shared" si="32"/>
        <v>0</v>
      </c>
      <c r="AJ134" s="45"/>
      <c r="AK134" s="35"/>
      <c r="AL134" s="35"/>
      <c r="AM134" s="35">
        <v>0</v>
      </c>
      <c r="AN134" s="35"/>
      <c r="AO134" s="35">
        <v>0</v>
      </c>
      <c r="AP134" s="35"/>
      <c r="AQ134" s="35">
        <v>0</v>
      </c>
      <c r="AR134" s="35"/>
      <c r="AS134" s="45">
        <f t="shared" si="28"/>
        <v>0</v>
      </c>
      <c r="AT134" s="45"/>
      <c r="AU134" s="35">
        <v>0</v>
      </c>
      <c r="AV134" s="35"/>
      <c r="AW134" s="35">
        <v>0</v>
      </c>
      <c r="AX134" s="35"/>
      <c r="AY134" s="35">
        <f t="shared" si="29"/>
        <v>0</v>
      </c>
      <c r="AZ134" s="35"/>
      <c r="BA134" s="35" t="s">
        <v>167</v>
      </c>
      <c r="BB134" s="55"/>
      <c r="BC134" s="35" t="s">
        <v>66</v>
      </c>
      <c r="BD134" s="35"/>
      <c r="BE134" s="35"/>
      <c r="BF134" s="35"/>
      <c r="BG134" s="35"/>
      <c r="BH134" s="35"/>
      <c r="BI134" s="35"/>
      <c r="BJ134" s="35"/>
      <c r="BK134" s="35"/>
      <c r="BL134" s="35"/>
      <c r="BM134" s="35">
        <f t="shared" si="31"/>
        <v>0</v>
      </c>
      <c r="BN134" s="54" t="s">
        <v>347</v>
      </c>
    </row>
    <row r="135" spans="1:66" ht="12.75" hidden="1" customHeight="1">
      <c r="A135" s="44" t="s">
        <v>168</v>
      </c>
      <c r="C135" s="44" t="s">
        <v>27</v>
      </c>
      <c r="D135" s="44"/>
      <c r="E135" s="35">
        <f t="shared" si="19"/>
        <v>0</v>
      </c>
      <c r="F135" s="35"/>
      <c r="G135" s="35"/>
      <c r="H135" s="35"/>
      <c r="I135" s="35"/>
      <c r="J135" s="35"/>
      <c r="K135" s="35">
        <f t="shared" si="20"/>
        <v>0</v>
      </c>
      <c r="L135" s="35"/>
      <c r="M135" s="35">
        <v>0</v>
      </c>
      <c r="N135" s="35"/>
      <c r="O135" s="35"/>
      <c r="P135" s="35"/>
      <c r="Q135" s="35"/>
      <c r="R135" s="35"/>
      <c r="S135" s="35">
        <v>0</v>
      </c>
      <c r="T135" s="35"/>
      <c r="U135" s="35"/>
      <c r="V135" s="35"/>
      <c r="W135" s="35">
        <f t="shared" si="26"/>
        <v>0</v>
      </c>
      <c r="X135" s="35"/>
      <c r="Y135" s="44" t="s">
        <v>168</v>
      </c>
      <c r="Z135" s="55"/>
      <c r="AA135" s="44" t="s">
        <v>27</v>
      </c>
      <c r="AB135" s="44"/>
      <c r="AC135" s="35">
        <v>0</v>
      </c>
      <c r="AD135" s="35"/>
      <c r="AE135" s="35">
        <v>0</v>
      </c>
      <c r="AF135" s="35"/>
      <c r="AG135" s="35">
        <v>0</v>
      </c>
      <c r="AH135" s="35"/>
      <c r="AI135" s="45">
        <f t="shared" si="32"/>
        <v>0</v>
      </c>
      <c r="AJ135" s="45"/>
      <c r="AK135" s="35"/>
      <c r="AL135" s="35"/>
      <c r="AM135" s="35">
        <v>0</v>
      </c>
      <c r="AN135" s="35"/>
      <c r="AO135" s="35">
        <v>0</v>
      </c>
      <c r="AP135" s="35"/>
      <c r="AQ135" s="35">
        <v>0</v>
      </c>
      <c r="AR135" s="35"/>
      <c r="AS135" s="45">
        <f t="shared" si="28"/>
        <v>0</v>
      </c>
      <c r="AT135" s="45"/>
      <c r="AU135" s="35">
        <v>0</v>
      </c>
      <c r="AV135" s="35"/>
      <c r="AW135" s="35">
        <v>0</v>
      </c>
      <c r="AX135" s="35"/>
      <c r="AY135" s="35">
        <f t="shared" si="29"/>
        <v>0</v>
      </c>
      <c r="AZ135" s="35"/>
      <c r="BA135" s="44" t="s">
        <v>168</v>
      </c>
      <c r="BB135" s="55"/>
      <c r="BC135" s="44" t="s">
        <v>27</v>
      </c>
      <c r="BD135" s="44"/>
      <c r="BE135" s="35"/>
      <c r="BF135" s="35"/>
      <c r="BG135" s="35"/>
      <c r="BH135" s="35"/>
      <c r="BI135" s="35"/>
      <c r="BJ135" s="35"/>
      <c r="BK135" s="35"/>
      <c r="BL135" s="35"/>
      <c r="BM135" s="35">
        <f t="shared" si="31"/>
        <v>0</v>
      </c>
      <c r="BN135" s="54" t="s">
        <v>347</v>
      </c>
    </row>
    <row r="136" spans="1:66" ht="12.75" hidden="1" customHeight="1">
      <c r="A136" s="35" t="s">
        <v>169</v>
      </c>
      <c r="C136" s="35" t="s">
        <v>103</v>
      </c>
      <c r="D136" s="35"/>
      <c r="E136" s="35">
        <f t="shared" si="19"/>
        <v>0</v>
      </c>
      <c r="F136" s="35"/>
      <c r="G136" s="35"/>
      <c r="H136" s="35"/>
      <c r="I136" s="35"/>
      <c r="J136" s="35"/>
      <c r="K136" s="35">
        <f t="shared" si="20"/>
        <v>0</v>
      </c>
      <c r="L136" s="35"/>
      <c r="M136" s="35">
        <v>0</v>
      </c>
      <c r="N136" s="35"/>
      <c r="O136" s="35"/>
      <c r="P136" s="35"/>
      <c r="Q136" s="35"/>
      <c r="R136" s="35"/>
      <c r="S136" s="35">
        <v>0</v>
      </c>
      <c r="T136" s="35"/>
      <c r="U136" s="35"/>
      <c r="V136" s="35"/>
      <c r="W136" s="35">
        <f t="shared" si="26"/>
        <v>0</v>
      </c>
      <c r="X136" s="35"/>
      <c r="Y136" s="35" t="s">
        <v>169</v>
      </c>
      <c r="Z136" s="55"/>
      <c r="AA136" s="35" t="s">
        <v>103</v>
      </c>
      <c r="AB136" s="35"/>
      <c r="AC136" s="35">
        <v>0</v>
      </c>
      <c r="AD136" s="35"/>
      <c r="AE136" s="35">
        <v>0</v>
      </c>
      <c r="AF136" s="35"/>
      <c r="AG136" s="35">
        <v>0</v>
      </c>
      <c r="AH136" s="35"/>
      <c r="AI136" s="45">
        <f t="shared" si="32"/>
        <v>0</v>
      </c>
      <c r="AJ136" s="45"/>
      <c r="AK136" s="35"/>
      <c r="AL136" s="35"/>
      <c r="AM136" s="35">
        <v>0</v>
      </c>
      <c r="AN136" s="35"/>
      <c r="AO136" s="35">
        <v>0</v>
      </c>
      <c r="AP136" s="35"/>
      <c r="AQ136" s="35">
        <v>0</v>
      </c>
      <c r="AR136" s="35"/>
      <c r="AS136" s="45">
        <f t="shared" si="28"/>
        <v>0</v>
      </c>
      <c r="AT136" s="45"/>
      <c r="AU136" s="35">
        <v>0</v>
      </c>
      <c r="AV136" s="35"/>
      <c r="AW136" s="35">
        <v>0</v>
      </c>
      <c r="AX136" s="35"/>
      <c r="AY136" s="35">
        <f t="shared" si="29"/>
        <v>0</v>
      </c>
      <c r="AZ136" s="35"/>
      <c r="BA136" s="35" t="s">
        <v>169</v>
      </c>
      <c r="BB136" s="55"/>
      <c r="BC136" s="35" t="s">
        <v>103</v>
      </c>
      <c r="BD136" s="35"/>
      <c r="BE136" s="35"/>
      <c r="BF136" s="35"/>
      <c r="BG136" s="35"/>
      <c r="BH136" s="35"/>
      <c r="BI136" s="35"/>
      <c r="BJ136" s="35"/>
      <c r="BK136" s="35"/>
      <c r="BL136" s="35"/>
      <c r="BM136" s="35">
        <f t="shared" si="31"/>
        <v>0</v>
      </c>
      <c r="BN136" s="54" t="s">
        <v>347</v>
      </c>
    </row>
    <row r="137" spans="1:66" ht="12.75" hidden="1" customHeight="1">
      <c r="A137" s="35" t="s">
        <v>170</v>
      </c>
      <c r="C137" s="35" t="s">
        <v>171</v>
      </c>
      <c r="D137" s="35"/>
      <c r="E137" s="35">
        <f t="shared" si="19"/>
        <v>0</v>
      </c>
      <c r="F137" s="35"/>
      <c r="G137" s="35"/>
      <c r="H137" s="35"/>
      <c r="I137" s="35"/>
      <c r="J137" s="35"/>
      <c r="K137" s="35">
        <f t="shared" si="20"/>
        <v>0</v>
      </c>
      <c r="L137" s="35"/>
      <c r="M137" s="35">
        <v>0</v>
      </c>
      <c r="N137" s="35"/>
      <c r="O137" s="35"/>
      <c r="P137" s="35"/>
      <c r="Q137" s="35"/>
      <c r="R137" s="35"/>
      <c r="S137" s="35">
        <v>0</v>
      </c>
      <c r="T137" s="35"/>
      <c r="U137" s="35"/>
      <c r="V137" s="35"/>
      <c r="W137" s="35">
        <f t="shared" si="26"/>
        <v>0</v>
      </c>
      <c r="X137" s="35"/>
      <c r="Y137" s="35" t="s">
        <v>170</v>
      </c>
      <c r="Z137" s="55"/>
      <c r="AA137" s="35" t="s">
        <v>171</v>
      </c>
      <c r="AB137" s="35"/>
      <c r="AC137" s="35">
        <v>0</v>
      </c>
      <c r="AD137" s="35"/>
      <c r="AE137" s="35">
        <v>0</v>
      </c>
      <c r="AF137" s="35"/>
      <c r="AG137" s="35">
        <v>0</v>
      </c>
      <c r="AH137" s="35"/>
      <c r="AI137" s="45">
        <f t="shared" si="32"/>
        <v>0</v>
      </c>
      <c r="AJ137" s="45"/>
      <c r="AK137" s="35"/>
      <c r="AL137" s="35"/>
      <c r="AM137" s="35">
        <v>0</v>
      </c>
      <c r="AN137" s="35"/>
      <c r="AO137" s="35">
        <v>0</v>
      </c>
      <c r="AP137" s="35"/>
      <c r="AQ137" s="35">
        <v>0</v>
      </c>
      <c r="AR137" s="35"/>
      <c r="AS137" s="45">
        <f t="shared" si="28"/>
        <v>0</v>
      </c>
      <c r="AT137" s="45"/>
      <c r="AU137" s="35">
        <v>0</v>
      </c>
      <c r="AV137" s="35"/>
      <c r="AW137" s="35">
        <v>0</v>
      </c>
      <c r="AX137" s="35"/>
      <c r="AY137" s="35">
        <f t="shared" si="29"/>
        <v>0</v>
      </c>
      <c r="AZ137" s="35"/>
      <c r="BA137" s="35" t="s">
        <v>170</v>
      </c>
      <c r="BB137" s="55"/>
      <c r="BC137" s="35" t="s">
        <v>171</v>
      </c>
      <c r="BD137" s="35"/>
      <c r="BE137" s="35"/>
      <c r="BF137" s="35"/>
      <c r="BG137" s="35"/>
      <c r="BH137" s="35"/>
      <c r="BI137" s="35"/>
      <c r="BJ137" s="35"/>
      <c r="BK137" s="35"/>
      <c r="BL137" s="35"/>
      <c r="BM137" s="35">
        <f t="shared" si="31"/>
        <v>0</v>
      </c>
      <c r="BN137" s="54" t="s">
        <v>347</v>
      </c>
    </row>
    <row r="138" spans="1:66" ht="12.75" hidden="1" customHeight="1">
      <c r="A138" s="35" t="s">
        <v>172</v>
      </c>
      <c r="C138" s="35" t="s">
        <v>103</v>
      </c>
      <c r="D138" s="35"/>
      <c r="E138" s="35">
        <f t="shared" si="19"/>
        <v>0</v>
      </c>
      <c r="F138" s="35"/>
      <c r="G138" s="35"/>
      <c r="H138" s="35"/>
      <c r="I138" s="35"/>
      <c r="J138" s="35"/>
      <c r="K138" s="35">
        <f t="shared" si="20"/>
        <v>0</v>
      </c>
      <c r="L138" s="35"/>
      <c r="M138" s="35">
        <v>0</v>
      </c>
      <c r="N138" s="35"/>
      <c r="O138" s="35"/>
      <c r="P138" s="35"/>
      <c r="Q138" s="35"/>
      <c r="R138" s="35"/>
      <c r="S138" s="35">
        <v>0</v>
      </c>
      <c r="T138" s="35"/>
      <c r="U138" s="35"/>
      <c r="V138" s="35"/>
      <c r="W138" s="35">
        <f t="shared" si="26"/>
        <v>0</v>
      </c>
      <c r="X138" s="35"/>
      <c r="Y138" s="35" t="s">
        <v>172</v>
      </c>
      <c r="Z138" s="55"/>
      <c r="AA138" s="35" t="s">
        <v>103</v>
      </c>
      <c r="AB138" s="35"/>
      <c r="AC138" s="35">
        <v>0</v>
      </c>
      <c r="AD138" s="35"/>
      <c r="AE138" s="35">
        <v>0</v>
      </c>
      <c r="AF138" s="35"/>
      <c r="AG138" s="35">
        <v>0</v>
      </c>
      <c r="AH138" s="35"/>
      <c r="AI138" s="45">
        <f t="shared" si="32"/>
        <v>0</v>
      </c>
      <c r="AJ138" s="45"/>
      <c r="AK138" s="35"/>
      <c r="AL138" s="35"/>
      <c r="AM138" s="35">
        <v>0</v>
      </c>
      <c r="AN138" s="35"/>
      <c r="AO138" s="35">
        <v>0</v>
      </c>
      <c r="AP138" s="35"/>
      <c r="AQ138" s="35">
        <v>0</v>
      </c>
      <c r="AR138" s="35"/>
      <c r="AS138" s="45">
        <f t="shared" si="28"/>
        <v>0</v>
      </c>
      <c r="AT138" s="45"/>
      <c r="AU138" s="35">
        <v>0</v>
      </c>
      <c r="AV138" s="35"/>
      <c r="AW138" s="35">
        <v>0</v>
      </c>
      <c r="AX138" s="35"/>
      <c r="AY138" s="35">
        <f t="shared" si="29"/>
        <v>0</v>
      </c>
      <c r="AZ138" s="35"/>
      <c r="BA138" s="35" t="s">
        <v>172</v>
      </c>
      <c r="BB138" s="55"/>
      <c r="BC138" s="35" t="s">
        <v>103</v>
      </c>
      <c r="BD138" s="35"/>
      <c r="BE138" s="35"/>
      <c r="BF138" s="35"/>
      <c r="BG138" s="35"/>
      <c r="BH138" s="35"/>
      <c r="BI138" s="35"/>
      <c r="BJ138" s="35"/>
      <c r="BK138" s="35"/>
      <c r="BL138" s="35"/>
      <c r="BM138" s="35">
        <f t="shared" si="31"/>
        <v>0</v>
      </c>
      <c r="BN138" s="54" t="s">
        <v>347</v>
      </c>
    </row>
    <row r="139" spans="1:66" ht="12.75" hidden="1" customHeight="1">
      <c r="A139" s="35" t="s">
        <v>66</v>
      </c>
      <c r="C139" s="35" t="s">
        <v>45</v>
      </c>
      <c r="D139" s="35"/>
      <c r="E139" s="35">
        <f t="shared" si="19"/>
        <v>0</v>
      </c>
      <c r="F139" s="35"/>
      <c r="G139" s="35"/>
      <c r="H139" s="35"/>
      <c r="I139" s="35"/>
      <c r="J139" s="35"/>
      <c r="K139" s="35">
        <f t="shared" si="20"/>
        <v>0</v>
      </c>
      <c r="L139" s="35"/>
      <c r="M139" s="35">
        <v>0</v>
      </c>
      <c r="N139" s="35"/>
      <c r="O139" s="35"/>
      <c r="P139" s="35"/>
      <c r="Q139" s="35"/>
      <c r="R139" s="35"/>
      <c r="S139" s="35">
        <v>0</v>
      </c>
      <c r="T139" s="35"/>
      <c r="U139" s="35"/>
      <c r="V139" s="35"/>
      <c r="W139" s="35">
        <f t="shared" ref="W139:W170" si="33">SUM(Q139:U139)</f>
        <v>0</v>
      </c>
      <c r="X139" s="35"/>
      <c r="Y139" s="35" t="s">
        <v>66</v>
      </c>
      <c r="Z139" s="55"/>
      <c r="AA139" s="35" t="s">
        <v>45</v>
      </c>
      <c r="AB139" s="35"/>
      <c r="AC139" s="35">
        <v>0</v>
      </c>
      <c r="AD139" s="35"/>
      <c r="AE139" s="35">
        <v>0</v>
      </c>
      <c r="AF139" s="35"/>
      <c r="AG139" s="35">
        <v>0</v>
      </c>
      <c r="AH139" s="35"/>
      <c r="AI139" s="45">
        <f t="shared" si="32"/>
        <v>0</v>
      </c>
      <c r="AJ139" s="45"/>
      <c r="AK139" s="35"/>
      <c r="AL139" s="35"/>
      <c r="AM139" s="35">
        <v>0</v>
      </c>
      <c r="AN139" s="35"/>
      <c r="AO139" s="35">
        <v>0</v>
      </c>
      <c r="AP139" s="35"/>
      <c r="AQ139" s="35">
        <v>0</v>
      </c>
      <c r="AR139" s="35"/>
      <c r="AS139" s="45">
        <f t="shared" si="28"/>
        <v>0</v>
      </c>
      <c r="AT139" s="45"/>
      <c r="AU139" s="35">
        <v>0</v>
      </c>
      <c r="AV139" s="35"/>
      <c r="AW139" s="35">
        <v>0</v>
      </c>
      <c r="AX139" s="35"/>
      <c r="AY139" s="35">
        <f t="shared" si="29"/>
        <v>0</v>
      </c>
      <c r="AZ139" s="35"/>
      <c r="BA139" s="35" t="s">
        <v>66</v>
      </c>
      <c r="BB139" s="55"/>
      <c r="BC139" s="35" t="s">
        <v>45</v>
      </c>
      <c r="BD139" s="35"/>
      <c r="BE139" s="35"/>
      <c r="BF139" s="35"/>
      <c r="BG139" s="35"/>
      <c r="BH139" s="35"/>
      <c r="BI139" s="35"/>
      <c r="BJ139" s="35"/>
      <c r="BK139" s="35"/>
      <c r="BL139" s="35"/>
      <c r="BM139" s="35">
        <f t="shared" si="31"/>
        <v>0</v>
      </c>
      <c r="BN139" s="54" t="s">
        <v>347</v>
      </c>
    </row>
    <row r="140" spans="1:66" ht="12.75" hidden="1" customHeight="1">
      <c r="A140" s="35" t="s">
        <v>173</v>
      </c>
      <c r="C140" s="35" t="s">
        <v>66</v>
      </c>
      <c r="D140" s="35"/>
      <c r="E140" s="35">
        <f t="shared" ref="E140:E203" si="34">I140-G140</f>
        <v>0</v>
      </c>
      <c r="F140" s="35"/>
      <c r="G140" s="35"/>
      <c r="H140" s="35"/>
      <c r="I140" s="35"/>
      <c r="J140" s="35"/>
      <c r="K140" s="35">
        <f t="shared" ref="K140:K203" si="35">O140-M140</f>
        <v>0</v>
      </c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>
        <f t="shared" si="33"/>
        <v>0</v>
      </c>
      <c r="X140" s="35"/>
      <c r="Y140" s="35" t="s">
        <v>173</v>
      </c>
      <c r="Z140" s="55"/>
      <c r="AA140" s="35" t="s">
        <v>66</v>
      </c>
      <c r="AB140" s="35"/>
      <c r="AC140" s="35"/>
      <c r="AD140" s="35"/>
      <c r="AE140" s="35"/>
      <c r="AF140" s="35"/>
      <c r="AG140" s="35"/>
      <c r="AH140" s="35"/>
      <c r="AI140" s="45">
        <f t="shared" si="32"/>
        <v>0</v>
      </c>
      <c r="AJ140" s="45"/>
      <c r="AK140" s="35"/>
      <c r="AL140" s="35"/>
      <c r="AM140" s="35"/>
      <c r="AN140" s="35"/>
      <c r="AO140" s="35"/>
      <c r="AP140" s="35"/>
      <c r="AQ140" s="35"/>
      <c r="AR140" s="35"/>
      <c r="AS140" s="45">
        <f t="shared" si="28"/>
        <v>0</v>
      </c>
      <c r="AT140" s="45"/>
      <c r="AU140" s="35">
        <v>0</v>
      </c>
      <c r="AV140" s="35"/>
      <c r="AW140" s="35">
        <v>0</v>
      </c>
      <c r="AX140" s="35"/>
      <c r="AY140" s="35">
        <f t="shared" si="29"/>
        <v>0</v>
      </c>
      <c r="AZ140" s="35"/>
      <c r="BA140" s="35" t="s">
        <v>173</v>
      </c>
      <c r="BB140" s="55"/>
      <c r="BC140" s="35" t="s">
        <v>66</v>
      </c>
      <c r="BD140" s="35"/>
      <c r="BE140" s="35"/>
      <c r="BF140" s="35"/>
      <c r="BG140" s="35"/>
      <c r="BH140" s="35"/>
      <c r="BI140" s="35"/>
      <c r="BJ140" s="35"/>
      <c r="BK140" s="35"/>
      <c r="BL140" s="35"/>
      <c r="BM140" s="35">
        <f t="shared" si="31"/>
        <v>0</v>
      </c>
      <c r="BN140" s="54" t="s">
        <v>347</v>
      </c>
    </row>
    <row r="141" spans="1:66" ht="12.75" hidden="1" customHeight="1">
      <c r="A141" s="35" t="s">
        <v>174</v>
      </c>
      <c r="C141" s="35" t="s">
        <v>45</v>
      </c>
      <c r="D141" s="35"/>
      <c r="E141" s="35">
        <f t="shared" si="34"/>
        <v>0</v>
      </c>
      <c r="F141" s="35"/>
      <c r="G141" s="35"/>
      <c r="H141" s="35"/>
      <c r="I141" s="35"/>
      <c r="J141" s="35"/>
      <c r="K141" s="35">
        <f t="shared" si="35"/>
        <v>0</v>
      </c>
      <c r="L141" s="35"/>
      <c r="M141" s="35">
        <v>0</v>
      </c>
      <c r="N141" s="35"/>
      <c r="O141" s="35"/>
      <c r="P141" s="35"/>
      <c r="Q141" s="35"/>
      <c r="R141" s="35"/>
      <c r="S141" s="35">
        <v>0</v>
      </c>
      <c r="T141" s="35"/>
      <c r="U141" s="35"/>
      <c r="V141" s="35"/>
      <c r="W141" s="35">
        <f t="shared" si="33"/>
        <v>0</v>
      </c>
      <c r="X141" s="35"/>
      <c r="Y141" s="35" t="s">
        <v>174</v>
      </c>
      <c r="Z141" s="55"/>
      <c r="AA141" s="35" t="s">
        <v>45</v>
      </c>
      <c r="AB141" s="35"/>
      <c r="AC141" s="35">
        <v>0</v>
      </c>
      <c r="AD141" s="35"/>
      <c r="AE141" s="35">
        <v>0</v>
      </c>
      <c r="AF141" s="35"/>
      <c r="AG141" s="35">
        <v>0</v>
      </c>
      <c r="AH141" s="35"/>
      <c r="AI141" s="45">
        <f t="shared" si="32"/>
        <v>0</v>
      </c>
      <c r="AJ141" s="45"/>
      <c r="AK141" s="35"/>
      <c r="AL141" s="35"/>
      <c r="AM141" s="35">
        <v>0</v>
      </c>
      <c r="AN141" s="35"/>
      <c r="AO141" s="35">
        <v>0</v>
      </c>
      <c r="AP141" s="35"/>
      <c r="AQ141" s="35">
        <v>0</v>
      </c>
      <c r="AR141" s="35"/>
      <c r="AS141" s="45">
        <f t="shared" si="28"/>
        <v>0</v>
      </c>
      <c r="AT141" s="45"/>
      <c r="AU141" s="35">
        <v>0</v>
      </c>
      <c r="AV141" s="35"/>
      <c r="AW141" s="35">
        <v>0</v>
      </c>
      <c r="AX141" s="35"/>
      <c r="AY141" s="35">
        <f t="shared" si="29"/>
        <v>0</v>
      </c>
      <c r="AZ141" s="35"/>
      <c r="BA141" s="35" t="s">
        <v>174</v>
      </c>
      <c r="BB141" s="55"/>
      <c r="BC141" s="35" t="s">
        <v>45</v>
      </c>
      <c r="BD141" s="35"/>
      <c r="BE141" s="35"/>
      <c r="BF141" s="35"/>
      <c r="BG141" s="35"/>
      <c r="BH141" s="35"/>
      <c r="BI141" s="35"/>
      <c r="BJ141" s="35"/>
      <c r="BK141" s="35"/>
      <c r="BL141" s="35"/>
      <c r="BM141" s="35">
        <f t="shared" si="31"/>
        <v>0</v>
      </c>
      <c r="BN141" s="54" t="s">
        <v>347</v>
      </c>
    </row>
    <row r="142" spans="1:66" ht="12.75" hidden="1" customHeight="1">
      <c r="A142" s="35" t="s">
        <v>175</v>
      </c>
      <c r="C142" s="35" t="s">
        <v>176</v>
      </c>
      <c r="D142" s="35"/>
      <c r="E142" s="35">
        <f t="shared" si="34"/>
        <v>0</v>
      </c>
      <c r="F142" s="35"/>
      <c r="G142" s="35"/>
      <c r="H142" s="35"/>
      <c r="I142" s="35"/>
      <c r="J142" s="35"/>
      <c r="K142" s="35">
        <f t="shared" si="35"/>
        <v>0</v>
      </c>
      <c r="L142" s="35"/>
      <c r="M142" s="35">
        <v>0</v>
      </c>
      <c r="N142" s="35"/>
      <c r="O142" s="35"/>
      <c r="P142" s="35"/>
      <c r="Q142" s="35"/>
      <c r="R142" s="35"/>
      <c r="S142" s="35">
        <v>0</v>
      </c>
      <c r="T142" s="35"/>
      <c r="U142" s="35"/>
      <c r="V142" s="35"/>
      <c r="W142" s="35">
        <f t="shared" si="33"/>
        <v>0</v>
      </c>
      <c r="X142" s="35"/>
      <c r="Y142" s="35" t="s">
        <v>175</v>
      </c>
      <c r="Z142" s="55"/>
      <c r="AA142" s="35" t="s">
        <v>176</v>
      </c>
      <c r="AB142" s="35"/>
      <c r="AC142" s="35">
        <v>0</v>
      </c>
      <c r="AD142" s="35"/>
      <c r="AE142" s="35">
        <v>0</v>
      </c>
      <c r="AF142" s="35"/>
      <c r="AG142" s="35">
        <v>0</v>
      </c>
      <c r="AH142" s="35"/>
      <c r="AI142" s="45">
        <f t="shared" si="32"/>
        <v>0</v>
      </c>
      <c r="AJ142" s="45"/>
      <c r="AK142" s="35"/>
      <c r="AL142" s="35"/>
      <c r="AM142" s="35">
        <v>0</v>
      </c>
      <c r="AN142" s="35"/>
      <c r="AO142" s="35">
        <v>0</v>
      </c>
      <c r="AP142" s="35"/>
      <c r="AQ142" s="35">
        <v>0</v>
      </c>
      <c r="AR142" s="35"/>
      <c r="AS142" s="45">
        <f t="shared" ref="AS142:AS205" si="36">+AI142+AK142+AM142-AO142+AQ142</f>
        <v>0</v>
      </c>
      <c r="AT142" s="45"/>
      <c r="AU142" s="35">
        <v>0</v>
      </c>
      <c r="AV142" s="35"/>
      <c r="AW142" s="35">
        <v>0</v>
      </c>
      <c r="AX142" s="35"/>
      <c r="AY142" s="35">
        <f t="shared" ref="AY142:AY205" si="37">+E142-K142</f>
        <v>0</v>
      </c>
      <c r="AZ142" s="35"/>
      <c r="BA142" s="35" t="s">
        <v>175</v>
      </c>
      <c r="BB142" s="55"/>
      <c r="BC142" s="35" t="s">
        <v>176</v>
      </c>
      <c r="BD142" s="35"/>
      <c r="BE142" s="35"/>
      <c r="BF142" s="35"/>
      <c r="BG142" s="35"/>
      <c r="BH142" s="35"/>
      <c r="BI142" s="35"/>
      <c r="BJ142" s="35"/>
      <c r="BK142" s="35"/>
      <c r="BL142" s="35"/>
      <c r="BM142" s="35">
        <v>0</v>
      </c>
      <c r="BN142" s="54" t="s">
        <v>347</v>
      </c>
    </row>
    <row r="143" spans="1:66" ht="12.75" hidden="1" customHeight="1">
      <c r="A143" s="35" t="s">
        <v>177</v>
      </c>
      <c r="C143" s="35" t="s">
        <v>13</v>
      </c>
      <c r="D143" s="35"/>
      <c r="E143" s="35">
        <f t="shared" si="34"/>
        <v>0</v>
      </c>
      <c r="F143" s="35"/>
      <c r="G143" s="35"/>
      <c r="H143" s="35"/>
      <c r="I143" s="35"/>
      <c r="J143" s="35"/>
      <c r="K143" s="35">
        <f t="shared" si="35"/>
        <v>0</v>
      </c>
      <c r="L143" s="35"/>
      <c r="M143" s="35">
        <v>0</v>
      </c>
      <c r="N143" s="35"/>
      <c r="O143" s="35"/>
      <c r="P143" s="35"/>
      <c r="Q143" s="35"/>
      <c r="R143" s="35"/>
      <c r="S143" s="35">
        <v>0</v>
      </c>
      <c r="T143" s="35"/>
      <c r="U143" s="35"/>
      <c r="V143" s="35"/>
      <c r="W143" s="35">
        <f t="shared" si="33"/>
        <v>0</v>
      </c>
      <c r="X143" s="35"/>
      <c r="Y143" s="35" t="s">
        <v>177</v>
      </c>
      <c r="Z143" s="55"/>
      <c r="AA143" s="35" t="s">
        <v>13</v>
      </c>
      <c r="AB143" s="35"/>
      <c r="AC143" s="35">
        <v>0</v>
      </c>
      <c r="AD143" s="35"/>
      <c r="AE143" s="35">
        <v>0</v>
      </c>
      <c r="AF143" s="35"/>
      <c r="AG143" s="35">
        <v>0</v>
      </c>
      <c r="AH143" s="35"/>
      <c r="AI143" s="45">
        <f t="shared" si="32"/>
        <v>0</v>
      </c>
      <c r="AJ143" s="45"/>
      <c r="AK143" s="35"/>
      <c r="AL143" s="35"/>
      <c r="AM143" s="35">
        <v>0</v>
      </c>
      <c r="AN143" s="35"/>
      <c r="AO143" s="35">
        <v>0</v>
      </c>
      <c r="AP143" s="35"/>
      <c r="AQ143" s="35">
        <v>0</v>
      </c>
      <c r="AR143" s="35"/>
      <c r="AS143" s="45">
        <f t="shared" si="36"/>
        <v>0</v>
      </c>
      <c r="AT143" s="45"/>
      <c r="AU143" s="35">
        <v>0</v>
      </c>
      <c r="AV143" s="35"/>
      <c r="AW143" s="35">
        <v>0</v>
      </c>
      <c r="AX143" s="35"/>
      <c r="AY143" s="35">
        <f t="shared" si="37"/>
        <v>0</v>
      </c>
      <c r="AZ143" s="35"/>
      <c r="BA143" s="35" t="s">
        <v>177</v>
      </c>
      <c r="BB143" s="55"/>
      <c r="BC143" s="35" t="s">
        <v>13</v>
      </c>
      <c r="BD143" s="35"/>
      <c r="BE143" s="35"/>
      <c r="BF143" s="35"/>
      <c r="BG143" s="35"/>
      <c r="BH143" s="35"/>
      <c r="BI143" s="35"/>
      <c r="BJ143" s="35"/>
      <c r="BK143" s="35"/>
      <c r="BL143" s="35"/>
      <c r="BM143" s="35">
        <f t="shared" ref="BM143:BM188" si="38">SUM(BE143:BK143)</f>
        <v>0</v>
      </c>
      <c r="BN143" s="54" t="s">
        <v>347</v>
      </c>
    </row>
    <row r="144" spans="1:66" ht="13.5" customHeight="1">
      <c r="A144" s="35" t="s">
        <v>178</v>
      </c>
      <c r="C144" s="35" t="s">
        <v>179</v>
      </c>
      <c r="D144" s="35"/>
      <c r="E144" s="35">
        <f t="shared" si="34"/>
        <v>10240311</v>
      </c>
      <c r="F144" s="35"/>
      <c r="G144" s="35">
        <v>12484722</v>
      </c>
      <c r="H144" s="35"/>
      <c r="I144" s="35">
        <v>22725033</v>
      </c>
      <c r="J144" s="35"/>
      <c r="K144" s="35">
        <f t="shared" si="35"/>
        <v>964010</v>
      </c>
      <c r="L144" s="35"/>
      <c r="M144" s="35">
        <v>2204420</v>
      </c>
      <c r="N144" s="35"/>
      <c r="O144" s="35">
        <v>3168430</v>
      </c>
      <c r="P144" s="35"/>
      <c r="Q144" s="35">
        <v>9410917</v>
      </c>
      <c r="R144" s="35"/>
      <c r="S144" s="35">
        <v>0</v>
      </c>
      <c r="T144" s="35"/>
      <c r="U144" s="35">
        <v>10145686</v>
      </c>
      <c r="V144" s="35"/>
      <c r="W144" s="35">
        <f t="shared" si="33"/>
        <v>19556603</v>
      </c>
      <c r="X144" s="35"/>
      <c r="Y144" s="35" t="s">
        <v>178</v>
      </c>
      <c r="Z144" s="55"/>
      <c r="AA144" s="35" t="s">
        <v>179</v>
      </c>
      <c r="AB144" s="35"/>
      <c r="AC144" s="35">
        <v>13182141</v>
      </c>
      <c r="AD144" s="35"/>
      <c r="AE144" s="35">
        <f>12279259-420325</f>
        <v>11858934</v>
      </c>
      <c r="AF144" s="35"/>
      <c r="AG144" s="35">
        <v>420325</v>
      </c>
      <c r="AH144" s="35"/>
      <c r="AI144" s="45">
        <f t="shared" si="32"/>
        <v>902882</v>
      </c>
      <c r="AJ144" s="45"/>
      <c r="AK144" s="35">
        <v>151112</v>
      </c>
      <c r="AL144" s="35"/>
      <c r="AM144" s="35">
        <v>0</v>
      </c>
      <c r="AN144" s="35"/>
      <c r="AO144" s="35">
        <v>0</v>
      </c>
      <c r="AP144" s="35"/>
      <c r="AQ144" s="35">
        <v>0</v>
      </c>
      <c r="AR144" s="35"/>
      <c r="AS144" s="45">
        <f t="shared" si="36"/>
        <v>1053994</v>
      </c>
      <c r="AT144" s="45"/>
      <c r="AU144" s="35">
        <v>0</v>
      </c>
      <c r="AV144" s="35"/>
      <c r="AW144" s="35">
        <v>0</v>
      </c>
      <c r="AX144" s="35"/>
      <c r="AY144" s="35">
        <f t="shared" si="37"/>
        <v>9276301</v>
      </c>
      <c r="AZ144" s="35"/>
      <c r="BA144" s="35" t="s">
        <v>178</v>
      </c>
      <c r="BB144" s="55"/>
      <c r="BC144" s="35" t="s">
        <v>179</v>
      </c>
      <c r="BD144" s="35"/>
      <c r="BE144" s="35">
        <v>0</v>
      </c>
      <c r="BF144" s="35"/>
      <c r="BG144" s="35">
        <v>1975000</v>
      </c>
      <c r="BH144" s="35"/>
      <c r="BI144" s="35">
        <v>0</v>
      </c>
      <c r="BJ144" s="35"/>
      <c r="BK144" s="35">
        <v>0</v>
      </c>
      <c r="BL144" s="35"/>
      <c r="BM144" s="35">
        <f t="shared" si="38"/>
        <v>1975000</v>
      </c>
      <c r="BN144" s="54" t="s">
        <v>347</v>
      </c>
    </row>
    <row r="145" spans="1:66" ht="12.75" hidden="1" customHeight="1">
      <c r="A145" s="35" t="s">
        <v>180</v>
      </c>
      <c r="C145" s="35" t="s">
        <v>20</v>
      </c>
      <c r="D145" s="35"/>
      <c r="E145" s="35">
        <f t="shared" si="34"/>
        <v>0</v>
      </c>
      <c r="F145" s="35"/>
      <c r="G145" s="35"/>
      <c r="H145" s="35"/>
      <c r="I145" s="35"/>
      <c r="J145" s="35"/>
      <c r="K145" s="35">
        <f t="shared" si="35"/>
        <v>0</v>
      </c>
      <c r="L145" s="35"/>
      <c r="M145" s="35">
        <v>0</v>
      </c>
      <c r="N145" s="35"/>
      <c r="O145" s="35"/>
      <c r="P145" s="35"/>
      <c r="Q145" s="35"/>
      <c r="R145" s="35"/>
      <c r="S145" s="35">
        <v>0</v>
      </c>
      <c r="T145" s="35"/>
      <c r="U145" s="35"/>
      <c r="V145" s="35"/>
      <c r="W145" s="35">
        <f t="shared" si="33"/>
        <v>0</v>
      </c>
      <c r="X145" s="35"/>
      <c r="Y145" s="35" t="s">
        <v>180</v>
      </c>
      <c r="Z145" s="55"/>
      <c r="AA145" s="35" t="s">
        <v>20</v>
      </c>
      <c r="AB145" s="35"/>
      <c r="AC145" s="35">
        <v>0</v>
      </c>
      <c r="AD145" s="35"/>
      <c r="AE145" s="35">
        <v>0</v>
      </c>
      <c r="AF145" s="35"/>
      <c r="AG145" s="35">
        <v>0</v>
      </c>
      <c r="AH145" s="35"/>
      <c r="AI145" s="45">
        <f t="shared" si="32"/>
        <v>0</v>
      </c>
      <c r="AJ145" s="45"/>
      <c r="AK145" s="35"/>
      <c r="AL145" s="35"/>
      <c r="AM145" s="35">
        <v>0</v>
      </c>
      <c r="AN145" s="35"/>
      <c r="AO145" s="35">
        <v>0</v>
      </c>
      <c r="AP145" s="35"/>
      <c r="AQ145" s="35">
        <v>0</v>
      </c>
      <c r="AR145" s="35"/>
      <c r="AS145" s="45">
        <f t="shared" si="36"/>
        <v>0</v>
      </c>
      <c r="AT145" s="45"/>
      <c r="AU145" s="35">
        <v>0</v>
      </c>
      <c r="AV145" s="35"/>
      <c r="AW145" s="35">
        <v>0</v>
      </c>
      <c r="AX145" s="35"/>
      <c r="AY145" s="35">
        <f t="shared" si="37"/>
        <v>0</v>
      </c>
      <c r="AZ145" s="35"/>
      <c r="BA145" s="35" t="s">
        <v>180</v>
      </c>
      <c r="BB145" s="55"/>
      <c r="BC145" s="35" t="s">
        <v>20</v>
      </c>
      <c r="BD145" s="35"/>
      <c r="BE145" s="35"/>
      <c r="BF145" s="35"/>
      <c r="BG145" s="35"/>
      <c r="BH145" s="35"/>
      <c r="BI145" s="35"/>
      <c r="BJ145" s="35"/>
      <c r="BK145" s="35"/>
      <c r="BL145" s="35"/>
      <c r="BM145" s="35">
        <f t="shared" si="38"/>
        <v>0</v>
      </c>
      <c r="BN145" s="54" t="s">
        <v>347</v>
      </c>
    </row>
    <row r="146" spans="1:66" ht="12.75" hidden="1" customHeight="1">
      <c r="A146" s="35" t="s">
        <v>182</v>
      </c>
      <c r="C146" s="35" t="s">
        <v>183</v>
      </c>
      <c r="D146" s="35"/>
      <c r="E146" s="35">
        <f t="shared" si="34"/>
        <v>0</v>
      </c>
      <c r="F146" s="35"/>
      <c r="G146" s="35"/>
      <c r="H146" s="35"/>
      <c r="I146" s="35"/>
      <c r="J146" s="35"/>
      <c r="K146" s="35">
        <f t="shared" si="35"/>
        <v>0</v>
      </c>
      <c r="L146" s="35"/>
      <c r="M146" s="35">
        <v>0</v>
      </c>
      <c r="N146" s="35"/>
      <c r="O146" s="35"/>
      <c r="P146" s="35"/>
      <c r="Q146" s="35"/>
      <c r="R146" s="35"/>
      <c r="S146" s="35">
        <v>0</v>
      </c>
      <c r="T146" s="35"/>
      <c r="U146" s="35"/>
      <c r="V146" s="35"/>
      <c r="W146" s="35">
        <f t="shared" si="33"/>
        <v>0</v>
      </c>
      <c r="X146" s="35"/>
      <c r="Y146" s="35" t="s">
        <v>182</v>
      </c>
      <c r="Z146" s="55"/>
      <c r="AA146" s="35" t="s">
        <v>183</v>
      </c>
      <c r="AB146" s="35"/>
      <c r="AC146" s="35">
        <v>0</v>
      </c>
      <c r="AD146" s="35"/>
      <c r="AE146" s="35">
        <v>0</v>
      </c>
      <c r="AF146" s="35"/>
      <c r="AG146" s="35">
        <v>0</v>
      </c>
      <c r="AH146" s="35"/>
      <c r="AI146" s="45">
        <f t="shared" si="32"/>
        <v>0</v>
      </c>
      <c r="AJ146" s="45"/>
      <c r="AK146" s="35"/>
      <c r="AL146" s="35"/>
      <c r="AM146" s="35">
        <v>0</v>
      </c>
      <c r="AN146" s="35"/>
      <c r="AO146" s="35">
        <v>0</v>
      </c>
      <c r="AP146" s="35"/>
      <c r="AQ146" s="35">
        <v>0</v>
      </c>
      <c r="AR146" s="35"/>
      <c r="AS146" s="45">
        <f t="shared" si="36"/>
        <v>0</v>
      </c>
      <c r="AT146" s="45"/>
      <c r="AU146" s="35">
        <v>0</v>
      </c>
      <c r="AV146" s="35"/>
      <c r="AW146" s="35">
        <v>0</v>
      </c>
      <c r="AX146" s="35"/>
      <c r="AY146" s="35">
        <f t="shared" si="37"/>
        <v>0</v>
      </c>
      <c r="AZ146" s="35"/>
      <c r="BA146" s="35" t="s">
        <v>182</v>
      </c>
      <c r="BB146" s="55"/>
      <c r="BC146" s="35" t="s">
        <v>183</v>
      </c>
      <c r="BD146" s="35"/>
      <c r="BE146" s="35"/>
      <c r="BF146" s="35"/>
      <c r="BG146" s="35"/>
      <c r="BH146" s="35"/>
      <c r="BI146" s="35"/>
      <c r="BJ146" s="35"/>
      <c r="BK146" s="35"/>
      <c r="BL146" s="35"/>
      <c r="BM146" s="35">
        <f t="shared" si="38"/>
        <v>0</v>
      </c>
      <c r="BN146" s="54" t="s">
        <v>347</v>
      </c>
    </row>
    <row r="147" spans="1:66" ht="12.75" hidden="1" customHeight="1">
      <c r="A147" s="35" t="s">
        <v>184</v>
      </c>
      <c r="C147" s="35" t="s">
        <v>89</v>
      </c>
      <c r="D147" s="35"/>
      <c r="E147" s="35">
        <f t="shared" si="34"/>
        <v>0</v>
      </c>
      <c r="F147" s="35"/>
      <c r="G147" s="35"/>
      <c r="H147" s="35"/>
      <c r="I147" s="35"/>
      <c r="J147" s="35"/>
      <c r="K147" s="35">
        <f t="shared" si="35"/>
        <v>0</v>
      </c>
      <c r="L147" s="35"/>
      <c r="M147" s="35">
        <v>0</v>
      </c>
      <c r="N147" s="35"/>
      <c r="O147" s="35"/>
      <c r="P147" s="35"/>
      <c r="Q147" s="35"/>
      <c r="R147" s="35"/>
      <c r="S147" s="35">
        <v>0</v>
      </c>
      <c r="T147" s="35"/>
      <c r="U147" s="35"/>
      <c r="V147" s="35"/>
      <c r="W147" s="35">
        <f t="shared" si="33"/>
        <v>0</v>
      </c>
      <c r="X147" s="35"/>
      <c r="Y147" s="35" t="s">
        <v>184</v>
      </c>
      <c r="Z147" s="55"/>
      <c r="AA147" s="35" t="s">
        <v>89</v>
      </c>
      <c r="AB147" s="35"/>
      <c r="AC147" s="35">
        <v>0</v>
      </c>
      <c r="AD147" s="35"/>
      <c r="AE147" s="35">
        <v>0</v>
      </c>
      <c r="AF147" s="35"/>
      <c r="AG147" s="35">
        <v>0</v>
      </c>
      <c r="AH147" s="35"/>
      <c r="AI147" s="45">
        <f t="shared" si="32"/>
        <v>0</v>
      </c>
      <c r="AJ147" s="45"/>
      <c r="AK147" s="35"/>
      <c r="AL147" s="35"/>
      <c r="AM147" s="35">
        <v>0</v>
      </c>
      <c r="AN147" s="35"/>
      <c r="AO147" s="35">
        <v>0</v>
      </c>
      <c r="AP147" s="35"/>
      <c r="AQ147" s="35">
        <v>0</v>
      </c>
      <c r="AR147" s="35"/>
      <c r="AS147" s="45">
        <f t="shared" si="36"/>
        <v>0</v>
      </c>
      <c r="AT147" s="45"/>
      <c r="AU147" s="35">
        <v>0</v>
      </c>
      <c r="AV147" s="35"/>
      <c r="AW147" s="35">
        <v>0</v>
      </c>
      <c r="AX147" s="35"/>
      <c r="AY147" s="35">
        <f t="shared" si="37"/>
        <v>0</v>
      </c>
      <c r="AZ147" s="35"/>
      <c r="BA147" s="35" t="s">
        <v>184</v>
      </c>
      <c r="BB147" s="55"/>
      <c r="BC147" s="35" t="s">
        <v>89</v>
      </c>
      <c r="BD147" s="35"/>
      <c r="BE147" s="35"/>
      <c r="BF147" s="35"/>
      <c r="BG147" s="35"/>
      <c r="BH147" s="35"/>
      <c r="BI147" s="35"/>
      <c r="BJ147" s="35"/>
      <c r="BK147" s="35"/>
      <c r="BL147" s="35"/>
      <c r="BM147" s="35">
        <f t="shared" si="38"/>
        <v>0</v>
      </c>
      <c r="BN147" s="54" t="s">
        <v>347</v>
      </c>
    </row>
    <row r="148" spans="1:66" ht="12.75" hidden="1" customHeight="1">
      <c r="A148" s="35" t="s">
        <v>181</v>
      </c>
      <c r="C148" s="35" t="s">
        <v>125</v>
      </c>
      <c r="D148" s="35"/>
      <c r="E148" s="35">
        <f t="shared" si="34"/>
        <v>0</v>
      </c>
      <c r="F148" s="35"/>
      <c r="G148" s="35"/>
      <c r="H148" s="35"/>
      <c r="I148" s="35"/>
      <c r="J148" s="35"/>
      <c r="K148" s="35">
        <f t="shared" si="35"/>
        <v>0</v>
      </c>
      <c r="L148" s="35"/>
      <c r="M148" s="35">
        <v>0</v>
      </c>
      <c r="N148" s="35"/>
      <c r="O148" s="35"/>
      <c r="P148" s="35"/>
      <c r="Q148" s="35"/>
      <c r="R148" s="35"/>
      <c r="S148" s="35">
        <v>0</v>
      </c>
      <c r="T148" s="35"/>
      <c r="U148" s="35"/>
      <c r="V148" s="35"/>
      <c r="W148" s="35">
        <f t="shared" si="33"/>
        <v>0</v>
      </c>
      <c r="X148" s="35"/>
      <c r="Y148" s="35" t="s">
        <v>181</v>
      </c>
      <c r="Z148" s="55"/>
      <c r="AA148" s="35" t="s">
        <v>125</v>
      </c>
      <c r="AB148" s="35"/>
      <c r="AC148" s="35">
        <v>0</v>
      </c>
      <c r="AD148" s="35"/>
      <c r="AE148" s="35">
        <v>0</v>
      </c>
      <c r="AF148" s="35"/>
      <c r="AG148" s="35">
        <v>0</v>
      </c>
      <c r="AH148" s="35"/>
      <c r="AI148" s="45">
        <f t="shared" si="32"/>
        <v>0</v>
      </c>
      <c r="AJ148" s="45"/>
      <c r="AK148" s="35"/>
      <c r="AL148" s="35"/>
      <c r="AM148" s="35">
        <v>0</v>
      </c>
      <c r="AN148" s="35"/>
      <c r="AO148" s="35">
        <v>0</v>
      </c>
      <c r="AP148" s="35"/>
      <c r="AQ148" s="35">
        <v>0</v>
      </c>
      <c r="AR148" s="35"/>
      <c r="AS148" s="45">
        <f t="shared" si="36"/>
        <v>0</v>
      </c>
      <c r="AT148" s="45"/>
      <c r="AU148" s="35">
        <v>0</v>
      </c>
      <c r="AV148" s="35"/>
      <c r="AW148" s="35">
        <v>0</v>
      </c>
      <c r="AX148" s="35"/>
      <c r="AY148" s="35">
        <f t="shared" si="37"/>
        <v>0</v>
      </c>
      <c r="AZ148" s="35"/>
      <c r="BA148" s="35" t="s">
        <v>181</v>
      </c>
      <c r="BB148" s="55"/>
      <c r="BC148" s="35" t="s">
        <v>125</v>
      </c>
      <c r="BD148" s="35"/>
      <c r="BE148" s="35"/>
      <c r="BF148" s="35"/>
      <c r="BG148" s="35"/>
      <c r="BH148" s="35"/>
      <c r="BI148" s="35"/>
      <c r="BJ148" s="35"/>
      <c r="BK148" s="35"/>
      <c r="BL148" s="35"/>
      <c r="BM148" s="35">
        <f t="shared" si="38"/>
        <v>0</v>
      </c>
      <c r="BN148" s="54" t="s">
        <v>347</v>
      </c>
    </row>
    <row r="149" spans="1:66" ht="12.75" hidden="1" customHeight="1">
      <c r="A149" s="35" t="s">
        <v>185</v>
      </c>
      <c r="C149" s="35" t="s">
        <v>80</v>
      </c>
      <c r="D149" s="35"/>
      <c r="E149" s="35">
        <f t="shared" si="34"/>
        <v>5422566</v>
      </c>
      <c r="F149" s="35"/>
      <c r="G149" s="35">
        <v>11349270</v>
      </c>
      <c r="H149" s="35"/>
      <c r="I149" s="35">
        <v>16771836</v>
      </c>
      <c r="J149" s="35"/>
      <c r="K149" s="35">
        <f t="shared" si="35"/>
        <v>1120603</v>
      </c>
      <c r="L149" s="35"/>
      <c r="M149" s="35">
        <v>4571427</v>
      </c>
      <c r="N149" s="35"/>
      <c r="O149" s="35">
        <v>5692030</v>
      </c>
      <c r="P149" s="35"/>
      <c r="Q149" s="35">
        <v>5519888</v>
      </c>
      <c r="R149" s="35"/>
      <c r="S149" s="35">
        <v>0</v>
      </c>
      <c r="T149" s="35"/>
      <c r="U149" s="35">
        <v>5559918</v>
      </c>
      <c r="V149" s="35"/>
      <c r="W149" s="35">
        <f t="shared" si="33"/>
        <v>11079806</v>
      </c>
      <c r="X149" s="35"/>
      <c r="Y149" s="35" t="s">
        <v>185</v>
      </c>
      <c r="Z149" s="55"/>
      <c r="AA149" s="35" t="s">
        <v>80</v>
      </c>
      <c r="AB149" s="35"/>
      <c r="AC149" s="35">
        <v>24577923</v>
      </c>
      <c r="AD149" s="35"/>
      <c r="AE149" s="35">
        <f>26090609-677088</f>
        <v>25413521</v>
      </c>
      <c r="AF149" s="35"/>
      <c r="AG149" s="35">
        <v>677088</v>
      </c>
      <c r="AH149" s="35"/>
      <c r="AI149" s="45">
        <f t="shared" si="32"/>
        <v>-1512686</v>
      </c>
      <c r="AJ149" s="45"/>
      <c r="AK149" s="35">
        <v>4060</v>
      </c>
      <c r="AL149" s="35"/>
      <c r="AM149" s="35">
        <v>0</v>
      </c>
      <c r="AN149" s="35"/>
      <c r="AO149" s="35">
        <v>0</v>
      </c>
      <c r="AP149" s="35"/>
      <c r="AQ149" s="35">
        <v>0</v>
      </c>
      <c r="AR149" s="35"/>
      <c r="AS149" s="45">
        <f t="shared" si="36"/>
        <v>-1508626</v>
      </c>
      <c r="AT149" s="45"/>
      <c r="AU149" s="35">
        <v>0</v>
      </c>
      <c r="AV149" s="35"/>
      <c r="AW149" s="35">
        <v>0</v>
      </c>
      <c r="AX149" s="35"/>
      <c r="AY149" s="35">
        <f t="shared" si="37"/>
        <v>4301963</v>
      </c>
      <c r="AZ149" s="35"/>
      <c r="BA149" s="35" t="s">
        <v>185</v>
      </c>
      <c r="BB149" s="55"/>
      <c r="BC149" s="35" t="s">
        <v>80</v>
      </c>
      <c r="BD149" s="35"/>
      <c r="BE149" s="35">
        <v>0</v>
      </c>
      <c r="BF149" s="35"/>
      <c r="BG149" s="35">
        <v>0</v>
      </c>
      <c r="BH149" s="35"/>
      <c r="BI149" s="35">
        <v>0</v>
      </c>
      <c r="BJ149" s="35"/>
      <c r="BK149" s="35">
        <v>0</v>
      </c>
      <c r="BL149" s="35"/>
      <c r="BM149" s="35">
        <f t="shared" si="38"/>
        <v>0</v>
      </c>
      <c r="BN149" s="54" t="s">
        <v>347</v>
      </c>
    </row>
    <row r="150" spans="1:66" ht="12.75" hidden="1" customHeight="1">
      <c r="A150" s="35" t="s">
        <v>186</v>
      </c>
      <c r="C150" s="35" t="s">
        <v>15</v>
      </c>
      <c r="D150" s="35"/>
      <c r="E150" s="35">
        <f t="shared" si="34"/>
        <v>0</v>
      </c>
      <c r="F150" s="35"/>
      <c r="G150" s="35"/>
      <c r="H150" s="35"/>
      <c r="I150" s="35"/>
      <c r="J150" s="35"/>
      <c r="K150" s="35">
        <f t="shared" si="35"/>
        <v>0</v>
      </c>
      <c r="L150" s="35"/>
      <c r="M150" s="35">
        <v>0</v>
      </c>
      <c r="N150" s="35"/>
      <c r="O150" s="35"/>
      <c r="P150" s="35"/>
      <c r="Q150" s="35"/>
      <c r="R150" s="35"/>
      <c r="S150" s="35">
        <v>0</v>
      </c>
      <c r="T150" s="35"/>
      <c r="U150" s="35"/>
      <c r="V150" s="35"/>
      <c r="W150" s="35">
        <f t="shared" si="33"/>
        <v>0</v>
      </c>
      <c r="X150" s="35"/>
      <c r="Y150" s="35" t="s">
        <v>186</v>
      </c>
      <c r="Z150" s="55"/>
      <c r="AA150" s="35" t="s">
        <v>15</v>
      </c>
      <c r="AB150" s="35"/>
      <c r="AC150" s="35">
        <v>0</v>
      </c>
      <c r="AD150" s="35"/>
      <c r="AE150" s="35">
        <v>0</v>
      </c>
      <c r="AF150" s="35"/>
      <c r="AG150" s="35">
        <v>0</v>
      </c>
      <c r="AH150" s="35"/>
      <c r="AI150" s="45">
        <f t="shared" si="32"/>
        <v>0</v>
      </c>
      <c r="AJ150" s="45"/>
      <c r="AK150" s="35"/>
      <c r="AL150" s="35"/>
      <c r="AM150" s="35">
        <v>0</v>
      </c>
      <c r="AN150" s="35"/>
      <c r="AO150" s="35">
        <v>0</v>
      </c>
      <c r="AP150" s="35"/>
      <c r="AQ150" s="35">
        <v>0</v>
      </c>
      <c r="AR150" s="35"/>
      <c r="AS150" s="45">
        <f t="shared" si="36"/>
        <v>0</v>
      </c>
      <c r="AT150" s="45"/>
      <c r="AU150" s="35">
        <v>0</v>
      </c>
      <c r="AV150" s="35"/>
      <c r="AW150" s="35">
        <v>0</v>
      </c>
      <c r="AX150" s="35"/>
      <c r="AY150" s="35">
        <f t="shared" si="37"/>
        <v>0</v>
      </c>
      <c r="AZ150" s="35"/>
      <c r="BA150" s="35" t="s">
        <v>186</v>
      </c>
      <c r="BB150" s="55"/>
      <c r="BC150" s="35" t="s">
        <v>15</v>
      </c>
      <c r="BD150" s="35"/>
      <c r="BE150" s="35"/>
      <c r="BF150" s="35"/>
      <c r="BG150" s="35"/>
      <c r="BH150" s="35"/>
      <c r="BI150" s="35"/>
      <c r="BJ150" s="35"/>
      <c r="BK150" s="35"/>
      <c r="BL150" s="35"/>
      <c r="BM150" s="35">
        <f t="shared" si="38"/>
        <v>0</v>
      </c>
      <c r="BN150" s="54" t="s">
        <v>347</v>
      </c>
    </row>
    <row r="151" spans="1:66" ht="12.75" hidden="1" customHeight="1">
      <c r="A151" s="35" t="s">
        <v>187</v>
      </c>
      <c r="C151" s="35" t="s">
        <v>27</v>
      </c>
      <c r="D151" s="35"/>
      <c r="E151" s="35">
        <f t="shared" si="34"/>
        <v>0</v>
      </c>
      <c r="F151" s="35"/>
      <c r="G151" s="35"/>
      <c r="H151" s="35"/>
      <c r="I151" s="35"/>
      <c r="J151" s="35"/>
      <c r="K151" s="35">
        <f t="shared" si="35"/>
        <v>0</v>
      </c>
      <c r="L151" s="35"/>
      <c r="M151" s="35">
        <v>0</v>
      </c>
      <c r="N151" s="35"/>
      <c r="O151" s="35"/>
      <c r="P151" s="35"/>
      <c r="Q151" s="35"/>
      <c r="R151" s="35"/>
      <c r="S151" s="35">
        <v>0</v>
      </c>
      <c r="T151" s="35"/>
      <c r="U151" s="35"/>
      <c r="V151" s="35"/>
      <c r="W151" s="35">
        <f t="shared" si="33"/>
        <v>0</v>
      </c>
      <c r="X151" s="35"/>
      <c r="Y151" s="35" t="s">
        <v>187</v>
      </c>
      <c r="Z151" s="55"/>
      <c r="AA151" s="35" t="s">
        <v>27</v>
      </c>
      <c r="AB151" s="35"/>
      <c r="AC151" s="35">
        <v>0</v>
      </c>
      <c r="AD151" s="35"/>
      <c r="AE151" s="35">
        <v>0</v>
      </c>
      <c r="AF151" s="35"/>
      <c r="AG151" s="35">
        <v>0</v>
      </c>
      <c r="AH151" s="35"/>
      <c r="AI151" s="45">
        <f t="shared" si="32"/>
        <v>0</v>
      </c>
      <c r="AJ151" s="45"/>
      <c r="AK151" s="35"/>
      <c r="AL151" s="35"/>
      <c r="AM151" s="35">
        <v>0</v>
      </c>
      <c r="AN151" s="35"/>
      <c r="AO151" s="35">
        <v>0</v>
      </c>
      <c r="AP151" s="35"/>
      <c r="AQ151" s="35">
        <v>0</v>
      </c>
      <c r="AR151" s="35"/>
      <c r="AS151" s="45">
        <f t="shared" si="36"/>
        <v>0</v>
      </c>
      <c r="AT151" s="45"/>
      <c r="AU151" s="35">
        <v>0</v>
      </c>
      <c r="AV151" s="35"/>
      <c r="AW151" s="35">
        <v>0</v>
      </c>
      <c r="AX151" s="35"/>
      <c r="AY151" s="35">
        <f t="shared" si="37"/>
        <v>0</v>
      </c>
      <c r="AZ151" s="35"/>
      <c r="BA151" s="35" t="s">
        <v>187</v>
      </c>
      <c r="BB151" s="55"/>
      <c r="BC151" s="35" t="s">
        <v>27</v>
      </c>
      <c r="BD151" s="35"/>
      <c r="BE151" s="35"/>
      <c r="BF151" s="35"/>
      <c r="BG151" s="35"/>
      <c r="BH151" s="35"/>
      <c r="BI151" s="35"/>
      <c r="BJ151" s="35"/>
      <c r="BK151" s="35"/>
      <c r="BL151" s="35"/>
      <c r="BM151" s="35">
        <f t="shared" si="38"/>
        <v>0</v>
      </c>
      <c r="BN151" s="54" t="s">
        <v>347</v>
      </c>
    </row>
    <row r="152" spans="1:66" ht="12.75" hidden="1" customHeight="1">
      <c r="A152" s="35" t="s">
        <v>189</v>
      </c>
      <c r="C152" s="35" t="s">
        <v>17</v>
      </c>
      <c r="D152" s="35"/>
      <c r="E152" s="35">
        <f t="shared" si="34"/>
        <v>0</v>
      </c>
      <c r="F152" s="35"/>
      <c r="G152" s="35"/>
      <c r="H152" s="35"/>
      <c r="I152" s="35"/>
      <c r="J152" s="35"/>
      <c r="K152" s="35">
        <f t="shared" si="35"/>
        <v>0</v>
      </c>
      <c r="L152" s="35"/>
      <c r="M152" s="35">
        <v>0</v>
      </c>
      <c r="N152" s="35"/>
      <c r="O152" s="35"/>
      <c r="P152" s="35"/>
      <c r="Q152" s="35"/>
      <c r="R152" s="35"/>
      <c r="S152" s="35">
        <v>0</v>
      </c>
      <c r="T152" s="35"/>
      <c r="U152" s="35"/>
      <c r="V152" s="35"/>
      <c r="W152" s="35">
        <f t="shared" si="33"/>
        <v>0</v>
      </c>
      <c r="X152" s="35"/>
      <c r="Y152" s="35" t="s">
        <v>189</v>
      </c>
      <c r="Z152" s="55"/>
      <c r="AA152" s="35" t="s">
        <v>17</v>
      </c>
      <c r="AB152" s="35"/>
      <c r="AC152" s="35">
        <v>0</v>
      </c>
      <c r="AD152" s="35"/>
      <c r="AE152" s="35">
        <v>0</v>
      </c>
      <c r="AF152" s="35"/>
      <c r="AG152" s="35">
        <v>0</v>
      </c>
      <c r="AH152" s="35"/>
      <c r="AI152" s="45">
        <f t="shared" si="32"/>
        <v>0</v>
      </c>
      <c r="AJ152" s="45"/>
      <c r="AK152" s="35"/>
      <c r="AL152" s="35"/>
      <c r="AM152" s="35">
        <v>0</v>
      </c>
      <c r="AN152" s="35"/>
      <c r="AO152" s="35">
        <v>0</v>
      </c>
      <c r="AP152" s="35"/>
      <c r="AQ152" s="35">
        <v>0</v>
      </c>
      <c r="AR152" s="35"/>
      <c r="AS152" s="45">
        <f t="shared" si="36"/>
        <v>0</v>
      </c>
      <c r="AT152" s="45"/>
      <c r="AU152" s="35">
        <v>0</v>
      </c>
      <c r="AV152" s="35"/>
      <c r="AW152" s="35">
        <v>0</v>
      </c>
      <c r="AX152" s="35"/>
      <c r="AY152" s="35">
        <f t="shared" si="37"/>
        <v>0</v>
      </c>
      <c r="AZ152" s="35"/>
      <c r="BA152" s="35" t="s">
        <v>189</v>
      </c>
      <c r="BB152" s="55"/>
      <c r="BC152" s="35" t="s">
        <v>17</v>
      </c>
      <c r="BD152" s="35"/>
      <c r="BE152" s="35"/>
      <c r="BF152" s="35"/>
      <c r="BG152" s="35"/>
      <c r="BH152" s="35"/>
      <c r="BI152" s="35"/>
      <c r="BJ152" s="35"/>
      <c r="BK152" s="35"/>
      <c r="BL152" s="35"/>
      <c r="BM152" s="35">
        <f t="shared" si="38"/>
        <v>0</v>
      </c>
      <c r="BN152" s="54" t="s">
        <v>347</v>
      </c>
    </row>
    <row r="153" spans="1:66" ht="12.75" hidden="1" customHeight="1">
      <c r="A153" s="35" t="s">
        <v>188</v>
      </c>
      <c r="C153" s="35" t="s">
        <v>27</v>
      </c>
      <c r="D153" s="35"/>
      <c r="E153" s="35">
        <f t="shared" si="34"/>
        <v>0</v>
      </c>
      <c r="F153" s="35"/>
      <c r="G153" s="35"/>
      <c r="H153" s="35"/>
      <c r="I153" s="35"/>
      <c r="J153" s="35"/>
      <c r="K153" s="35">
        <f t="shared" si="35"/>
        <v>0</v>
      </c>
      <c r="L153" s="35"/>
      <c r="M153" s="35">
        <v>0</v>
      </c>
      <c r="N153" s="35"/>
      <c r="O153" s="35"/>
      <c r="P153" s="35"/>
      <c r="Q153" s="35"/>
      <c r="R153" s="35"/>
      <c r="S153" s="35">
        <v>0</v>
      </c>
      <c r="T153" s="35"/>
      <c r="U153" s="35"/>
      <c r="V153" s="35"/>
      <c r="W153" s="35">
        <f t="shared" si="33"/>
        <v>0</v>
      </c>
      <c r="X153" s="35"/>
      <c r="Y153" s="35" t="s">
        <v>188</v>
      </c>
      <c r="Z153" s="55"/>
      <c r="AA153" s="35" t="s">
        <v>27</v>
      </c>
      <c r="AB153" s="35"/>
      <c r="AC153" s="35">
        <v>0</v>
      </c>
      <c r="AD153" s="35"/>
      <c r="AE153" s="35">
        <v>0</v>
      </c>
      <c r="AF153" s="35"/>
      <c r="AG153" s="35">
        <v>0</v>
      </c>
      <c r="AH153" s="35"/>
      <c r="AI153" s="45">
        <f t="shared" si="32"/>
        <v>0</v>
      </c>
      <c r="AJ153" s="45"/>
      <c r="AK153" s="35"/>
      <c r="AL153" s="35"/>
      <c r="AM153" s="35">
        <v>0</v>
      </c>
      <c r="AN153" s="35"/>
      <c r="AO153" s="35">
        <v>0</v>
      </c>
      <c r="AP153" s="35"/>
      <c r="AQ153" s="35">
        <v>0</v>
      </c>
      <c r="AR153" s="35"/>
      <c r="AS153" s="45">
        <f t="shared" si="36"/>
        <v>0</v>
      </c>
      <c r="AT153" s="45"/>
      <c r="AU153" s="35">
        <v>0</v>
      </c>
      <c r="AV153" s="35"/>
      <c r="AW153" s="35">
        <v>0</v>
      </c>
      <c r="AX153" s="35"/>
      <c r="AY153" s="35">
        <f t="shared" si="37"/>
        <v>0</v>
      </c>
      <c r="AZ153" s="35"/>
      <c r="BA153" s="35" t="s">
        <v>188</v>
      </c>
      <c r="BB153" s="55"/>
      <c r="BC153" s="35" t="s">
        <v>27</v>
      </c>
      <c r="BD153" s="35"/>
      <c r="BE153" s="35"/>
      <c r="BF153" s="35"/>
      <c r="BG153" s="35"/>
      <c r="BH153" s="35"/>
      <c r="BI153" s="35"/>
      <c r="BJ153" s="35"/>
      <c r="BK153" s="35"/>
      <c r="BL153" s="35"/>
      <c r="BM153" s="35">
        <f t="shared" si="38"/>
        <v>0</v>
      </c>
      <c r="BN153" s="54" t="s">
        <v>347</v>
      </c>
    </row>
    <row r="154" spans="1:66" ht="12.75" hidden="1" customHeight="1">
      <c r="A154" s="35" t="s">
        <v>190</v>
      </c>
      <c r="C154" s="35" t="s">
        <v>47</v>
      </c>
      <c r="D154" s="35"/>
      <c r="E154" s="35">
        <f t="shared" si="34"/>
        <v>0</v>
      </c>
      <c r="F154" s="35"/>
      <c r="G154" s="35"/>
      <c r="H154" s="35"/>
      <c r="I154" s="35"/>
      <c r="J154" s="35"/>
      <c r="K154" s="35">
        <f t="shared" si="35"/>
        <v>0</v>
      </c>
      <c r="L154" s="35"/>
      <c r="M154" s="35">
        <v>0</v>
      </c>
      <c r="N154" s="35"/>
      <c r="O154" s="35"/>
      <c r="P154" s="35"/>
      <c r="Q154" s="35"/>
      <c r="R154" s="35"/>
      <c r="S154" s="35">
        <v>0</v>
      </c>
      <c r="T154" s="35"/>
      <c r="U154" s="35"/>
      <c r="V154" s="35"/>
      <c r="W154" s="35">
        <f t="shared" si="33"/>
        <v>0</v>
      </c>
      <c r="X154" s="35"/>
      <c r="Y154" s="35" t="s">
        <v>190</v>
      </c>
      <c r="Z154" s="55"/>
      <c r="AA154" s="35" t="s">
        <v>47</v>
      </c>
      <c r="AB154" s="35"/>
      <c r="AC154" s="35">
        <v>0</v>
      </c>
      <c r="AD154" s="35"/>
      <c r="AE154" s="35">
        <v>0</v>
      </c>
      <c r="AF154" s="35"/>
      <c r="AG154" s="35">
        <v>0</v>
      </c>
      <c r="AH154" s="35"/>
      <c r="AI154" s="45">
        <f t="shared" si="32"/>
        <v>0</v>
      </c>
      <c r="AJ154" s="45"/>
      <c r="AK154" s="35"/>
      <c r="AL154" s="35"/>
      <c r="AM154" s="35">
        <v>0</v>
      </c>
      <c r="AN154" s="35"/>
      <c r="AO154" s="35">
        <v>0</v>
      </c>
      <c r="AP154" s="35"/>
      <c r="AQ154" s="35">
        <v>0</v>
      </c>
      <c r="AR154" s="35"/>
      <c r="AS154" s="45">
        <f t="shared" si="36"/>
        <v>0</v>
      </c>
      <c r="AT154" s="45"/>
      <c r="AU154" s="35">
        <v>0</v>
      </c>
      <c r="AV154" s="35"/>
      <c r="AW154" s="35">
        <v>0</v>
      </c>
      <c r="AX154" s="35"/>
      <c r="AY154" s="35">
        <f t="shared" si="37"/>
        <v>0</v>
      </c>
      <c r="AZ154" s="35"/>
      <c r="BA154" s="35" t="s">
        <v>190</v>
      </c>
      <c r="BB154" s="55"/>
      <c r="BC154" s="35" t="s">
        <v>47</v>
      </c>
      <c r="BD154" s="35"/>
      <c r="BE154" s="35"/>
      <c r="BF154" s="35"/>
      <c r="BG154" s="35"/>
      <c r="BH154" s="35"/>
      <c r="BI154" s="35"/>
      <c r="BJ154" s="35"/>
      <c r="BK154" s="35"/>
      <c r="BL154" s="35"/>
      <c r="BM154" s="35">
        <f t="shared" si="38"/>
        <v>0</v>
      </c>
      <c r="BN154" s="54" t="s">
        <v>347</v>
      </c>
    </row>
    <row r="155" spans="1:66" ht="12.75" hidden="1" customHeight="1">
      <c r="A155" s="35" t="s">
        <v>191</v>
      </c>
      <c r="C155" s="35" t="s">
        <v>13</v>
      </c>
      <c r="D155" s="35"/>
      <c r="E155" s="35">
        <f t="shared" si="34"/>
        <v>0</v>
      </c>
      <c r="F155" s="35"/>
      <c r="G155" s="35"/>
      <c r="H155" s="35"/>
      <c r="I155" s="35"/>
      <c r="J155" s="35"/>
      <c r="K155" s="35">
        <f t="shared" si="35"/>
        <v>0</v>
      </c>
      <c r="L155" s="35"/>
      <c r="M155" s="35">
        <v>0</v>
      </c>
      <c r="N155" s="35"/>
      <c r="O155" s="35"/>
      <c r="P155" s="35"/>
      <c r="Q155" s="35"/>
      <c r="R155" s="35"/>
      <c r="S155" s="35">
        <v>0</v>
      </c>
      <c r="T155" s="35"/>
      <c r="U155" s="35"/>
      <c r="V155" s="35"/>
      <c r="W155" s="35">
        <f t="shared" si="33"/>
        <v>0</v>
      </c>
      <c r="X155" s="35"/>
      <c r="Y155" s="35" t="s">
        <v>191</v>
      </c>
      <c r="Z155" s="55"/>
      <c r="AA155" s="35" t="s">
        <v>13</v>
      </c>
      <c r="AB155" s="35"/>
      <c r="AC155" s="35">
        <v>0</v>
      </c>
      <c r="AD155" s="35"/>
      <c r="AE155" s="35">
        <v>0</v>
      </c>
      <c r="AF155" s="35"/>
      <c r="AG155" s="35">
        <v>0</v>
      </c>
      <c r="AH155" s="35"/>
      <c r="AI155" s="45">
        <f t="shared" si="32"/>
        <v>0</v>
      </c>
      <c r="AJ155" s="45"/>
      <c r="AK155" s="35"/>
      <c r="AL155" s="35"/>
      <c r="AM155" s="35">
        <v>0</v>
      </c>
      <c r="AN155" s="35"/>
      <c r="AO155" s="35">
        <v>0</v>
      </c>
      <c r="AP155" s="35"/>
      <c r="AQ155" s="35">
        <v>0</v>
      </c>
      <c r="AR155" s="35"/>
      <c r="AS155" s="45">
        <f t="shared" si="36"/>
        <v>0</v>
      </c>
      <c r="AT155" s="45"/>
      <c r="AU155" s="35">
        <v>0</v>
      </c>
      <c r="AV155" s="35"/>
      <c r="AW155" s="35">
        <v>0</v>
      </c>
      <c r="AX155" s="35"/>
      <c r="AY155" s="35">
        <f t="shared" si="37"/>
        <v>0</v>
      </c>
      <c r="AZ155" s="35"/>
      <c r="BA155" s="35" t="s">
        <v>191</v>
      </c>
      <c r="BB155" s="55"/>
      <c r="BC155" s="35" t="s">
        <v>13</v>
      </c>
      <c r="BD155" s="35"/>
      <c r="BE155" s="35"/>
      <c r="BF155" s="35"/>
      <c r="BG155" s="35"/>
      <c r="BH155" s="35"/>
      <c r="BI155" s="35"/>
      <c r="BJ155" s="35"/>
      <c r="BK155" s="35"/>
      <c r="BL155" s="35"/>
      <c r="BM155" s="35">
        <f t="shared" si="38"/>
        <v>0</v>
      </c>
      <c r="BN155" s="54" t="s">
        <v>347</v>
      </c>
    </row>
    <row r="156" spans="1:66" ht="12.75" hidden="1" customHeight="1">
      <c r="A156" s="35" t="s">
        <v>192</v>
      </c>
      <c r="C156" s="35" t="s">
        <v>38</v>
      </c>
      <c r="D156" s="35"/>
      <c r="E156" s="35">
        <f t="shared" si="34"/>
        <v>0</v>
      </c>
      <c r="F156" s="35"/>
      <c r="G156" s="35"/>
      <c r="H156" s="35"/>
      <c r="I156" s="35"/>
      <c r="J156" s="35"/>
      <c r="K156" s="35">
        <f t="shared" si="35"/>
        <v>0</v>
      </c>
      <c r="L156" s="35"/>
      <c r="M156" s="35">
        <v>0</v>
      </c>
      <c r="N156" s="35"/>
      <c r="O156" s="35"/>
      <c r="P156" s="35"/>
      <c r="Q156" s="35"/>
      <c r="R156" s="35"/>
      <c r="S156" s="35">
        <v>0</v>
      </c>
      <c r="T156" s="35"/>
      <c r="U156" s="35"/>
      <c r="V156" s="35"/>
      <c r="W156" s="35">
        <f t="shared" si="33"/>
        <v>0</v>
      </c>
      <c r="X156" s="35"/>
      <c r="Y156" s="35" t="s">
        <v>192</v>
      </c>
      <c r="Z156" s="55"/>
      <c r="AA156" s="35" t="s">
        <v>38</v>
      </c>
      <c r="AB156" s="35"/>
      <c r="AC156" s="35">
        <v>0</v>
      </c>
      <c r="AD156" s="35"/>
      <c r="AE156" s="35">
        <v>0</v>
      </c>
      <c r="AF156" s="35"/>
      <c r="AG156" s="35">
        <v>0</v>
      </c>
      <c r="AH156" s="35"/>
      <c r="AI156" s="45">
        <f t="shared" si="32"/>
        <v>0</v>
      </c>
      <c r="AJ156" s="45"/>
      <c r="AK156" s="35"/>
      <c r="AL156" s="35"/>
      <c r="AM156" s="35">
        <v>0</v>
      </c>
      <c r="AN156" s="35"/>
      <c r="AO156" s="35">
        <v>0</v>
      </c>
      <c r="AP156" s="35"/>
      <c r="AQ156" s="35">
        <v>0</v>
      </c>
      <c r="AR156" s="35"/>
      <c r="AS156" s="45">
        <f t="shared" si="36"/>
        <v>0</v>
      </c>
      <c r="AT156" s="45"/>
      <c r="AU156" s="35">
        <v>0</v>
      </c>
      <c r="AV156" s="35"/>
      <c r="AW156" s="35">
        <v>0</v>
      </c>
      <c r="AX156" s="35"/>
      <c r="AY156" s="35">
        <f t="shared" si="37"/>
        <v>0</v>
      </c>
      <c r="AZ156" s="35"/>
      <c r="BA156" s="35" t="s">
        <v>192</v>
      </c>
      <c r="BB156" s="55"/>
      <c r="BC156" s="35" t="s">
        <v>38</v>
      </c>
      <c r="BD156" s="35"/>
      <c r="BE156" s="35"/>
      <c r="BF156" s="35"/>
      <c r="BG156" s="35"/>
      <c r="BH156" s="35"/>
      <c r="BI156" s="35"/>
      <c r="BJ156" s="35"/>
      <c r="BK156" s="35"/>
      <c r="BL156" s="35"/>
      <c r="BM156" s="35">
        <f t="shared" si="38"/>
        <v>0</v>
      </c>
      <c r="BN156" s="54" t="s">
        <v>347</v>
      </c>
    </row>
    <row r="157" spans="1:66" ht="12.75" hidden="1" customHeight="1">
      <c r="A157" s="35" t="s">
        <v>193</v>
      </c>
      <c r="C157" s="35" t="s">
        <v>45</v>
      </c>
      <c r="D157" s="35"/>
      <c r="E157" s="35">
        <f t="shared" si="34"/>
        <v>0</v>
      </c>
      <c r="F157" s="35"/>
      <c r="G157" s="35"/>
      <c r="H157" s="35"/>
      <c r="I157" s="35"/>
      <c r="J157" s="35"/>
      <c r="K157" s="35">
        <f t="shared" si="35"/>
        <v>0</v>
      </c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>
        <f t="shared" si="33"/>
        <v>0</v>
      </c>
      <c r="X157" s="35"/>
      <c r="Y157" s="35" t="s">
        <v>193</v>
      </c>
      <c r="Z157" s="55"/>
      <c r="AA157" s="35" t="s">
        <v>45</v>
      </c>
      <c r="AB157" s="35"/>
      <c r="AC157" s="35"/>
      <c r="AD157" s="35"/>
      <c r="AE157" s="35"/>
      <c r="AF157" s="35"/>
      <c r="AG157" s="35"/>
      <c r="AH157" s="35"/>
      <c r="AI157" s="45">
        <f t="shared" si="32"/>
        <v>0</v>
      </c>
      <c r="AJ157" s="45"/>
      <c r="AK157" s="35"/>
      <c r="AL157" s="35"/>
      <c r="AM157" s="35"/>
      <c r="AN157" s="35"/>
      <c r="AO157" s="35"/>
      <c r="AP157" s="35"/>
      <c r="AQ157" s="35"/>
      <c r="AR157" s="35"/>
      <c r="AS157" s="45">
        <f t="shared" si="36"/>
        <v>0</v>
      </c>
      <c r="AT157" s="45"/>
      <c r="AU157" s="35">
        <v>0</v>
      </c>
      <c r="AV157" s="35"/>
      <c r="AW157" s="35">
        <v>0</v>
      </c>
      <c r="AX157" s="35"/>
      <c r="AY157" s="35">
        <f t="shared" si="37"/>
        <v>0</v>
      </c>
      <c r="AZ157" s="35"/>
      <c r="BA157" s="35" t="s">
        <v>193</v>
      </c>
      <c r="BB157" s="55"/>
      <c r="BC157" s="35" t="s">
        <v>45</v>
      </c>
      <c r="BD157" s="35"/>
      <c r="BE157" s="35"/>
      <c r="BF157" s="35"/>
      <c r="BG157" s="35"/>
      <c r="BH157" s="35"/>
      <c r="BI157" s="35"/>
      <c r="BJ157" s="35"/>
      <c r="BK157" s="35"/>
      <c r="BL157" s="35"/>
      <c r="BM157" s="35">
        <f t="shared" si="38"/>
        <v>0</v>
      </c>
      <c r="BN157" s="54" t="s">
        <v>347</v>
      </c>
    </row>
    <row r="158" spans="1:66" ht="12.75" hidden="1" customHeight="1">
      <c r="A158" s="35" t="s">
        <v>194</v>
      </c>
      <c r="C158" s="35" t="s">
        <v>66</v>
      </c>
      <c r="D158" s="35"/>
      <c r="E158" s="35">
        <f t="shared" si="34"/>
        <v>0</v>
      </c>
      <c r="F158" s="35"/>
      <c r="G158" s="35"/>
      <c r="H158" s="35"/>
      <c r="I158" s="35"/>
      <c r="J158" s="35"/>
      <c r="K158" s="35">
        <f t="shared" si="35"/>
        <v>0</v>
      </c>
      <c r="L158" s="35"/>
      <c r="M158" s="35">
        <v>0</v>
      </c>
      <c r="N158" s="35"/>
      <c r="O158" s="35"/>
      <c r="P158" s="35"/>
      <c r="Q158" s="35"/>
      <c r="R158" s="35"/>
      <c r="S158" s="35">
        <v>0</v>
      </c>
      <c r="T158" s="35"/>
      <c r="U158" s="35"/>
      <c r="V158" s="35"/>
      <c r="W158" s="35">
        <f t="shared" si="33"/>
        <v>0</v>
      </c>
      <c r="X158" s="35"/>
      <c r="Y158" s="35" t="s">
        <v>194</v>
      </c>
      <c r="Z158" s="55"/>
      <c r="AA158" s="35" t="s">
        <v>66</v>
      </c>
      <c r="AB158" s="35"/>
      <c r="AC158" s="35">
        <v>0</v>
      </c>
      <c r="AD158" s="35"/>
      <c r="AE158" s="35">
        <v>0</v>
      </c>
      <c r="AF158" s="35"/>
      <c r="AG158" s="35">
        <v>0</v>
      </c>
      <c r="AH158" s="35"/>
      <c r="AI158" s="45">
        <f t="shared" si="32"/>
        <v>0</v>
      </c>
      <c r="AJ158" s="45"/>
      <c r="AK158" s="35"/>
      <c r="AL158" s="35"/>
      <c r="AM158" s="35">
        <v>0</v>
      </c>
      <c r="AN158" s="35"/>
      <c r="AO158" s="35">
        <v>0</v>
      </c>
      <c r="AP158" s="35"/>
      <c r="AQ158" s="35">
        <v>0</v>
      </c>
      <c r="AR158" s="35"/>
      <c r="AS158" s="45">
        <f t="shared" si="36"/>
        <v>0</v>
      </c>
      <c r="AT158" s="45"/>
      <c r="AU158" s="35">
        <v>0</v>
      </c>
      <c r="AV158" s="35"/>
      <c r="AW158" s="35">
        <v>0</v>
      </c>
      <c r="AX158" s="35"/>
      <c r="AY158" s="35">
        <f t="shared" si="37"/>
        <v>0</v>
      </c>
      <c r="AZ158" s="35"/>
      <c r="BA158" s="35" t="s">
        <v>194</v>
      </c>
      <c r="BB158" s="55"/>
      <c r="BC158" s="35" t="s">
        <v>66</v>
      </c>
      <c r="BD158" s="35"/>
      <c r="BE158" s="35"/>
      <c r="BF158" s="35"/>
      <c r="BG158" s="35"/>
      <c r="BH158" s="35"/>
      <c r="BI158" s="35"/>
      <c r="BJ158" s="35"/>
      <c r="BK158" s="35"/>
      <c r="BL158" s="35"/>
      <c r="BM158" s="35">
        <f t="shared" si="38"/>
        <v>0</v>
      </c>
      <c r="BN158" s="54" t="s">
        <v>347</v>
      </c>
    </row>
    <row r="159" spans="1:66" ht="12.75" hidden="1" customHeight="1">
      <c r="A159" s="35" t="s">
        <v>195</v>
      </c>
      <c r="C159" s="35" t="s">
        <v>17</v>
      </c>
      <c r="D159" s="35"/>
      <c r="E159" s="35">
        <f t="shared" si="34"/>
        <v>0</v>
      </c>
      <c r="F159" s="35"/>
      <c r="G159" s="35"/>
      <c r="H159" s="35"/>
      <c r="I159" s="35"/>
      <c r="J159" s="35"/>
      <c r="K159" s="35">
        <f t="shared" si="35"/>
        <v>0</v>
      </c>
      <c r="L159" s="35"/>
      <c r="M159" s="35">
        <v>0</v>
      </c>
      <c r="N159" s="35"/>
      <c r="O159" s="35"/>
      <c r="P159" s="35"/>
      <c r="Q159" s="35"/>
      <c r="R159" s="35"/>
      <c r="S159" s="35">
        <v>0</v>
      </c>
      <c r="T159" s="35"/>
      <c r="U159" s="35"/>
      <c r="V159" s="35"/>
      <c r="W159" s="35">
        <f t="shared" si="33"/>
        <v>0</v>
      </c>
      <c r="X159" s="35"/>
      <c r="Y159" s="35" t="s">
        <v>195</v>
      </c>
      <c r="Z159" s="55"/>
      <c r="AA159" s="35" t="s">
        <v>17</v>
      </c>
      <c r="AB159" s="35"/>
      <c r="AC159" s="35">
        <v>0</v>
      </c>
      <c r="AD159" s="35"/>
      <c r="AE159" s="35">
        <v>0</v>
      </c>
      <c r="AF159" s="35"/>
      <c r="AG159" s="35">
        <v>0</v>
      </c>
      <c r="AH159" s="35"/>
      <c r="AI159" s="45">
        <f t="shared" si="32"/>
        <v>0</v>
      </c>
      <c r="AJ159" s="45"/>
      <c r="AK159" s="35"/>
      <c r="AL159" s="35"/>
      <c r="AM159" s="35">
        <v>0</v>
      </c>
      <c r="AN159" s="35"/>
      <c r="AO159" s="35">
        <v>0</v>
      </c>
      <c r="AP159" s="35"/>
      <c r="AQ159" s="35">
        <v>0</v>
      </c>
      <c r="AR159" s="35"/>
      <c r="AS159" s="45">
        <f>+AI159+AK159+AM159-AO159+AQ159</f>
        <v>0</v>
      </c>
      <c r="AT159" s="45"/>
      <c r="AU159" s="35">
        <v>0</v>
      </c>
      <c r="AV159" s="35"/>
      <c r="AW159" s="35">
        <v>0</v>
      </c>
      <c r="AX159" s="35"/>
      <c r="AY159" s="35">
        <f t="shared" si="37"/>
        <v>0</v>
      </c>
      <c r="AZ159" s="35"/>
      <c r="BA159" s="35" t="s">
        <v>195</v>
      </c>
      <c r="BB159" s="55"/>
      <c r="BC159" s="35" t="s">
        <v>17</v>
      </c>
      <c r="BD159" s="35"/>
      <c r="BE159" s="35"/>
      <c r="BF159" s="35"/>
      <c r="BG159" s="35"/>
      <c r="BH159" s="35"/>
      <c r="BI159" s="35"/>
      <c r="BJ159" s="35"/>
      <c r="BK159" s="35"/>
      <c r="BL159" s="35"/>
      <c r="BM159" s="35">
        <f t="shared" si="38"/>
        <v>0</v>
      </c>
      <c r="BN159" s="54" t="s">
        <v>347</v>
      </c>
    </row>
    <row r="160" spans="1:66" ht="12.75" hidden="1" customHeight="1">
      <c r="A160" s="35" t="s">
        <v>196</v>
      </c>
      <c r="C160" s="35" t="s">
        <v>27</v>
      </c>
      <c r="D160" s="35"/>
      <c r="E160" s="35">
        <f t="shared" si="34"/>
        <v>0</v>
      </c>
      <c r="F160" s="35"/>
      <c r="G160" s="35"/>
      <c r="H160" s="35"/>
      <c r="I160" s="35"/>
      <c r="J160" s="35"/>
      <c r="K160" s="35">
        <f t="shared" si="35"/>
        <v>0</v>
      </c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>
        <f t="shared" si="33"/>
        <v>0</v>
      </c>
      <c r="X160" s="35"/>
      <c r="Y160" s="35" t="s">
        <v>196</v>
      </c>
      <c r="Z160" s="55"/>
      <c r="AA160" s="35" t="s">
        <v>27</v>
      </c>
      <c r="AB160" s="35"/>
      <c r="AC160" s="35"/>
      <c r="AD160" s="35"/>
      <c r="AE160" s="35"/>
      <c r="AF160" s="35"/>
      <c r="AG160" s="35"/>
      <c r="AH160" s="35"/>
      <c r="AI160" s="45">
        <f t="shared" si="32"/>
        <v>0</v>
      </c>
      <c r="AJ160" s="45"/>
      <c r="AK160" s="35"/>
      <c r="AL160" s="35"/>
      <c r="AM160" s="35"/>
      <c r="AN160" s="35"/>
      <c r="AO160" s="35"/>
      <c r="AP160" s="35"/>
      <c r="AQ160" s="35"/>
      <c r="AR160" s="35"/>
      <c r="AS160" s="45">
        <f t="shared" si="36"/>
        <v>0</v>
      </c>
      <c r="AT160" s="45"/>
      <c r="AU160" s="35">
        <v>0</v>
      </c>
      <c r="AV160" s="35"/>
      <c r="AW160" s="35">
        <v>0</v>
      </c>
      <c r="AX160" s="35"/>
      <c r="AY160" s="35">
        <f t="shared" si="37"/>
        <v>0</v>
      </c>
      <c r="AZ160" s="35"/>
      <c r="BA160" s="35" t="s">
        <v>196</v>
      </c>
      <c r="BB160" s="55"/>
      <c r="BC160" s="35" t="s">
        <v>27</v>
      </c>
      <c r="BD160" s="35"/>
      <c r="BE160" s="35"/>
      <c r="BF160" s="35"/>
      <c r="BG160" s="35"/>
      <c r="BH160" s="35"/>
      <c r="BI160" s="35"/>
      <c r="BJ160" s="35"/>
      <c r="BK160" s="35"/>
      <c r="BL160" s="35"/>
      <c r="BM160" s="35">
        <f t="shared" si="38"/>
        <v>0</v>
      </c>
      <c r="BN160" s="54" t="s">
        <v>347</v>
      </c>
    </row>
    <row r="161" spans="1:67" ht="12.75" hidden="1" customHeight="1">
      <c r="A161" s="35" t="s">
        <v>402</v>
      </c>
      <c r="C161" s="35" t="s">
        <v>153</v>
      </c>
      <c r="D161" s="35"/>
      <c r="E161" s="35">
        <f t="shared" si="34"/>
        <v>0</v>
      </c>
      <c r="F161" s="35"/>
      <c r="G161" s="35"/>
      <c r="H161" s="35"/>
      <c r="I161" s="35"/>
      <c r="J161" s="35"/>
      <c r="K161" s="35">
        <f t="shared" si="35"/>
        <v>0</v>
      </c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>
        <f t="shared" si="33"/>
        <v>0</v>
      </c>
      <c r="X161" s="35"/>
      <c r="Y161" s="35" t="s">
        <v>402</v>
      </c>
      <c r="Z161" s="55"/>
      <c r="AA161" s="35" t="s">
        <v>153</v>
      </c>
      <c r="AB161" s="35"/>
      <c r="AC161" s="35"/>
      <c r="AD161" s="35"/>
      <c r="AE161" s="35"/>
      <c r="AF161" s="35"/>
      <c r="AG161" s="35"/>
      <c r="AH161" s="35"/>
      <c r="AI161" s="45">
        <f t="shared" si="32"/>
        <v>0</v>
      </c>
      <c r="AJ161" s="45"/>
      <c r="AK161" s="35"/>
      <c r="AL161" s="35"/>
      <c r="AM161" s="35"/>
      <c r="AN161" s="35"/>
      <c r="AO161" s="35"/>
      <c r="AP161" s="35"/>
      <c r="AQ161" s="35"/>
      <c r="AR161" s="35"/>
      <c r="AS161" s="45">
        <f t="shared" si="36"/>
        <v>0</v>
      </c>
      <c r="AT161" s="45"/>
      <c r="AU161" s="35">
        <v>0</v>
      </c>
      <c r="AV161" s="35"/>
      <c r="AW161" s="35">
        <v>0</v>
      </c>
      <c r="AX161" s="35"/>
      <c r="AY161" s="35">
        <f t="shared" si="37"/>
        <v>0</v>
      </c>
      <c r="AZ161" s="35"/>
      <c r="BA161" s="35" t="s">
        <v>402</v>
      </c>
      <c r="BB161" s="55"/>
      <c r="BC161" s="35" t="s">
        <v>153</v>
      </c>
      <c r="BD161" s="35"/>
      <c r="BE161" s="35"/>
      <c r="BF161" s="35"/>
      <c r="BG161" s="35"/>
      <c r="BH161" s="35"/>
      <c r="BI161" s="35"/>
      <c r="BJ161" s="35"/>
      <c r="BK161" s="35"/>
      <c r="BL161" s="35"/>
      <c r="BM161" s="35">
        <f t="shared" si="38"/>
        <v>0</v>
      </c>
      <c r="BN161" s="54" t="s">
        <v>347</v>
      </c>
    </row>
    <row r="162" spans="1:67" ht="12.75" hidden="1" customHeight="1">
      <c r="A162" s="35" t="s">
        <v>197</v>
      </c>
      <c r="C162" s="35" t="s">
        <v>163</v>
      </c>
      <c r="D162" s="35"/>
      <c r="E162" s="35">
        <f t="shared" si="34"/>
        <v>0</v>
      </c>
      <c r="F162" s="35"/>
      <c r="G162" s="35"/>
      <c r="H162" s="35"/>
      <c r="I162" s="35"/>
      <c r="J162" s="35"/>
      <c r="K162" s="35">
        <f t="shared" si="35"/>
        <v>0</v>
      </c>
      <c r="L162" s="35"/>
      <c r="M162" s="35">
        <v>0</v>
      </c>
      <c r="N162" s="35"/>
      <c r="O162" s="35"/>
      <c r="P162" s="35"/>
      <c r="Q162" s="35"/>
      <c r="R162" s="35"/>
      <c r="S162" s="35">
        <v>0</v>
      </c>
      <c r="T162" s="35"/>
      <c r="U162" s="35"/>
      <c r="V162" s="35"/>
      <c r="W162" s="35">
        <f t="shared" si="33"/>
        <v>0</v>
      </c>
      <c r="X162" s="35"/>
      <c r="Y162" s="35" t="s">
        <v>197</v>
      </c>
      <c r="Z162" s="55"/>
      <c r="AA162" s="35" t="s">
        <v>163</v>
      </c>
      <c r="AB162" s="35"/>
      <c r="AC162" s="35">
        <v>0</v>
      </c>
      <c r="AD162" s="35"/>
      <c r="AE162" s="35">
        <v>0</v>
      </c>
      <c r="AF162" s="35"/>
      <c r="AG162" s="35">
        <v>0</v>
      </c>
      <c r="AH162" s="35"/>
      <c r="AI162" s="45">
        <f t="shared" si="32"/>
        <v>0</v>
      </c>
      <c r="AJ162" s="45"/>
      <c r="AK162" s="35"/>
      <c r="AL162" s="35"/>
      <c r="AM162" s="35">
        <v>0</v>
      </c>
      <c r="AN162" s="35"/>
      <c r="AO162" s="35">
        <v>0</v>
      </c>
      <c r="AP162" s="35"/>
      <c r="AQ162" s="35">
        <v>0</v>
      </c>
      <c r="AR162" s="35"/>
      <c r="AS162" s="45">
        <f t="shared" si="36"/>
        <v>0</v>
      </c>
      <c r="AT162" s="45"/>
      <c r="AU162" s="35">
        <v>0</v>
      </c>
      <c r="AV162" s="35"/>
      <c r="AW162" s="35">
        <v>0</v>
      </c>
      <c r="AX162" s="35"/>
      <c r="AY162" s="35">
        <f t="shared" si="37"/>
        <v>0</v>
      </c>
      <c r="AZ162" s="35"/>
      <c r="BA162" s="35" t="s">
        <v>197</v>
      </c>
      <c r="BB162" s="55"/>
      <c r="BC162" s="35" t="s">
        <v>163</v>
      </c>
      <c r="BD162" s="35"/>
      <c r="BE162" s="35"/>
      <c r="BF162" s="35"/>
      <c r="BG162" s="35"/>
      <c r="BH162" s="35"/>
      <c r="BI162" s="35"/>
      <c r="BJ162" s="35"/>
      <c r="BK162" s="35"/>
      <c r="BL162" s="35"/>
      <c r="BM162" s="35">
        <f t="shared" si="38"/>
        <v>0</v>
      </c>
      <c r="BN162" s="54" t="s">
        <v>347</v>
      </c>
    </row>
    <row r="163" spans="1:67" ht="12.75" customHeight="1">
      <c r="A163" s="35" t="s">
        <v>198</v>
      </c>
      <c r="C163" s="35" t="s">
        <v>199</v>
      </c>
      <c r="D163" s="35"/>
      <c r="E163" s="35">
        <f t="shared" si="34"/>
        <v>22814224</v>
      </c>
      <c r="F163" s="35"/>
      <c r="G163" s="35">
        <v>25708236</v>
      </c>
      <c r="H163" s="35"/>
      <c r="I163" s="35">
        <v>48522460</v>
      </c>
      <c r="J163" s="35"/>
      <c r="K163" s="35">
        <f t="shared" si="35"/>
        <v>3437415</v>
      </c>
      <c r="L163" s="35"/>
      <c r="M163" s="35">
        <v>3411878</v>
      </c>
      <c r="N163" s="35"/>
      <c r="O163" s="35">
        <v>6849293</v>
      </c>
      <c r="P163" s="35"/>
      <c r="Q163" s="35">
        <v>18294834</v>
      </c>
      <c r="R163" s="35"/>
      <c r="S163" s="35">
        <f>1500000+2269680</f>
        <v>3769680</v>
      </c>
      <c r="T163" s="35"/>
      <c r="U163" s="35">
        <v>19608653</v>
      </c>
      <c r="V163" s="35"/>
      <c r="W163" s="35">
        <f t="shared" si="33"/>
        <v>41673167</v>
      </c>
      <c r="X163" s="35"/>
      <c r="Y163" s="35" t="s">
        <v>198</v>
      </c>
      <c r="Z163" s="55"/>
      <c r="AA163" s="35" t="s">
        <v>199</v>
      </c>
      <c r="AB163" s="35"/>
      <c r="AC163" s="35">
        <v>29288136</v>
      </c>
      <c r="AD163" s="35"/>
      <c r="AE163" s="35">
        <f>23602258-2033112</f>
        <v>21569146</v>
      </c>
      <c r="AF163" s="35"/>
      <c r="AG163" s="35">
        <v>2033122</v>
      </c>
      <c r="AH163" s="35"/>
      <c r="AI163" s="45">
        <f t="shared" si="32"/>
        <v>5685868</v>
      </c>
      <c r="AJ163" s="45"/>
      <c r="AK163" s="35">
        <v>138169</v>
      </c>
      <c r="AL163" s="35"/>
      <c r="AM163" s="35">
        <v>881904</v>
      </c>
      <c r="AN163" s="35"/>
      <c r="AO163" s="35">
        <v>0</v>
      </c>
      <c r="AP163" s="35"/>
      <c r="AQ163" s="35">
        <v>0</v>
      </c>
      <c r="AR163" s="35"/>
      <c r="AS163" s="45">
        <f t="shared" si="36"/>
        <v>6705941</v>
      </c>
      <c r="AT163" s="45"/>
      <c r="AU163" s="35">
        <v>0</v>
      </c>
      <c r="AV163" s="35"/>
      <c r="AW163" s="35">
        <v>0</v>
      </c>
      <c r="AX163" s="35"/>
      <c r="AY163" s="35">
        <f t="shared" si="37"/>
        <v>19376809</v>
      </c>
      <c r="AZ163" s="35"/>
      <c r="BA163" s="35" t="s">
        <v>198</v>
      </c>
      <c r="BB163" s="55"/>
      <c r="BC163" s="35" t="s">
        <v>199</v>
      </c>
      <c r="BD163" s="35"/>
      <c r="BE163" s="35">
        <v>0</v>
      </c>
      <c r="BF163" s="35"/>
      <c r="BG163" s="35">
        <v>3498722</v>
      </c>
      <c r="BH163" s="35"/>
      <c r="BI163" s="35">
        <v>0</v>
      </c>
      <c r="BJ163" s="35"/>
      <c r="BK163" s="35">
        <v>639034</v>
      </c>
      <c r="BL163" s="35"/>
      <c r="BM163" s="35">
        <f t="shared" si="38"/>
        <v>4137756</v>
      </c>
      <c r="BN163" s="54" t="s">
        <v>347</v>
      </c>
      <c r="BO163" s="55" t="s">
        <v>371</v>
      </c>
    </row>
    <row r="164" spans="1:67" ht="12.75" hidden="1" customHeight="1">
      <c r="A164" s="35" t="s">
        <v>200</v>
      </c>
      <c r="C164" s="35" t="s">
        <v>103</v>
      </c>
      <c r="D164" s="35"/>
      <c r="E164" s="35">
        <f t="shared" si="34"/>
        <v>0</v>
      </c>
      <c r="F164" s="35"/>
      <c r="G164" s="35"/>
      <c r="H164" s="35"/>
      <c r="I164" s="35"/>
      <c r="J164" s="35"/>
      <c r="K164" s="35">
        <f t="shared" si="35"/>
        <v>0</v>
      </c>
      <c r="L164" s="35"/>
      <c r="M164" s="35">
        <v>0</v>
      </c>
      <c r="N164" s="35"/>
      <c r="O164" s="35"/>
      <c r="P164" s="35"/>
      <c r="Q164" s="35"/>
      <c r="R164" s="35"/>
      <c r="S164" s="35">
        <v>0</v>
      </c>
      <c r="T164" s="35"/>
      <c r="U164" s="35"/>
      <c r="V164" s="35"/>
      <c r="W164" s="35">
        <f t="shared" si="33"/>
        <v>0</v>
      </c>
      <c r="X164" s="35"/>
      <c r="Y164" s="35" t="s">
        <v>200</v>
      </c>
      <c r="Z164" s="55"/>
      <c r="AA164" s="35" t="s">
        <v>103</v>
      </c>
      <c r="AB164" s="35"/>
      <c r="AC164" s="35">
        <v>0</v>
      </c>
      <c r="AD164" s="35"/>
      <c r="AE164" s="35">
        <v>0</v>
      </c>
      <c r="AF164" s="35"/>
      <c r="AG164" s="35">
        <v>0</v>
      </c>
      <c r="AH164" s="35"/>
      <c r="AI164" s="45">
        <f t="shared" si="32"/>
        <v>0</v>
      </c>
      <c r="AJ164" s="45"/>
      <c r="AK164" s="35"/>
      <c r="AL164" s="35"/>
      <c r="AM164" s="35">
        <v>0</v>
      </c>
      <c r="AN164" s="35"/>
      <c r="AO164" s="35">
        <v>0</v>
      </c>
      <c r="AP164" s="35"/>
      <c r="AQ164" s="35">
        <v>0</v>
      </c>
      <c r="AR164" s="35"/>
      <c r="AS164" s="45">
        <f t="shared" si="36"/>
        <v>0</v>
      </c>
      <c r="AT164" s="45"/>
      <c r="AU164" s="35">
        <v>0</v>
      </c>
      <c r="AV164" s="35"/>
      <c r="AW164" s="35">
        <v>0</v>
      </c>
      <c r="AX164" s="35"/>
      <c r="AY164" s="35">
        <f t="shared" si="37"/>
        <v>0</v>
      </c>
      <c r="AZ164" s="35"/>
      <c r="BA164" s="35" t="s">
        <v>200</v>
      </c>
      <c r="BB164" s="55"/>
      <c r="BC164" s="35" t="s">
        <v>103</v>
      </c>
      <c r="BD164" s="35"/>
      <c r="BE164" s="35"/>
      <c r="BF164" s="35"/>
      <c r="BG164" s="35"/>
      <c r="BH164" s="35"/>
      <c r="BI164" s="35"/>
      <c r="BJ164" s="35"/>
      <c r="BK164" s="35"/>
      <c r="BL164" s="35"/>
      <c r="BM164" s="35">
        <f t="shared" si="38"/>
        <v>0</v>
      </c>
      <c r="BN164" s="54" t="s">
        <v>347</v>
      </c>
    </row>
    <row r="165" spans="1:67" ht="12.75" customHeight="1">
      <c r="A165" s="35" t="s">
        <v>201</v>
      </c>
      <c r="C165" s="35" t="s">
        <v>92</v>
      </c>
      <c r="D165" s="35"/>
      <c r="E165" s="35">
        <f t="shared" si="34"/>
        <v>21846777</v>
      </c>
      <c r="F165" s="35"/>
      <c r="G165" s="35">
        <v>21604625</v>
      </c>
      <c r="H165" s="35"/>
      <c r="I165" s="35">
        <v>43451402</v>
      </c>
      <c r="J165" s="35"/>
      <c r="K165" s="35">
        <f t="shared" si="35"/>
        <v>-1211980</v>
      </c>
      <c r="L165" s="35"/>
      <c r="M165" s="35">
        <v>2837357</v>
      </c>
      <c r="N165" s="35"/>
      <c r="O165" s="35">
        <v>1625377</v>
      </c>
      <c r="P165" s="35"/>
      <c r="Q165" s="35">
        <v>7468004</v>
      </c>
      <c r="R165" s="35"/>
      <c r="S165" s="35">
        <v>0</v>
      </c>
      <c r="T165" s="35"/>
      <c r="U165" s="35">
        <v>2895850</v>
      </c>
      <c r="V165" s="35"/>
      <c r="W165" s="35">
        <f t="shared" si="33"/>
        <v>10363854</v>
      </c>
      <c r="X165" s="35"/>
      <c r="Y165" s="35" t="s">
        <v>201</v>
      </c>
      <c r="Z165" s="55"/>
      <c r="AA165" s="35" t="s">
        <v>92</v>
      </c>
      <c r="AB165" s="35"/>
      <c r="AC165" s="35">
        <v>22610144</v>
      </c>
      <c r="AD165" s="35"/>
      <c r="AE165" s="35">
        <f>20611446-757520</f>
        <v>19853926</v>
      </c>
      <c r="AF165" s="35"/>
      <c r="AG165" s="35">
        <v>757520</v>
      </c>
      <c r="AH165" s="35"/>
      <c r="AI165" s="45">
        <f t="shared" si="32"/>
        <v>1998698</v>
      </c>
      <c r="AJ165" s="45"/>
      <c r="AK165" s="35">
        <v>258523</v>
      </c>
      <c r="AL165" s="35"/>
      <c r="AM165" s="35">
        <v>1678</v>
      </c>
      <c r="AN165" s="35"/>
      <c r="AO165" s="35">
        <v>831494</v>
      </c>
      <c r="AP165" s="35"/>
      <c r="AQ165" s="35">
        <v>0</v>
      </c>
      <c r="AR165" s="35"/>
      <c r="AS165" s="45">
        <f t="shared" si="36"/>
        <v>1427405</v>
      </c>
      <c r="AT165" s="45"/>
      <c r="AU165" s="35">
        <v>0</v>
      </c>
      <c r="AV165" s="35"/>
      <c r="AW165" s="35">
        <v>0</v>
      </c>
      <c r="AX165" s="35"/>
      <c r="AY165" s="35">
        <f t="shared" si="37"/>
        <v>23058757</v>
      </c>
      <c r="AZ165" s="35"/>
      <c r="BA165" s="35" t="s">
        <v>201</v>
      </c>
      <c r="BB165" s="55"/>
      <c r="BC165" s="35" t="s">
        <v>92</v>
      </c>
      <c r="BD165" s="35"/>
      <c r="BE165" s="35">
        <v>0</v>
      </c>
      <c r="BF165" s="35"/>
      <c r="BG165" s="35">
        <v>0</v>
      </c>
      <c r="BH165" s="35"/>
      <c r="BI165" s="35">
        <v>0</v>
      </c>
      <c r="BJ165" s="35"/>
      <c r="BK165" s="35">
        <v>0</v>
      </c>
      <c r="BL165" s="35"/>
      <c r="BM165" s="35">
        <f t="shared" si="38"/>
        <v>0</v>
      </c>
      <c r="BN165" s="54" t="s">
        <v>347</v>
      </c>
    </row>
    <row r="166" spans="1:67" ht="12.75" hidden="1" customHeight="1">
      <c r="A166" s="35" t="s">
        <v>202</v>
      </c>
      <c r="C166" s="35" t="s">
        <v>27</v>
      </c>
      <c r="D166" s="35"/>
      <c r="E166" s="35">
        <f t="shared" si="34"/>
        <v>0</v>
      </c>
      <c r="F166" s="35"/>
      <c r="G166" s="35"/>
      <c r="H166" s="35"/>
      <c r="I166" s="35"/>
      <c r="J166" s="35"/>
      <c r="K166" s="35">
        <f t="shared" si="35"/>
        <v>0</v>
      </c>
      <c r="L166" s="35"/>
      <c r="M166" s="35">
        <v>0</v>
      </c>
      <c r="N166" s="35"/>
      <c r="O166" s="35"/>
      <c r="P166" s="35"/>
      <c r="Q166" s="35"/>
      <c r="R166" s="35"/>
      <c r="S166" s="35">
        <v>0</v>
      </c>
      <c r="T166" s="35"/>
      <c r="U166" s="35"/>
      <c r="V166" s="35"/>
      <c r="W166" s="35">
        <f t="shared" si="33"/>
        <v>0</v>
      </c>
      <c r="X166" s="35"/>
      <c r="Y166" s="35" t="s">
        <v>202</v>
      </c>
      <c r="Z166" s="55"/>
      <c r="AA166" s="35" t="s">
        <v>27</v>
      </c>
      <c r="AB166" s="35"/>
      <c r="AC166" s="35">
        <v>0</v>
      </c>
      <c r="AD166" s="35"/>
      <c r="AE166" s="35">
        <v>0</v>
      </c>
      <c r="AF166" s="35"/>
      <c r="AG166" s="35">
        <v>0</v>
      </c>
      <c r="AH166" s="35"/>
      <c r="AI166" s="45">
        <f t="shared" si="32"/>
        <v>0</v>
      </c>
      <c r="AJ166" s="45"/>
      <c r="AK166" s="35"/>
      <c r="AL166" s="35"/>
      <c r="AM166" s="35">
        <v>0</v>
      </c>
      <c r="AN166" s="35"/>
      <c r="AO166" s="35">
        <v>0</v>
      </c>
      <c r="AP166" s="35"/>
      <c r="AQ166" s="35">
        <v>0</v>
      </c>
      <c r="AR166" s="35"/>
      <c r="AS166" s="45">
        <f t="shared" si="36"/>
        <v>0</v>
      </c>
      <c r="AT166" s="45"/>
      <c r="AU166" s="35">
        <v>0</v>
      </c>
      <c r="AV166" s="35"/>
      <c r="AW166" s="35">
        <v>0</v>
      </c>
      <c r="AX166" s="35"/>
      <c r="AY166" s="35">
        <f t="shared" si="37"/>
        <v>0</v>
      </c>
      <c r="AZ166" s="35"/>
      <c r="BA166" s="35" t="s">
        <v>202</v>
      </c>
      <c r="BB166" s="55"/>
      <c r="BC166" s="35" t="s">
        <v>27</v>
      </c>
      <c r="BD166" s="35"/>
      <c r="BE166" s="35"/>
      <c r="BF166" s="35"/>
      <c r="BG166" s="35"/>
      <c r="BH166" s="35"/>
      <c r="BI166" s="35"/>
      <c r="BJ166" s="35"/>
      <c r="BK166" s="35"/>
      <c r="BL166" s="35"/>
      <c r="BM166" s="35">
        <f t="shared" si="38"/>
        <v>0</v>
      </c>
      <c r="BN166" s="54" t="s">
        <v>347</v>
      </c>
    </row>
    <row r="167" spans="1:67" ht="12.75" hidden="1" customHeight="1">
      <c r="A167" s="35" t="s">
        <v>203</v>
      </c>
      <c r="C167" s="35" t="s">
        <v>27</v>
      </c>
      <c r="D167" s="35"/>
      <c r="E167" s="35">
        <f t="shared" si="34"/>
        <v>0</v>
      </c>
      <c r="F167" s="35"/>
      <c r="G167" s="35"/>
      <c r="H167" s="35"/>
      <c r="I167" s="35"/>
      <c r="J167" s="35"/>
      <c r="K167" s="35">
        <f t="shared" si="35"/>
        <v>0</v>
      </c>
      <c r="L167" s="35"/>
      <c r="M167" s="35">
        <v>0</v>
      </c>
      <c r="N167" s="35"/>
      <c r="O167" s="35"/>
      <c r="P167" s="35"/>
      <c r="Q167" s="35"/>
      <c r="R167" s="35"/>
      <c r="S167" s="35">
        <v>0</v>
      </c>
      <c r="T167" s="35"/>
      <c r="U167" s="35"/>
      <c r="V167" s="35"/>
      <c r="W167" s="35">
        <f t="shared" si="33"/>
        <v>0</v>
      </c>
      <c r="X167" s="35"/>
      <c r="Y167" s="35" t="s">
        <v>203</v>
      </c>
      <c r="Z167" s="55"/>
      <c r="AA167" s="35" t="s">
        <v>27</v>
      </c>
      <c r="AB167" s="35"/>
      <c r="AC167" s="35">
        <v>0</v>
      </c>
      <c r="AD167" s="35"/>
      <c r="AE167" s="35">
        <v>0</v>
      </c>
      <c r="AF167" s="35"/>
      <c r="AG167" s="35">
        <v>0</v>
      </c>
      <c r="AH167" s="35"/>
      <c r="AI167" s="45">
        <f t="shared" si="32"/>
        <v>0</v>
      </c>
      <c r="AJ167" s="45"/>
      <c r="AK167" s="35"/>
      <c r="AL167" s="35"/>
      <c r="AM167" s="35">
        <v>0</v>
      </c>
      <c r="AN167" s="35"/>
      <c r="AO167" s="35">
        <v>0</v>
      </c>
      <c r="AP167" s="35"/>
      <c r="AQ167" s="35">
        <v>0</v>
      </c>
      <c r="AR167" s="35"/>
      <c r="AS167" s="45">
        <f t="shared" si="36"/>
        <v>0</v>
      </c>
      <c r="AT167" s="45"/>
      <c r="AU167" s="35">
        <v>0</v>
      </c>
      <c r="AV167" s="35"/>
      <c r="AW167" s="35">
        <v>0</v>
      </c>
      <c r="AX167" s="35"/>
      <c r="AY167" s="35">
        <f t="shared" si="37"/>
        <v>0</v>
      </c>
      <c r="AZ167" s="35"/>
      <c r="BA167" s="35" t="s">
        <v>203</v>
      </c>
      <c r="BB167" s="55"/>
      <c r="BC167" s="35" t="s">
        <v>27</v>
      </c>
      <c r="BD167" s="35"/>
      <c r="BE167" s="35"/>
      <c r="BF167" s="35"/>
      <c r="BG167" s="35"/>
      <c r="BH167" s="35"/>
      <c r="BI167" s="35"/>
      <c r="BJ167" s="35"/>
      <c r="BK167" s="35"/>
      <c r="BL167" s="35"/>
      <c r="BM167" s="35">
        <f t="shared" si="38"/>
        <v>0</v>
      </c>
      <c r="BN167" s="54" t="s">
        <v>347</v>
      </c>
    </row>
    <row r="168" spans="1:67" ht="12.75" hidden="1" customHeight="1">
      <c r="A168" s="35" t="s">
        <v>204</v>
      </c>
      <c r="C168" s="35" t="s">
        <v>125</v>
      </c>
      <c r="D168" s="35"/>
      <c r="E168" s="35">
        <f t="shared" si="34"/>
        <v>0</v>
      </c>
      <c r="F168" s="35"/>
      <c r="G168" s="35"/>
      <c r="H168" s="35"/>
      <c r="I168" s="35"/>
      <c r="J168" s="35"/>
      <c r="K168" s="35">
        <f t="shared" si="35"/>
        <v>0</v>
      </c>
      <c r="L168" s="35"/>
      <c r="M168" s="35">
        <v>0</v>
      </c>
      <c r="N168" s="35"/>
      <c r="O168" s="35"/>
      <c r="P168" s="35"/>
      <c r="Q168" s="35"/>
      <c r="R168" s="35"/>
      <c r="S168" s="35">
        <v>0</v>
      </c>
      <c r="T168" s="35"/>
      <c r="U168" s="35"/>
      <c r="V168" s="35"/>
      <c r="W168" s="35">
        <f t="shared" si="33"/>
        <v>0</v>
      </c>
      <c r="X168" s="35"/>
      <c r="Y168" s="35" t="s">
        <v>204</v>
      </c>
      <c r="Z168" s="55"/>
      <c r="AA168" s="35" t="s">
        <v>125</v>
      </c>
      <c r="AB168" s="35"/>
      <c r="AC168" s="35">
        <v>0</v>
      </c>
      <c r="AD168" s="35"/>
      <c r="AE168" s="35">
        <v>0</v>
      </c>
      <c r="AF168" s="35"/>
      <c r="AG168" s="35">
        <v>0</v>
      </c>
      <c r="AH168" s="35"/>
      <c r="AI168" s="45">
        <f t="shared" si="32"/>
        <v>0</v>
      </c>
      <c r="AJ168" s="45"/>
      <c r="AK168" s="35"/>
      <c r="AL168" s="35"/>
      <c r="AM168" s="35">
        <v>0</v>
      </c>
      <c r="AN168" s="35"/>
      <c r="AO168" s="35">
        <v>0</v>
      </c>
      <c r="AP168" s="35"/>
      <c r="AQ168" s="35">
        <v>0</v>
      </c>
      <c r="AR168" s="35"/>
      <c r="AS168" s="45">
        <f t="shared" si="36"/>
        <v>0</v>
      </c>
      <c r="AT168" s="45"/>
      <c r="AU168" s="35">
        <v>0</v>
      </c>
      <c r="AV168" s="35"/>
      <c r="AW168" s="35">
        <v>0</v>
      </c>
      <c r="AX168" s="35"/>
      <c r="AY168" s="35">
        <f t="shared" si="37"/>
        <v>0</v>
      </c>
      <c r="AZ168" s="35"/>
      <c r="BA168" s="35" t="s">
        <v>204</v>
      </c>
      <c r="BB168" s="55"/>
      <c r="BC168" s="35" t="s">
        <v>125</v>
      </c>
      <c r="BD168" s="35"/>
      <c r="BE168" s="35"/>
      <c r="BF168" s="35"/>
      <c r="BG168" s="35"/>
      <c r="BH168" s="35"/>
      <c r="BI168" s="35"/>
      <c r="BJ168" s="35"/>
      <c r="BK168" s="35"/>
      <c r="BL168" s="35"/>
      <c r="BM168" s="35">
        <f t="shared" si="38"/>
        <v>0</v>
      </c>
      <c r="BN168" s="54" t="s">
        <v>347</v>
      </c>
    </row>
    <row r="169" spans="1:67" ht="12.75" hidden="1" customHeight="1">
      <c r="A169" s="35" t="s">
        <v>205</v>
      </c>
      <c r="C169" s="35" t="s">
        <v>27</v>
      </c>
      <c r="D169" s="35"/>
      <c r="E169" s="35">
        <f t="shared" si="34"/>
        <v>0</v>
      </c>
      <c r="F169" s="35"/>
      <c r="G169" s="35"/>
      <c r="H169" s="35"/>
      <c r="I169" s="35"/>
      <c r="J169" s="35"/>
      <c r="K169" s="35">
        <f t="shared" si="35"/>
        <v>0</v>
      </c>
      <c r="L169" s="35"/>
      <c r="M169" s="35">
        <v>0</v>
      </c>
      <c r="N169" s="35"/>
      <c r="O169" s="35"/>
      <c r="P169" s="35"/>
      <c r="Q169" s="35"/>
      <c r="R169" s="35"/>
      <c r="S169" s="35">
        <v>0</v>
      </c>
      <c r="T169" s="35"/>
      <c r="U169" s="35"/>
      <c r="V169" s="35"/>
      <c r="W169" s="35">
        <f t="shared" si="33"/>
        <v>0</v>
      </c>
      <c r="X169" s="35"/>
      <c r="Y169" s="35" t="s">
        <v>205</v>
      </c>
      <c r="Z169" s="55"/>
      <c r="AA169" s="35" t="s">
        <v>27</v>
      </c>
      <c r="AB169" s="35"/>
      <c r="AC169" s="35">
        <v>0</v>
      </c>
      <c r="AD169" s="35"/>
      <c r="AE169" s="35">
        <v>0</v>
      </c>
      <c r="AF169" s="35"/>
      <c r="AG169" s="35">
        <v>0</v>
      </c>
      <c r="AH169" s="35"/>
      <c r="AI169" s="45">
        <f t="shared" si="32"/>
        <v>0</v>
      </c>
      <c r="AJ169" s="45"/>
      <c r="AK169" s="35"/>
      <c r="AL169" s="35"/>
      <c r="AM169" s="35">
        <v>0</v>
      </c>
      <c r="AN169" s="35"/>
      <c r="AO169" s="35">
        <v>0</v>
      </c>
      <c r="AP169" s="35"/>
      <c r="AQ169" s="35">
        <v>0</v>
      </c>
      <c r="AR169" s="35"/>
      <c r="AS169" s="45">
        <f t="shared" si="36"/>
        <v>0</v>
      </c>
      <c r="AT169" s="45"/>
      <c r="AU169" s="35">
        <v>0</v>
      </c>
      <c r="AV169" s="35"/>
      <c r="AW169" s="35">
        <v>0</v>
      </c>
      <c r="AX169" s="35"/>
      <c r="AY169" s="35">
        <f t="shared" si="37"/>
        <v>0</v>
      </c>
      <c r="AZ169" s="35"/>
      <c r="BA169" s="35" t="s">
        <v>205</v>
      </c>
      <c r="BB169" s="55"/>
      <c r="BC169" s="35" t="s">
        <v>27</v>
      </c>
      <c r="BD169" s="35"/>
      <c r="BE169" s="35"/>
      <c r="BF169" s="35"/>
      <c r="BG169" s="35"/>
      <c r="BH169" s="35"/>
      <c r="BI169" s="35"/>
      <c r="BJ169" s="35"/>
      <c r="BK169" s="35"/>
      <c r="BL169" s="35"/>
      <c r="BM169" s="35">
        <f t="shared" si="38"/>
        <v>0</v>
      </c>
      <c r="BN169" s="54" t="s">
        <v>347</v>
      </c>
    </row>
    <row r="170" spans="1:67" ht="12.75" hidden="1" customHeight="1">
      <c r="A170" s="35" t="s">
        <v>206</v>
      </c>
      <c r="C170" s="35" t="s">
        <v>47</v>
      </c>
      <c r="D170" s="35"/>
      <c r="E170" s="35">
        <f t="shared" si="34"/>
        <v>0</v>
      </c>
      <c r="F170" s="35"/>
      <c r="G170" s="35"/>
      <c r="H170" s="35"/>
      <c r="I170" s="35"/>
      <c r="J170" s="35"/>
      <c r="K170" s="35">
        <f t="shared" si="35"/>
        <v>0</v>
      </c>
      <c r="L170" s="35"/>
      <c r="M170" s="35">
        <v>0</v>
      </c>
      <c r="N170" s="35"/>
      <c r="O170" s="35"/>
      <c r="P170" s="35"/>
      <c r="Q170" s="35"/>
      <c r="R170" s="35"/>
      <c r="S170" s="35">
        <v>0</v>
      </c>
      <c r="T170" s="35"/>
      <c r="U170" s="35"/>
      <c r="V170" s="35"/>
      <c r="W170" s="35">
        <f t="shared" si="33"/>
        <v>0</v>
      </c>
      <c r="X170" s="35"/>
      <c r="Y170" s="35" t="s">
        <v>206</v>
      </c>
      <c r="Z170" s="55"/>
      <c r="AA170" s="35" t="s">
        <v>47</v>
      </c>
      <c r="AB170" s="35"/>
      <c r="AC170" s="35">
        <v>0</v>
      </c>
      <c r="AD170" s="35"/>
      <c r="AE170" s="35">
        <v>0</v>
      </c>
      <c r="AF170" s="35"/>
      <c r="AG170" s="35">
        <v>0</v>
      </c>
      <c r="AH170" s="35"/>
      <c r="AI170" s="45">
        <f t="shared" si="32"/>
        <v>0</v>
      </c>
      <c r="AJ170" s="45"/>
      <c r="AK170" s="35"/>
      <c r="AL170" s="35"/>
      <c r="AM170" s="35">
        <v>0</v>
      </c>
      <c r="AN170" s="35"/>
      <c r="AO170" s="35">
        <v>0</v>
      </c>
      <c r="AP170" s="35"/>
      <c r="AQ170" s="35">
        <v>0</v>
      </c>
      <c r="AR170" s="35"/>
      <c r="AS170" s="45">
        <f t="shared" si="36"/>
        <v>0</v>
      </c>
      <c r="AT170" s="45"/>
      <c r="AU170" s="35">
        <v>0</v>
      </c>
      <c r="AV170" s="35"/>
      <c r="AW170" s="35">
        <v>0</v>
      </c>
      <c r="AX170" s="35"/>
      <c r="AY170" s="35">
        <f t="shared" si="37"/>
        <v>0</v>
      </c>
      <c r="AZ170" s="35"/>
      <c r="BA170" s="35" t="s">
        <v>206</v>
      </c>
      <c r="BB170" s="55"/>
      <c r="BC170" s="35" t="s">
        <v>47</v>
      </c>
      <c r="BD170" s="35"/>
      <c r="BE170" s="35"/>
      <c r="BF170" s="35"/>
      <c r="BG170" s="35"/>
      <c r="BH170" s="35"/>
      <c r="BI170" s="35"/>
      <c r="BJ170" s="35"/>
      <c r="BK170" s="35"/>
      <c r="BL170" s="35"/>
      <c r="BM170" s="35">
        <f t="shared" si="38"/>
        <v>0</v>
      </c>
      <c r="BN170" s="54" t="s">
        <v>347</v>
      </c>
    </row>
    <row r="171" spans="1:67" ht="12.75" hidden="1" customHeight="1">
      <c r="A171" s="35" t="s">
        <v>207</v>
      </c>
      <c r="C171" s="35" t="s">
        <v>102</v>
      </c>
      <c r="D171" s="35"/>
      <c r="E171" s="35">
        <f t="shared" si="34"/>
        <v>0</v>
      </c>
      <c r="F171" s="35"/>
      <c r="G171" s="35"/>
      <c r="H171" s="35"/>
      <c r="I171" s="35"/>
      <c r="J171" s="35"/>
      <c r="K171" s="35">
        <f t="shared" si="35"/>
        <v>0</v>
      </c>
      <c r="L171" s="35"/>
      <c r="M171" s="35">
        <v>0</v>
      </c>
      <c r="N171" s="35"/>
      <c r="O171" s="35"/>
      <c r="P171" s="35"/>
      <c r="Q171" s="35"/>
      <c r="R171" s="35"/>
      <c r="S171" s="35">
        <v>0</v>
      </c>
      <c r="T171" s="35"/>
      <c r="U171" s="35"/>
      <c r="V171" s="35"/>
      <c r="W171" s="35">
        <f t="shared" ref="W171:W202" si="39">SUM(Q171:U171)</f>
        <v>0</v>
      </c>
      <c r="X171" s="35"/>
      <c r="Y171" s="35" t="s">
        <v>207</v>
      </c>
      <c r="Z171" s="55"/>
      <c r="AA171" s="35" t="s">
        <v>102</v>
      </c>
      <c r="AB171" s="35"/>
      <c r="AC171" s="35">
        <v>0</v>
      </c>
      <c r="AD171" s="35"/>
      <c r="AE171" s="35">
        <v>0</v>
      </c>
      <c r="AF171" s="35"/>
      <c r="AG171" s="35">
        <v>0</v>
      </c>
      <c r="AH171" s="35"/>
      <c r="AI171" s="45">
        <f t="shared" si="32"/>
        <v>0</v>
      </c>
      <c r="AJ171" s="45"/>
      <c r="AK171" s="35"/>
      <c r="AL171" s="35"/>
      <c r="AM171" s="35">
        <v>0</v>
      </c>
      <c r="AN171" s="35"/>
      <c r="AO171" s="35">
        <v>0</v>
      </c>
      <c r="AP171" s="35"/>
      <c r="AQ171" s="35">
        <v>0</v>
      </c>
      <c r="AR171" s="35"/>
      <c r="AS171" s="45">
        <f t="shared" si="36"/>
        <v>0</v>
      </c>
      <c r="AT171" s="45"/>
      <c r="AU171" s="35">
        <v>0</v>
      </c>
      <c r="AV171" s="35"/>
      <c r="AW171" s="35">
        <v>0</v>
      </c>
      <c r="AX171" s="35"/>
      <c r="AY171" s="35">
        <f t="shared" si="37"/>
        <v>0</v>
      </c>
      <c r="AZ171" s="35"/>
      <c r="BA171" s="35" t="s">
        <v>207</v>
      </c>
      <c r="BB171" s="55"/>
      <c r="BC171" s="35" t="s">
        <v>102</v>
      </c>
      <c r="BD171" s="35"/>
      <c r="BE171" s="35"/>
      <c r="BF171" s="35"/>
      <c r="BG171" s="35"/>
      <c r="BH171" s="35"/>
      <c r="BI171" s="35"/>
      <c r="BJ171" s="35"/>
      <c r="BK171" s="35"/>
      <c r="BL171" s="35"/>
      <c r="BM171" s="35">
        <f t="shared" si="38"/>
        <v>0</v>
      </c>
      <c r="BN171" s="54" t="s">
        <v>347</v>
      </c>
    </row>
    <row r="172" spans="1:67" ht="12.75" customHeight="1">
      <c r="A172" s="35" t="s">
        <v>208</v>
      </c>
      <c r="C172" s="35" t="s">
        <v>209</v>
      </c>
      <c r="D172" s="35"/>
      <c r="E172" s="35">
        <f t="shared" si="34"/>
        <v>13650249</v>
      </c>
      <c r="F172" s="35"/>
      <c r="G172" s="35">
        <v>32608192</v>
      </c>
      <c r="H172" s="35"/>
      <c r="I172" s="35">
        <v>46258441</v>
      </c>
      <c r="J172" s="35"/>
      <c r="K172" s="35">
        <f t="shared" si="35"/>
        <v>2388334</v>
      </c>
      <c r="L172" s="35"/>
      <c r="M172" s="35">
        <v>1067323</v>
      </c>
      <c r="N172" s="35"/>
      <c r="O172" s="35">
        <v>3455657</v>
      </c>
      <c r="P172" s="35"/>
      <c r="Q172" s="35">
        <v>31478856</v>
      </c>
      <c r="R172" s="35"/>
      <c r="S172" s="35">
        <v>0</v>
      </c>
      <c r="T172" s="35"/>
      <c r="U172" s="35">
        <v>11323928</v>
      </c>
      <c r="V172" s="35"/>
      <c r="W172" s="35">
        <f t="shared" si="39"/>
        <v>42802784</v>
      </c>
      <c r="X172" s="35"/>
      <c r="Y172" s="35" t="s">
        <v>208</v>
      </c>
      <c r="Z172" s="55"/>
      <c r="AA172" s="35" t="s">
        <v>209</v>
      </c>
      <c r="AB172" s="35"/>
      <c r="AC172" s="35">
        <v>23813293</v>
      </c>
      <c r="AD172" s="35"/>
      <c r="AE172" s="35">
        <f>23846149-1651719</f>
        <v>22194430</v>
      </c>
      <c r="AF172" s="35"/>
      <c r="AG172" s="35">
        <v>1651719</v>
      </c>
      <c r="AH172" s="35"/>
      <c r="AI172" s="45">
        <f t="shared" si="32"/>
        <v>-32856</v>
      </c>
      <c r="AJ172" s="45"/>
      <c r="AK172" s="35">
        <v>693016</v>
      </c>
      <c r="AL172" s="35"/>
      <c r="AM172" s="35">
        <v>0</v>
      </c>
      <c r="AN172" s="35"/>
      <c r="AO172" s="35">
        <v>0</v>
      </c>
      <c r="AP172" s="35"/>
      <c r="AQ172" s="35">
        <v>0</v>
      </c>
      <c r="AR172" s="35"/>
      <c r="AS172" s="45">
        <f t="shared" si="36"/>
        <v>660160</v>
      </c>
      <c r="AT172" s="45"/>
      <c r="AU172" s="35">
        <v>0</v>
      </c>
      <c r="AV172" s="35"/>
      <c r="AW172" s="35">
        <v>0</v>
      </c>
      <c r="AX172" s="35"/>
      <c r="AY172" s="35">
        <f t="shared" si="37"/>
        <v>11261915</v>
      </c>
      <c r="AZ172" s="35"/>
      <c r="BA172" s="35" t="s">
        <v>208</v>
      </c>
      <c r="BB172" s="55"/>
      <c r="BC172" s="35" t="s">
        <v>209</v>
      </c>
      <c r="BD172" s="35"/>
      <c r="BE172" s="35">
        <v>1129336</v>
      </c>
      <c r="BF172" s="35"/>
      <c r="BG172" s="35">
        <v>0</v>
      </c>
      <c r="BH172" s="35"/>
      <c r="BI172" s="35">
        <v>0</v>
      </c>
      <c r="BJ172" s="35"/>
      <c r="BK172" s="35">
        <v>0</v>
      </c>
      <c r="BL172" s="35"/>
      <c r="BM172" s="35">
        <f t="shared" si="38"/>
        <v>1129336</v>
      </c>
      <c r="BN172" s="54" t="s">
        <v>347</v>
      </c>
    </row>
    <row r="173" spans="1:67" ht="12.75" hidden="1" customHeight="1">
      <c r="A173" s="44" t="s">
        <v>210</v>
      </c>
      <c r="C173" s="44" t="s">
        <v>211</v>
      </c>
      <c r="D173" s="44"/>
      <c r="E173" s="35">
        <f t="shared" si="34"/>
        <v>0</v>
      </c>
      <c r="F173" s="35"/>
      <c r="G173" s="35"/>
      <c r="H173" s="35"/>
      <c r="I173" s="35"/>
      <c r="J173" s="35"/>
      <c r="K173" s="35">
        <f t="shared" si="35"/>
        <v>0</v>
      </c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>
        <f t="shared" si="39"/>
        <v>0</v>
      </c>
      <c r="X173" s="35"/>
      <c r="Y173" s="44" t="s">
        <v>210</v>
      </c>
      <c r="Z173" s="55"/>
      <c r="AA173" s="44" t="s">
        <v>211</v>
      </c>
      <c r="AB173" s="44"/>
      <c r="AC173" s="35"/>
      <c r="AD173" s="35"/>
      <c r="AE173" s="35"/>
      <c r="AF173" s="35"/>
      <c r="AG173" s="35"/>
      <c r="AH173" s="35"/>
      <c r="AI173" s="45">
        <f t="shared" si="32"/>
        <v>0</v>
      </c>
      <c r="AJ173" s="45"/>
      <c r="AK173" s="35"/>
      <c r="AL173" s="35"/>
      <c r="AM173" s="35"/>
      <c r="AN173" s="35"/>
      <c r="AO173" s="35"/>
      <c r="AP173" s="35"/>
      <c r="AQ173" s="35"/>
      <c r="AR173" s="35"/>
      <c r="AS173" s="45">
        <f t="shared" si="36"/>
        <v>0</v>
      </c>
      <c r="AT173" s="45"/>
      <c r="AU173" s="35">
        <v>0</v>
      </c>
      <c r="AV173" s="35"/>
      <c r="AW173" s="35">
        <v>0</v>
      </c>
      <c r="AX173" s="35"/>
      <c r="AY173" s="35">
        <f t="shared" si="37"/>
        <v>0</v>
      </c>
      <c r="AZ173" s="35"/>
      <c r="BA173" s="44" t="s">
        <v>210</v>
      </c>
      <c r="BB173" s="55"/>
      <c r="BC173" s="44" t="s">
        <v>211</v>
      </c>
      <c r="BD173" s="44"/>
      <c r="BE173" s="35"/>
      <c r="BF173" s="35"/>
      <c r="BG173" s="35"/>
      <c r="BH173" s="35"/>
      <c r="BI173" s="35"/>
      <c r="BJ173" s="35"/>
      <c r="BK173" s="35"/>
      <c r="BL173" s="35"/>
      <c r="BM173" s="35">
        <f t="shared" si="38"/>
        <v>0</v>
      </c>
      <c r="BN173" s="54" t="s">
        <v>347</v>
      </c>
    </row>
    <row r="174" spans="1:67" ht="12.75" hidden="1" customHeight="1">
      <c r="A174" s="44" t="s">
        <v>212</v>
      </c>
      <c r="C174" s="44" t="s">
        <v>213</v>
      </c>
      <c r="D174" s="44"/>
      <c r="E174" s="35">
        <f t="shared" si="34"/>
        <v>0</v>
      </c>
      <c r="F174" s="35"/>
      <c r="G174" s="35"/>
      <c r="H174" s="35"/>
      <c r="I174" s="35"/>
      <c r="J174" s="35"/>
      <c r="K174" s="35">
        <f t="shared" si="35"/>
        <v>0</v>
      </c>
      <c r="L174" s="35"/>
      <c r="M174" s="35">
        <v>0</v>
      </c>
      <c r="N174" s="35"/>
      <c r="O174" s="35"/>
      <c r="P174" s="35"/>
      <c r="Q174" s="35"/>
      <c r="R174" s="35"/>
      <c r="S174" s="35">
        <v>0</v>
      </c>
      <c r="T174" s="35"/>
      <c r="U174" s="35"/>
      <c r="V174" s="35"/>
      <c r="W174" s="35">
        <f t="shared" si="39"/>
        <v>0</v>
      </c>
      <c r="X174" s="35"/>
      <c r="Y174" s="44" t="s">
        <v>212</v>
      </c>
      <c r="Z174" s="55"/>
      <c r="AA174" s="44" t="s">
        <v>213</v>
      </c>
      <c r="AB174" s="44"/>
      <c r="AC174" s="35">
        <v>0</v>
      </c>
      <c r="AD174" s="35"/>
      <c r="AE174" s="35">
        <v>0</v>
      </c>
      <c r="AF174" s="35"/>
      <c r="AG174" s="35">
        <v>0</v>
      </c>
      <c r="AH174" s="35"/>
      <c r="AI174" s="45">
        <f t="shared" si="32"/>
        <v>0</v>
      </c>
      <c r="AJ174" s="45"/>
      <c r="AK174" s="35"/>
      <c r="AL174" s="35"/>
      <c r="AM174" s="35">
        <v>0</v>
      </c>
      <c r="AN174" s="35"/>
      <c r="AO174" s="35">
        <v>0</v>
      </c>
      <c r="AP174" s="35"/>
      <c r="AQ174" s="35">
        <v>0</v>
      </c>
      <c r="AR174" s="35"/>
      <c r="AS174" s="45">
        <f t="shared" si="36"/>
        <v>0</v>
      </c>
      <c r="AT174" s="45"/>
      <c r="AU174" s="35">
        <v>0</v>
      </c>
      <c r="AV174" s="35"/>
      <c r="AW174" s="35">
        <v>0</v>
      </c>
      <c r="AX174" s="35"/>
      <c r="AY174" s="35">
        <f t="shared" si="37"/>
        <v>0</v>
      </c>
      <c r="AZ174" s="35"/>
      <c r="BA174" s="44" t="s">
        <v>212</v>
      </c>
      <c r="BB174" s="55"/>
      <c r="BC174" s="44" t="s">
        <v>213</v>
      </c>
      <c r="BD174" s="44"/>
      <c r="BE174" s="35"/>
      <c r="BF174" s="35"/>
      <c r="BG174" s="35"/>
      <c r="BH174" s="35"/>
      <c r="BI174" s="35"/>
      <c r="BJ174" s="35"/>
      <c r="BK174" s="35"/>
      <c r="BL174" s="35"/>
      <c r="BM174" s="35">
        <f t="shared" si="38"/>
        <v>0</v>
      </c>
      <c r="BN174" s="54" t="s">
        <v>347</v>
      </c>
    </row>
    <row r="175" spans="1:67" ht="12.75" hidden="1" customHeight="1">
      <c r="A175" s="44" t="s">
        <v>214</v>
      </c>
      <c r="C175" s="44" t="s">
        <v>86</v>
      </c>
      <c r="D175" s="44"/>
      <c r="E175" s="35">
        <f t="shared" si="34"/>
        <v>0</v>
      </c>
      <c r="F175" s="35"/>
      <c r="G175" s="35"/>
      <c r="H175" s="35"/>
      <c r="I175" s="35"/>
      <c r="J175" s="35"/>
      <c r="K175" s="35">
        <f t="shared" si="35"/>
        <v>0</v>
      </c>
      <c r="L175" s="35"/>
      <c r="M175" s="35">
        <v>0</v>
      </c>
      <c r="N175" s="35"/>
      <c r="O175" s="35"/>
      <c r="P175" s="35"/>
      <c r="Q175" s="35"/>
      <c r="R175" s="35"/>
      <c r="S175" s="35">
        <v>0</v>
      </c>
      <c r="T175" s="35"/>
      <c r="U175" s="35"/>
      <c r="V175" s="35"/>
      <c r="W175" s="35">
        <f t="shared" si="39"/>
        <v>0</v>
      </c>
      <c r="X175" s="35"/>
      <c r="Y175" s="44" t="s">
        <v>214</v>
      </c>
      <c r="Z175" s="55"/>
      <c r="AA175" s="44" t="s">
        <v>86</v>
      </c>
      <c r="AB175" s="44"/>
      <c r="AC175" s="35">
        <v>0</v>
      </c>
      <c r="AD175" s="35"/>
      <c r="AE175" s="35">
        <v>0</v>
      </c>
      <c r="AF175" s="35"/>
      <c r="AG175" s="35">
        <v>0</v>
      </c>
      <c r="AH175" s="35"/>
      <c r="AI175" s="45">
        <f t="shared" si="32"/>
        <v>0</v>
      </c>
      <c r="AJ175" s="45"/>
      <c r="AK175" s="35"/>
      <c r="AL175" s="35"/>
      <c r="AM175" s="35">
        <v>0</v>
      </c>
      <c r="AN175" s="35"/>
      <c r="AO175" s="35">
        <v>0</v>
      </c>
      <c r="AP175" s="35"/>
      <c r="AQ175" s="35">
        <v>0</v>
      </c>
      <c r="AR175" s="35"/>
      <c r="AS175" s="45">
        <f t="shared" si="36"/>
        <v>0</v>
      </c>
      <c r="AT175" s="45"/>
      <c r="AU175" s="35">
        <v>0</v>
      </c>
      <c r="AV175" s="35"/>
      <c r="AW175" s="35">
        <v>0</v>
      </c>
      <c r="AX175" s="35"/>
      <c r="AY175" s="35">
        <f t="shared" si="37"/>
        <v>0</v>
      </c>
      <c r="AZ175" s="35"/>
      <c r="BA175" s="44" t="s">
        <v>214</v>
      </c>
      <c r="BB175" s="55"/>
      <c r="BC175" s="44" t="s">
        <v>86</v>
      </c>
      <c r="BD175" s="44"/>
      <c r="BE175" s="35"/>
      <c r="BF175" s="35"/>
      <c r="BG175" s="35"/>
      <c r="BH175" s="35"/>
      <c r="BI175" s="35"/>
      <c r="BJ175" s="35"/>
      <c r="BK175" s="35"/>
      <c r="BL175" s="35"/>
      <c r="BM175" s="35">
        <f t="shared" si="38"/>
        <v>0</v>
      </c>
      <c r="BN175" s="54" t="s">
        <v>347</v>
      </c>
    </row>
    <row r="176" spans="1:67" ht="12.75" hidden="1" customHeight="1">
      <c r="A176" s="35" t="s">
        <v>215</v>
      </c>
      <c r="C176" s="35" t="s">
        <v>22</v>
      </c>
      <c r="D176" s="35"/>
      <c r="E176" s="35">
        <f t="shared" si="34"/>
        <v>0</v>
      </c>
      <c r="F176" s="35"/>
      <c r="G176" s="35"/>
      <c r="H176" s="35"/>
      <c r="I176" s="35"/>
      <c r="J176" s="35"/>
      <c r="K176" s="35">
        <f t="shared" si="35"/>
        <v>0</v>
      </c>
      <c r="L176" s="35"/>
      <c r="M176" s="35">
        <v>0</v>
      </c>
      <c r="N176" s="35"/>
      <c r="O176" s="35"/>
      <c r="P176" s="35"/>
      <c r="Q176" s="35"/>
      <c r="R176" s="35"/>
      <c r="S176" s="35">
        <v>0</v>
      </c>
      <c r="T176" s="35"/>
      <c r="U176" s="35"/>
      <c r="V176" s="35"/>
      <c r="W176" s="35">
        <f t="shared" si="39"/>
        <v>0</v>
      </c>
      <c r="X176" s="35"/>
      <c r="Y176" s="35" t="s">
        <v>215</v>
      </c>
      <c r="Z176" s="55"/>
      <c r="AA176" s="35" t="s">
        <v>22</v>
      </c>
      <c r="AB176" s="35"/>
      <c r="AC176" s="35">
        <v>0</v>
      </c>
      <c r="AD176" s="35"/>
      <c r="AE176" s="35">
        <v>0</v>
      </c>
      <c r="AF176" s="35"/>
      <c r="AG176" s="35">
        <v>0</v>
      </c>
      <c r="AH176" s="35"/>
      <c r="AI176" s="45">
        <f t="shared" si="32"/>
        <v>0</v>
      </c>
      <c r="AJ176" s="45"/>
      <c r="AK176" s="35"/>
      <c r="AL176" s="35"/>
      <c r="AM176" s="35">
        <v>0</v>
      </c>
      <c r="AN176" s="35"/>
      <c r="AO176" s="35">
        <v>0</v>
      </c>
      <c r="AP176" s="35"/>
      <c r="AQ176" s="35">
        <v>0</v>
      </c>
      <c r="AR176" s="35"/>
      <c r="AS176" s="45">
        <f t="shared" si="36"/>
        <v>0</v>
      </c>
      <c r="AT176" s="45"/>
      <c r="AU176" s="35">
        <v>0</v>
      </c>
      <c r="AV176" s="35"/>
      <c r="AW176" s="35">
        <v>0</v>
      </c>
      <c r="AX176" s="35"/>
      <c r="AY176" s="35">
        <f t="shared" si="37"/>
        <v>0</v>
      </c>
      <c r="AZ176" s="35"/>
      <c r="BA176" s="35" t="s">
        <v>215</v>
      </c>
      <c r="BB176" s="55"/>
      <c r="BC176" s="35" t="s">
        <v>22</v>
      </c>
      <c r="BD176" s="35"/>
      <c r="BE176" s="35"/>
      <c r="BF176" s="35"/>
      <c r="BG176" s="35"/>
      <c r="BH176" s="35"/>
      <c r="BI176" s="35"/>
      <c r="BJ176" s="35"/>
      <c r="BK176" s="35"/>
      <c r="BL176" s="35"/>
      <c r="BM176" s="35">
        <f t="shared" si="38"/>
        <v>0</v>
      </c>
      <c r="BN176" s="54" t="s">
        <v>347</v>
      </c>
    </row>
    <row r="177" spans="1:68" ht="12.75" hidden="1" customHeight="1">
      <c r="A177" s="35" t="s">
        <v>216</v>
      </c>
      <c r="C177" s="35" t="s">
        <v>45</v>
      </c>
      <c r="D177" s="35"/>
      <c r="E177" s="35">
        <f t="shared" si="34"/>
        <v>0</v>
      </c>
      <c r="F177" s="35"/>
      <c r="G177" s="35"/>
      <c r="H177" s="35"/>
      <c r="I177" s="35"/>
      <c r="J177" s="35"/>
      <c r="K177" s="35">
        <f t="shared" si="35"/>
        <v>0</v>
      </c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>
        <f t="shared" si="39"/>
        <v>0</v>
      </c>
      <c r="X177" s="35"/>
      <c r="Y177" s="35" t="s">
        <v>216</v>
      </c>
      <c r="Z177" s="55"/>
      <c r="AA177" s="35" t="s">
        <v>45</v>
      </c>
      <c r="AB177" s="35"/>
      <c r="AC177" s="35"/>
      <c r="AD177" s="35"/>
      <c r="AE177" s="35"/>
      <c r="AF177" s="35"/>
      <c r="AG177" s="35"/>
      <c r="AH177" s="35"/>
      <c r="AI177" s="45">
        <f t="shared" si="32"/>
        <v>0</v>
      </c>
      <c r="AJ177" s="45"/>
      <c r="AK177" s="35"/>
      <c r="AL177" s="35"/>
      <c r="AM177" s="35"/>
      <c r="AN177" s="35"/>
      <c r="AO177" s="35"/>
      <c r="AP177" s="35"/>
      <c r="AQ177" s="35"/>
      <c r="AR177" s="35"/>
      <c r="AS177" s="45">
        <f t="shared" si="36"/>
        <v>0</v>
      </c>
      <c r="AT177" s="45"/>
      <c r="AU177" s="35">
        <v>0</v>
      </c>
      <c r="AV177" s="35"/>
      <c r="AW177" s="35">
        <v>0</v>
      </c>
      <c r="AX177" s="35"/>
      <c r="AY177" s="35">
        <f t="shared" si="37"/>
        <v>0</v>
      </c>
      <c r="AZ177" s="35"/>
      <c r="BA177" s="35" t="s">
        <v>216</v>
      </c>
      <c r="BB177" s="55"/>
      <c r="BC177" s="35" t="s">
        <v>45</v>
      </c>
      <c r="BD177" s="35"/>
      <c r="BE177" s="35"/>
      <c r="BF177" s="35"/>
      <c r="BG177" s="35"/>
      <c r="BH177" s="35"/>
      <c r="BI177" s="35"/>
      <c r="BJ177" s="35"/>
      <c r="BK177" s="35"/>
      <c r="BL177" s="35"/>
      <c r="BM177" s="35">
        <f t="shared" si="38"/>
        <v>0</v>
      </c>
      <c r="BN177" s="54" t="s">
        <v>347</v>
      </c>
    </row>
    <row r="178" spans="1:68" ht="12.75" hidden="1" customHeight="1">
      <c r="A178" s="35" t="s">
        <v>217</v>
      </c>
      <c r="C178" s="35" t="s">
        <v>43</v>
      </c>
      <c r="D178" s="35"/>
      <c r="E178" s="35">
        <f t="shared" si="34"/>
        <v>0</v>
      </c>
      <c r="F178" s="35"/>
      <c r="G178" s="35"/>
      <c r="H178" s="35"/>
      <c r="I178" s="35"/>
      <c r="J178" s="35"/>
      <c r="K178" s="35">
        <f t="shared" si="35"/>
        <v>0</v>
      </c>
      <c r="L178" s="35"/>
      <c r="M178" s="35">
        <v>0</v>
      </c>
      <c r="N178" s="35"/>
      <c r="O178" s="35"/>
      <c r="P178" s="35"/>
      <c r="Q178" s="35"/>
      <c r="R178" s="35"/>
      <c r="S178" s="35">
        <v>0</v>
      </c>
      <c r="T178" s="35"/>
      <c r="U178" s="35"/>
      <c r="V178" s="35"/>
      <c r="W178" s="35">
        <f t="shared" si="39"/>
        <v>0</v>
      </c>
      <c r="X178" s="35"/>
      <c r="Y178" s="35" t="s">
        <v>217</v>
      </c>
      <c r="Z178" s="55"/>
      <c r="AA178" s="35" t="s">
        <v>43</v>
      </c>
      <c r="AB178" s="35"/>
      <c r="AC178" s="35">
        <v>0</v>
      </c>
      <c r="AD178" s="35"/>
      <c r="AE178" s="35">
        <v>0</v>
      </c>
      <c r="AF178" s="35"/>
      <c r="AG178" s="35">
        <v>0</v>
      </c>
      <c r="AH178" s="35"/>
      <c r="AI178" s="45">
        <f t="shared" si="32"/>
        <v>0</v>
      </c>
      <c r="AJ178" s="45"/>
      <c r="AK178" s="35"/>
      <c r="AL178" s="35"/>
      <c r="AM178" s="35">
        <v>0</v>
      </c>
      <c r="AN178" s="35"/>
      <c r="AO178" s="35">
        <v>0</v>
      </c>
      <c r="AP178" s="35"/>
      <c r="AQ178" s="35">
        <v>0</v>
      </c>
      <c r="AR178" s="35"/>
      <c r="AS178" s="45">
        <f t="shared" si="36"/>
        <v>0</v>
      </c>
      <c r="AT178" s="45"/>
      <c r="AU178" s="35">
        <v>0</v>
      </c>
      <c r="AV178" s="35"/>
      <c r="AW178" s="35">
        <v>0</v>
      </c>
      <c r="AX178" s="35"/>
      <c r="AY178" s="35">
        <f t="shared" si="37"/>
        <v>0</v>
      </c>
      <c r="AZ178" s="35"/>
      <c r="BA178" s="35" t="s">
        <v>217</v>
      </c>
      <c r="BB178" s="55"/>
      <c r="BC178" s="35" t="s">
        <v>43</v>
      </c>
      <c r="BD178" s="35"/>
      <c r="BE178" s="35"/>
      <c r="BF178" s="35"/>
      <c r="BG178" s="35"/>
      <c r="BH178" s="35"/>
      <c r="BI178" s="35"/>
      <c r="BJ178" s="35"/>
      <c r="BK178" s="35"/>
      <c r="BL178" s="35"/>
      <c r="BM178" s="35">
        <f t="shared" si="38"/>
        <v>0</v>
      </c>
      <c r="BN178" s="54" t="s">
        <v>347</v>
      </c>
    </row>
    <row r="179" spans="1:68" ht="12.75" hidden="1" customHeight="1">
      <c r="A179" s="35" t="s">
        <v>218</v>
      </c>
      <c r="C179" s="35" t="s">
        <v>27</v>
      </c>
      <c r="D179" s="35"/>
      <c r="E179" s="35">
        <f t="shared" si="34"/>
        <v>0</v>
      </c>
      <c r="F179" s="35"/>
      <c r="G179" s="35"/>
      <c r="H179" s="35"/>
      <c r="I179" s="35"/>
      <c r="J179" s="35"/>
      <c r="K179" s="35">
        <f t="shared" si="35"/>
        <v>0</v>
      </c>
      <c r="L179" s="35"/>
      <c r="M179" s="35">
        <v>0</v>
      </c>
      <c r="N179" s="35"/>
      <c r="O179" s="35"/>
      <c r="P179" s="35"/>
      <c r="Q179" s="35"/>
      <c r="R179" s="35"/>
      <c r="S179" s="35">
        <v>0</v>
      </c>
      <c r="T179" s="35"/>
      <c r="U179" s="35"/>
      <c r="V179" s="35"/>
      <c r="W179" s="35">
        <f t="shared" si="39"/>
        <v>0</v>
      </c>
      <c r="X179" s="35"/>
      <c r="Y179" s="35" t="s">
        <v>218</v>
      </c>
      <c r="Z179" s="55"/>
      <c r="AA179" s="35" t="s">
        <v>27</v>
      </c>
      <c r="AB179" s="35"/>
      <c r="AC179" s="35">
        <v>0</v>
      </c>
      <c r="AD179" s="35"/>
      <c r="AE179" s="35">
        <v>0</v>
      </c>
      <c r="AF179" s="35"/>
      <c r="AG179" s="35">
        <v>0</v>
      </c>
      <c r="AH179" s="35"/>
      <c r="AI179" s="45">
        <f t="shared" si="32"/>
        <v>0</v>
      </c>
      <c r="AJ179" s="45"/>
      <c r="AK179" s="35"/>
      <c r="AL179" s="35"/>
      <c r="AM179" s="35">
        <v>0</v>
      </c>
      <c r="AN179" s="35"/>
      <c r="AO179" s="35">
        <v>0</v>
      </c>
      <c r="AP179" s="35"/>
      <c r="AQ179" s="35">
        <v>0</v>
      </c>
      <c r="AR179" s="35"/>
      <c r="AS179" s="45">
        <f t="shared" si="36"/>
        <v>0</v>
      </c>
      <c r="AT179" s="45"/>
      <c r="AU179" s="35">
        <v>0</v>
      </c>
      <c r="AV179" s="35"/>
      <c r="AW179" s="35">
        <v>0</v>
      </c>
      <c r="AX179" s="35"/>
      <c r="AY179" s="35">
        <f t="shared" si="37"/>
        <v>0</v>
      </c>
      <c r="AZ179" s="35"/>
      <c r="BA179" s="35" t="s">
        <v>218</v>
      </c>
      <c r="BB179" s="55"/>
      <c r="BC179" s="35" t="s">
        <v>27</v>
      </c>
      <c r="BD179" s="35"/>
      <c r="BE179" s="35"/>
      <c r="BF179" s="35"/>
      <c r="BG179" s="35"/>
      <c r="BH179" s="35"/>
      <c r="BI179" s="35"/>
      <c r="BJ179" s="35"/>
      <c r="BK179" s="35"/>
      <c r="BL179" s="35"/>
      <c r="BM179" s="35">
        <f t="shared" si="38"/>
        <v>0</v>
      </c>
      <c r="BN179" s="54" t="s">
        <v>347</v>
      </c>
      <c r="BO179" s="35"/>
      <c r="BP179" s="35"/>
    </row>
    <row r="180" spans="1:68" ht="12.75" hidden="1" customHeight="1">
      <c r="A180" s="35" t="s">
        <v>219</v>
      </c>
      <c r="C180" s="35" t="s">
        <v>199</v>
      </c>
      <c r="D180" s="35"/>
      <c r="E180" s="35">
        <f t="shared" si="34"/>
        <v>0</v>
      </c>
      <c r="F180" s="35"/>
      <c r="G180" s="35"/>
      <c r="H180" s="35"/>
      <c r="I180" s="35"/>
      <c r="J180" s="35"/>
      <c r="K180" s="35">
        <f t="shared" si="35"/>
        <v>0</v>
      </c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>
        <f t="shared" si="39"/>
        <v>0</v>
      </c>
      <c r="X180" s="35"/>
      <c r="Y180" s="35" t="s">
        <v>219</v>
      </c>
      <c r="Z180" s="55"/>
      <c r="AA180" s="35" t="s">
        <v>199</v>
      </c>
      <c r="AB180" s="35"/>
      <c r="AC180" s="35"/>
      <c r="AD180" s="35"/>
      <c r="AE180" s="35"/>
      <c r="AF180" s="35"/>
      <c r="AG180" s="35"/>
      <c r="AH180" s="35"/>
      <c r="AI180" s="45">
        <f t="shared" si="32"/>
        <v>0</v>
      </c>
      <c r="AJ180" s="45"/>
      <c r="AK180" s="35"/>
      <c r="AL180" s="35"/>
      <c r="AM180" s="35"/>
      <c r="AN180" s="35"/>
      <c r="AO180" s="35"/>
      <c r="AP180" s="35"/>
      <c r="AQ180" s="35"/>
      <c r="AR180" s="35"/>
      <c r="AS180" s="45">
        <f t="shared" si="36"/>
        <v>0</v>
      </c>
      <c r="AT180" s="45"/>
      <c r="AU180" s="35">
        <v>0</v>
      </c>
      <c r="AV180" s="35"/>
      <c r="AW180" s="35">
        <v>0</v>
      </c>
      <c r="AX180" s="35"/>
      <c r="AY180" s="35">
        <f t="shared" si="37"/>
        <v>0</v>
      </c>
      <c r="AZ180" s="35"/>
      <c r="BA180" s="35" t="s">
        <v>219</v>
      </c>
      <c r="BB180" s="55"/>
      <c r="BC180" s="35" t="s">
        <v>199</v>
      </c>
      <c r="BD180" s="35"/>
      <c r="BE180" s="35"/>
      <c r="BF180" s="35"/>
      <c r="BG180" s="35"/>
      <c r="BH180" s="35"/>
      <c r="BI180" s="35"/>
      <c r="BJ180" s="35"/>
      <c r="BK180" s="35"/>
      <c r="BL180" s="35"/>
      <c r="BM180" s="35">
        <f t="shared" si="38"/>
        <v>0</v>
      </c>
      <c r="BN180" s="54" t="s">
        <v>347</v>
      </c>
    </row>
    <row r="181" spans="1:68" ht="12.75" hidden="1" customHeight="1">
      <c r="A181" s="35" t="s">
        <v>220</v>
      </c>
      <c r="C181" s="35" t="s">
        <v>66</v>
      </c>
      <c r="D181" s="35"/>
      <c r="E181" s="35">
        <f t="shared" si="34"/>
        <v>0</v>
      </c>
      <c r="F181" s="35"/>
      <c r="G181" s="35"/>
      <c r="H181" s="35"/>
      <c r="I181" s="35"/>
      <c r="J181" s="35"/>
      <c r="K181" s="35">
        <f t="shared" si="35"/>
        <v>0</v>
      </c>
      <c r="L181" s="35"/>
      <c r="M181" s="35">
        <v>0</v>
      </c>
      <c r="N181" s="35"/>
      <c r="O181" s="35"/>
      <c r="P181" s="35"/>
      <c r="Q181" s="35"/>
      <c r="R181" s="35"/>
      <c r="S181" s="35">
        <v>0</v>
      </c>
      <c r="T181" s="35"/>
      <c r="U181" s="35"/>
      <c r="V181" s="35"/>
      <c r="W181" s="35">
        <f t="shared" si="39"/>
        <v>0</v>
      </c>
      <c r="X181" s="35"/>
      <c r="Y181" s="35" t="s">
        <v>220</v>
      </c>
      <c r="Z181" s="55"/>
      <c r="AA181" s="35" t="s">
        <v>66</v>
      </c>
      <c r="AB181" s="35"/>
      <c r="AC181" s="35">
        <v>0</v>
      </c>
      <c r="AD181" s="35"/>
      <c r="AE181" s="35">
        <v>0</v>
      </c>
      <c r="AF181" s="35"/>
      <c r="AG181" s="35">
        <v>0</v>
      </c>
      <c r="AH181" s="35"/>
      <c r="AI181" s="45">
        <f t="shared" si="32"/>
        <v>0</v>
      </c>
      <c r="AJ181" s="45"/>
      <c r="AK181" s="35"/>
      <c r="AL181" s="35"/>
      <c r="AM181" s="35">
        <v>0</v>
      </c>
      <c r="AN181" s="35"/>
      <c r="AO181" s="35">
        <v>0</v>
      </c>
      <c r="AP181" s="35"/>
      <c r="AQ181" s="35">
        <v>0</v>
      </c>
      <c r="AR181" s="35"/>
      <c r="AS181" s="45">
        <f t="shared" si="36"/>
        <v>0</v>
      </c>
      <c r="AT181" s="45"/>
      <c r="AU181" s="35">
        <v>0</v>
      </c>
      <c r="AV181" s="35"/>
      <c r="AW181" s="35">
        <v>0</v>
      </c>
      <c r="AX181" s="35"/>
      <c r="AY181" s="35">
        <f t="shared" si="37"/>
        <v>0</v>
      </c>
      <c r="AZ181" s="35"/>
      <c r="BA181" s="35" t="s">
        <v>220</v>
      </c>
      <c r="BB181" s="55"/>
      <c r="BC181" s="35" t="s">
        <v>66</v>
      </c>
      <c r="BD181" s="35"/>
      <c r="BE181" s="35"/>
      <c r="BF181" s="35"/>
      <c r="BG181" s="35"/>
      <c r="BH181" s="35"/>
      <c r="BI181" s="35"/>
      <c r="BJ181" s="35"/>
      <c r="BK181" s="35"/>
      <c r="BL181" s="35"/>
      <c r="BM181" s="35">
        <f t="shared" si="38"/>
        <v>0</v>
      </c>
      <c r="BN181" s="89" t="s">
        <v>347</v>
      </c>
    </row>
    <row r="182" spans="1:68" ht="12.75" hidden="1" customHeight="1">
      <c r="A182" s="35" t="s">
        <v>221</v>
      </c>
      <c r="C182" s="35" t="s">
        <v>27</v>
      </c>
      <c r="D182" s="35"/>
      <c r="E182" s="35">
        <f t="shared" si="34"/>
        <v>0</v>
      </c>
      <c r="F182" s="35"/>
      <c r="G182" s="35"/>
      <c r="H182" s="35"/>
      <c r="I182" s="35"/>
      <c r="J182" s="35"/>
      <c r="K182" s="35">
        <f t="shared" si="35"/>
        <v>0</v>
      </c>
      <c r="L182" s="35"/>
      <c r="M182" s="35">
        <v>0</v>
      </c>
      <c r="N182" s="35"/>
      <c r="O182" s="35"/>
      <c r="P182" s="35"/>
      <c r="Q182" s="35"/>
      <c r="R182" s="35"/>
      <c r="S182" s="35">
        <v>0</v>
      </c>
      <c r="T182" s="35"/>
      <c r="U182" s="35"/>
      <c r="V182" s="35"/>
      <c r="W182" s="35">
        <f t="shared" si="39"/>
        <v>0</v>
      </c>
      <c r="X182" s="35"/>
      <c r="Y182" s="35" t="s">
        <v>221</v>
      </c>
      <c r="Z182" s="55"/>
      <c r="AA182" s="35" t="s">
        <v>27</v>
      </c>
      <c r="AB182" s="35"/>
      <c r="AC182" s="35">
        <v>0</v>
      </c>
      <c r="AD182" s="35"/>
      <c r="AE182" s="35">
        <v>0</v>
      </c>
      <c r="AF182" s="35"/>
      <c r="AG182" s="35">
        <v>0</v>
      </c>
      <c r="AH182" s="35"/>
      <c r="AI182" s="45">
        <f t="shared" si="32"/>
        <v>0</v>
      </c>
      <c r="AJ182" s="45"/>
      <c r="AK182" s="35"/>
      <c r="AL182" s="35"/>
      <c r="AM182" s="35">
        <v>0</v>
      </c>
      <c r="AN182" s="35"/>
      <c r="AO182" s="35">
        <v>0</v>
      </c>
      <c r="AP182" s="35"/>
      <c r="AQ182" s="35">
        <v>0</v>
      </c>
      <c r="AR182" s="35"/>
      <c r="AS182" s="45">
        <f t="shared" si="36"/>
        <v>0</v>
      </c>
      <c r="AT182" s="45"/>
      <c r="AU182" s="35">
        <v>0</v>
      </c>
      <c r="AV182" s="35"/>
      <c r="AW182" s="35">
        <v>0</v>
      </c>
      <c r="AX182" s="35"/>
      <c r="AY182" s="35">
        <f t="shared" si="37"/>
        <v>0</v>
      </c>
      <c r="AZ182" s="35"/>
      <c r="BA182" s="35" t="s">
        <v>221</v>
      </c>
      <c r="BB182" s="55"/>
      <c r="BC182" s="35" t="s">
        <v>27</v>
      </c>
      <c r="BD182" s="35"/>
      <c r="BE182" s="35"/>
      <c r="BF182" s="35"/>
      <c r="BG182" s="35"/>
      <c r="BH182" s="35"/>
      <c r="BI182" s="35"/>
      <c r="BJ182" s="35"/>
      <c r="BK182" s="35"/>
      <c r="BL182" s="35"/>
      <c r="BM182" s="35">
        <f t="shared" si="38"/>
        <v>0</v>
      </c>
      <c r="BN182" s="89" t="s">
        <v>347</v>
      </c>
    </row>
    <row r="183" spans="1:68" ht="12.75" hidden="1" customHeight="1">
      <c r="A183" s="35" t="s">
        <v>222</v>
      </c>
      <c r="C183" s="35" t="s">
        <v>47</v>
      </c>
      <c r="D183" s="35"/>
      <c r="E183" s="35">
        <f t="shared" si="34"/>
        <v>0</v>
      </c>
      <c r="F183" s="35"/>
      <c r="G183" s="35"/>
      <c r="H183" s="35"/>
      <c r="I183" s="35"/>
      <c r="J183" s="35"/>
      <c r="K183" s="35">
        <f t="shared" si="35"/>
        <v>0</v>
      </c>
      <c r="L183" s="35"/>
      <c r="M183" s="35">
        <v>0</v>
      </c>
      <c r="N183" s="35"/>
      <c r="O183" s="35"/>
      <c r="P183" s="35"/>
      <c r="Q183" s="35"/>
      <c r="R183" s="35"/>
      <c r="S183" s="35">
        <v>0</v>
      </c>
      <c r="T183" s="35"/>
      <c r="U183" s="35"/>
      <c r="V183" s="35"/>
      <c r="W183" s="35">
        <f t="shared" si="39"/>
        <v>0</v>
      </c>
      <c r="X183" s="35"/>
      <c r="Y183" s="35" t="s">
        <v>222</v>
      </c>
      <c r="Z183" s="55"/>
      <c r="AA183" s="35" t="s">
        <v>47</v>
      </c>
      <c r="AB183" s="35"/>
      <c r="AC183" s="35">
        <v>0</v>
      </c>
      <c r="AD183" s="35"/>
      <c r="AE183" s="35">
        <v>0</v>
      </c>
      <c r="AF183" s="35"/>
      <c r="AG183" s="35">
        <v>0</v>
      </c>
      <c r="AH183" s="35"/>
      <c r="AI183" s="45">
        <f t="shared" si="32"/>
        <v>0</v>
      </c>
      <c r="AJ183" s="45"/>
      <c r="AK183" s="35"/>
      <c r="AL183" s="35"/>
      <c r="AM183" s="35">
        <v>0</v>
      </c>
      <c r="AN183" s="35"/>
      <c r="AO183" s="35">
        <v>0</v>
      </c>
      <c r="AP183" s="35"/>
      <c r="AQ183" s="35">
        <v>0</v>
      </c>
      <c r="AR183" s="35"/>
      <c r="AS183" s="45">
        <f t="shared" si="36"/>
        <v>0</v>
      </c>
      <c r="AT183" s="45"/>
      <c r="AU183" s="35">
        <v>0</v>
      </c>
      <c r="AV183" s="35"/>
      <c r="AW183" s="35">
        <v>0</v>
      </c>
      <c r="AX183" s="35"/>
      <c r="AY183" s="35">
        <f t="shared" si="37"/>
        <v>0</v>
      </c>
      <c r="AZ183" s="35"/>
      <c r="BA183" s="35" t="s">
        <v>222</v>
      </c>
      <c r="BB183" s="55"/>
      <c r="BC183" s="35" t="s">
        <v>47</v>
      </c>
      <c r="BD183" s="35"/>
      <c r="BE183" s="35"/>
      <c r="BF183" s="35"/>
      <c r="BG183" s="35"/>
      <c r="BH183" s="35"/>
      <c r="BI183" s="35"/>
      <c r="BJ183" s="35"/>
      <c r="BK183" s="35"/>
      <c r="BL183" s="35"/>
      <c r="BM183" s="35">
        <f t="shared" si="38"/>
        <v>0</v>
      </c>
      <c r="BN183" s="89" t="s">
        <v>347</v>
      </c>
    </row>
    <row r="184" spans="1:68" ht="12.75" hidden="1" customHeight="1">
      <c r="A184" s="35" t="s">
        <v>223</v>
      </c>
      <c r="C184" s="35" t="s">
        <v>94</v>
      </c>
      <c r="D184" s="35"/>
      <c r="E184" s="35">
        <f t="shared" si="34"/>
        <v>0</v>
      </c>
      <c r="F184" s="35"/>
      <c r="G184" s="35"/>
      <c r="H184" s="35"/>
      <c r="I184" s="35"/>
      <c r="J184" s="35"/>
      <c r="K184" s="35">
        <f t="shared" si="35"/>
        <v>0</v>
      </c>
      <c r="L184" s="35"/>
      <c r="M184" s="35">
        <v>0</v>
      </c>
      <c r="N184" s="35"/>
      <c r="O184" s="35"/>
      <c r="P184" s="35"/>
      <c r="Q184" s="35"/>
      <c r="R184" s="35"/>
      <c r="S184" s="35">
        <v>0</v>
      </c>
      <c r="T184" s="35"/>
      <c r="U184" s="35"/>
      <c r="V184" s="35"/>
      <c r="W184" s="35">
        <f t="shared" si="39"/>
        <v>0</v>
      </c>
      <c r="X184" s="35"/>
      <c r="Y184" s="35" t="s">
        <v>223</v>
      </c>
      <c r="Z184" s="55"/>
      <c r="AA184" s="35" t="s">
        <v>94</v>
      </c>
      <c r="AB184" s="35"/>
      <c r="AC184" s="35">
        <v>0</v>
      </c>
      <c r="AD184" s="35"/>
      <c r="AE184" s="35">
        <v>0</v>
      </c>
      <c r="AF184" s="35"/>
      <c r="AG184" s="35">
        <v>0</v>
      </c>
      <c r="AH184" s="35"/>
      <c r="AI184" s="45">
        <f t="shared" si="32"/>
        <v>0</v>
      </c>
      <c r="AJ184" s="45"/>
      <c r="AK184" s="35"/>
      <c r="AL184" s="35"/>
      <c r="AM184" s="35">
        <v>0</v>
      </c>
      <c r="AN184" s="35"/>
      <c r="AO184" s="35">
        <v>0</v>
      </c>
      <c r="AP184" s="35"/>
      <c r="AQ184" s="35">
        <v>0</v>
      </c>
      <c r="AR184" s="35"/>
      <c r="AS184" s="45">
        <f t="shared" si="36"/>
        <v>0</v>
      </c>
      <c r="AT184" s="45"/>
      <c r="AU184" s="35">
        <v>0</v>
      </c>
      <c r="AV184" s="35"/>
      <c r="AW184" s="35">
        <v>0</v>
      </c>
      <c r="AX184" s="35"/>
      <c r="AY184" s="35">
        <f t="shared" si="37"/>
        <v>0</v>
      </c>
      <c r="AZ184" s="35"/>
      <c r="BA184" s="35" t="s">
        <v>223</v>
      </c>
      <c r="BB184" s="55"/>
      <c r="BC184" s="35" t="s">
        <v>94</v>
      </c>
      <c r="BD184" s="35"/>
      <c r="BE184" s="35"/>
      <c r="BF184" s="35"/>
      <c r="BG184" s="35"/>
      <c r="BH184" s="35"/>
      <c r="BI184" s="35"/>
      <c r="BJ184" s="35"/>
      <c r="BK184" s="35"/>
      <c r="BL184" s="35"/>
      <c r="BM184" s="35">
        <f t="shared" si="38"/>
        <v>0</v>
      </c>
      <c r="BN184" s="89" t="s">
        <v>347</v>
      </c>
    </row>
    <row r="185" spans="1:68" ht="12.75" hidden="1" customHeight="1">
      <c r="A185" s="35" t="s">
        <v>76</v>
      </c>
      <c r="C185" s="35" t="s">
        <v>132</v>
      </c>
      <c r="D185" s="35"/>
      <c r="E185" s="35">
        <f t="shared" si="34"/>
        <v>0</v>
      </c>
      <c r="F185" s="35"/>
      <c r="G185" s="35"/>
      <c r="H185" s="35"/>
      <c r="I185" s="35"/>
      <c r="J185" s="35"/>
      <c r="K185" s="35">
        <f t="shared" si="35"/>
        <v>0</v>
      </c>
      <c r="L185" s="35"/>
      <c r="M185" s="35">
        <v>0</v>
      </c>
      <c r="N185" s="35"/>
      <c r="O185" s="35"/>
      <c r="P185" s="35"/>
      <c r="Q185" s="35"/>
      <c r="R185" s="35"/>
      <c r="S185" s="35">
        <v>0</v>
      </c>
      <c r="T185" s="35"/>
      <c r="U185" s="35"/>
      <c r="V185" s="35"/>
      <c r="W185" s="35">
        <f t="shared" si="39"/>
        <v>0</v>
      </c>
      <c r="X185" s="35"/>
      <c r="Y185" s="35" t="s">
        <v>76</v>
      </c>
      <c r="Z185" s="55"/>
      <c r="AA185" s="35" t="s">
        <v>132</v>
      </c>
      <c r="AB185" s="35"/>
      <c r="AC185" s="35">
        <v>0</v>
      </c>
      <c r="AD185" s="35"/>
      <c r="AE185" s="35">
        <v>0</v>
      </c>
      <c r="AF185" s="35"/>
      <c r="AG185" s="35">
        <v>0</v>
      </c>
      <c r="AH185" s="35"/>
      <c r="AI185" s="45">
        <f t="shared" si="32"/>
        <v>0</v>
      </c>
      <c r="AJ185" s="45"/>
      <c r="AK185" s="35"/>
      <c r="AL185" s="35"/>
      <c r="AM185" s="35">
        <v>0</v>
      </c>
      <c r="AN185" s="35"/>
      <c r="AO185" s="35">
        <v>0</v>
      </c>
      <c r="AP185" s="35"/>
      <c r="AQ185" s="35">
        <v>0</v>
      </c>
      <c r="AR185" s="35"/>
      <c r="AS185" s="45">
        <f t="shared" si="36"/>
        <v>0</v>
      </c>
      <c r="AT185" s="45"/>
      <c r="AU185" s="35">
        <v>0</v>
      </c>
      <c r="AV185" s="35"/>
      <c r="AW185" s="35">
        <v>0</v>
      </c>
      <c r="AX185" s="35"/>
      <c r="AY185" s="35">
        <f t="shared" si="37"/>
        <v>0</v>
      </c>
      <c r="AZ185" s="35"/>
      <c r="BA185" s="35" t="s">
        <v>76</v>
      </c>
      <c r="BB185" s="55"/>
      <c r="BC185" s="35" t="s">
        <v>132</v>
      </c>
      <c r="BD185" s="35"/>
      <c r="BE185" s="35"/>
      <c r="BF185" s="35"/>
      <c r="BG185" s="35"/>
      <c r="BH185" s="35"/>
      <c r="BI185" s="35"/>
      <c r="BJ185" s="35"/>
      <c r="BK185" s="35"/>
      <c r="BL185" s="35"/>
      <c r="BM185" s="35">
        <f t="shared" si="38"/>
        <v>0</v>
      </c>
      <c r="BN185" s="54" t="s">
        <v>347</v>
      </c>
    </row>
    <row r="186" spans="1:68" ht="12.75" hidden="1" customHeight="1">
      <c r="A186" s="35" t="s">
        <v>224</v>
      </c>
      <c r="C186" s="35" t="s">
        <v>27</v>
      </c>
      <c r="D186" s="35"/>
      <c r="E186" s="35">
        <f t="shared" si="34"/>
        <v>0</v>
      </c>
      <c r="F186" s="35"/>
      <c r="G186" s="35"/>
      <c r="H186" s="35"/>
      <c r="I186" s="35"/>
      <c r="J186" s="35"/>
      <c r="K186" s="35">
        <f t="shared" si="35"/>
        <v>0</v>
      </c>
      <c r="L186" s="35"/>
      <c r="M186" s="35">
        <v>0</v>
      </c>
      <c r="N186" s="35"/>
      <c r="O186" s="35"/>
      <c r="P186" s="35"/>
      <c r="Q186" s="35"/>
      <c r="R186" s="35"/>
      <c r="S186" s="35">
        <v>0</v>
      </c>
      <c r="T186" s="35"/>
      <c r="U186" s="35"/>
      <c r="V186" s="35"/>
      <c r="W186" s="35">
        <f t="shared" si="39"/>
        <v>0</v>
      </c>
      <c r="X186" s="35"/>
      <c r="Y186" s="35" t="s">
        <v>224</v>
      </c>
      <c r="Z186" s="55"/>
      <c r="AA186" s="35" t="s">
        <v>27</v>
      </c>
      <c r="AB186" s="35"/>
      <c r="AC186" s="35">
        <v>0</v>
      </c>
      <c r="AD186" s="35"/>
      <c r="AE186" s="35">
        <v>0</v>
      </c>
      <c r="AF186" s="35"/>
      <c r="AG186" s="35">
        <v>0</v>
      </c>
      <c r="AH186" s="35"/>
      <c r="AI186" s="45">
        <f t="shared" si="32"/>
        <v>0</v>
      </c>
      <c r="AJ186" s="45"/>
      <c r="AK186" s="35"/>
      <c r="AL186" s="35"/>
      <c r="AM186" s="35">
        <v>0</v>
      </c>
      <c r="AN186" s="35"/>
      <c r="AO186" s="35">
        <v>0</v>
      </c>
      <c r="AP186" s="35"/>
      <c r="AQ186" s="35">
        <v>0</v>
      </c>
      <c r="AR186" s="35"/>
      <c r="AS186" s="45">
        <f t="shared" si="36"/>
        <v>0</v>
      </c>
      <c r="AT186" s="45"/>
      <c r="AU186" s="35">
        <v>0</v>
      </c>
      <c r="AV186" s="35"/>
      <c r="AW186" s="35">
        <v>0</v>
      </c>
      <c r="AX186" s="35"/>
      <c r="AY186" s="35">
        <f t="shared" si="37"/>
        <v>0</v>
      </c>
      <c r="AZ186" s="35"/>
      <c r="BA186" s="35" t="s">
        <v>224</v>
      </c>
      <c r="BB186" s="55"/>
      <c r="BC186" s="35" t="s">
        <v>27</v>
      </c>
      <c r="BD186" s="35"/>
      <c r="BE186" s="35"/>
      <c r="BF186" s="35"/>
      <c r="BG186" s="35"/>
      <c r="BH186" s="35"/>
      <c r="BI186" s="35"/>
      <c r="BJ186" s="35"/>
      <c r="BK186" s="35"/>
      <c r="BL186" s="35"/>
      <c r="BM186" s="35">
        <f t="shared" si="38"/>
        <v>0</v>
      </c>
      <c r="BN186" s="54" t="s">
        <v>347</v>
      </c>
      <c r="BO186" s="35"/>
      <c r="BP186" s="35"/>
    </row>
    <row r="187" spans="1:68" ht="12.75" hidden="1" customHeight="1">
      <c r="A187" s="35" t="s">
        <v>225</v>
      </c>
      <c r="C187" s="35" t="s">
        <v>27</v>
      </c>
      <c r="D187" s="35"/>
      <c r="E187" s="35">
        <f t="shared" si="34"/>
        <v>0</v>
      </c>
      <c r="F187" s="35"/>
      <c r="G187" s="35"/>
      <c r="H187" s="35"/>
      <c r="I187" s="35"/>
      <c r="J187" s="35"/>
      <c r="K187" s="35">
        <f t="shared" si="35"/>
        <v>0</v>
      </c>
      <c r="L187" s="35"/>
      <c r="M187" s="35">
        <v>0</v>
      </c>
      <c r="N187" s="35"/>
      <c r="O187" s="35"/>
      <c r="P187" s="35"/>
      <c r="Q187" s="35"/>
      <c r="R187" s="35"/>
      <c r="S187" s="35">
        <v>0</v>
      </c>
      <c r="T187" s="35"/>
      <c r="U187" s="35"/>
      <c r="V187" s="35"/>
      <c r="W187" s="35">
        <f t="shared" si="39"/>
        <v>0</v>
      </c>
      <c r="X187" s="35"/>
      <c r="Y187" s="35" t="s">
        <v>225</v>
      </c>
      <c r="Z187" s="55"/>
      <c r="AA187" s="35" t="s">
        <v>27</v>
      </c>
      <c r="AB187" s="35"/>
      <c r="AC187" s="35">
        <v>0</v>
      </c>
      <c r="AD187" s="35"/>
      <c r="AE187" s="35">
        <v>0</v>
      </c>
      <c r="AF187" s="35"/>
      <c r="AG187" s="35">
        <v>0</v>
      </c>
      <c r="AH187" s="35"/>
      <c r="AI187" s="45">
        <f t="shared" si="32"/>
        <v>0</v>
      </c>
      <c r="AJ187" s="45"/>
      <c r="AK187" s="35"/>
      <c r="AL187" s="35"/>
      <c r="AM187" s="35">
        <v>0</v>
      </c>
      <c r="AN187" s="35"/>
      <c r="AO187" s="35">
        <v>0</v>
      </c>
      <c r="AP187" s="35"/>
      <c r="AQ187" s="35">
        <v>0</v>
      </c>
      <c r="AR187" s="35"/>
      <c r="AS187" s="45">
        <f t="shared" si="36"/>
        <v>0</v>
      </c>
      <c r="AT187" s="45"/>
      <c r="AU187" s="35">
        <v>0</v>
      </c>
      <c r="AV187" s="35"/>
      <c r="AW187" s="35">
        <v>0</v>
      </c>
      <c r="AX187" s="35"/>
      <c r="AY187" s="35">
        <f t="shared" si="37"/>
        <v>0</v>
      </c>
      <c r="AZ187" s="35"/>
      <c r="BA187" s="35" t="s">
        <v>225</v>
      </c>
      <c r="BB187" s="55"/>
      <c r="BC187" s="35" t="s">
        <v>27</v>
      </c>
      <c r="BD187" s="35"/>
      <c r="BE187" s="35"/>
      <c r="BF187" s="35"/>
      <c r="BG187" s="35"/>
      <c r="BH187" s="35"/>
      <c r="BI187" s="35"/>
      <c r="BJ187" s="35"/>
      <c r="BK187" s="35"/>
      <c r="BL187" s="35"/>
      <c r="BM187" s="35">
        <f t="shared" si="38"/>
        <v>0</v>
      </c>
      <c r="BN187" s="54" t="s">
        <v>347</v>
      </c>
    </row>
    <row r="188" spans="1:68" ht="12.75" hidden="1" customHeight="1">
      <c r="A188" s="35" t="s">
        <v>226</v>
      </c>
      <c r="C188" s="35" t="s">
        <v>45</v>
      </c>
      <c r="D188" s="35"/>
      <c r="E188" s="35">
        <f t="shared" si="34"/>
        <v>0</v>
      </c>
      <c r="F188" s="35"/>
      <c r="G188" s="35"/>
      <c r="H188" s="35"/>
      <c r="I188" s="35"/>
      <c r="J188" s="35"/>
      <c r="K188" s="35">
        <f t="shared" si="35"/>
        <v>0</v>
      </c>
      <c r="L188" s="35"/>
      <c r="M188" s="35">
        <v>0</v>
      </c>
      <c r="N188" s="35"/>
      <c r="O188" s="35"/>
      <c r="P188" s="35"/>
      <c r="Q188" s="35"/>
      <c r="R188" s="35"/>
      <c r="S188" s="35">
        <v>0</v>
      </c>
      <c r="T188" s="35"/>
      <c r="U188" s="35"/>
      <c r="V188" s="35"/>
      <c r="W188" s="35">
        <f t="shared" si="39"/>
        <v>0</v>
      </c>
      <c r="X188" s="35"/>
      <c r="Y188" s="35" t="s">
        <v>226</v>
      </c>
      <c r="Z188" s="55"/>
      <c r="AA188" s="35" t="s">
        <v>45</v>
      </c>
      <c r="AB188" s="35"/>
      <c r="AC188" s="35">
        <v>0</v>
      </c>
      <c r="AD188" s="35"/>
      <c r="AE188" s="35">
        <v>0</v>
      </c>
      <c r="AF188" s="35"/>
      <c r="AG188" s="35">
        <v>0</v>
      </c>
      <c r="AH188" s="35"/>
      <c r="AI188" s="45">
        <f t="shared" si="32"/>
        <v>0</v>
      </c>
      <c r="AJ188" s="45"/>
      <c r="AK188" s="35"/>
      <c r="AL188" s="35"/>
      <c r="AM188" s="35">
        <v>0</v>
      </c>
      <c r="AN188" s="35"/>
      <c r="AO188" s="35">
        <v>0</v>
      </c>
      <c r="AP188" s="35"/>
      <c r="AQ188" s="35">
        <v>0</v>
      </c>
      <c r="AR188" s="35"/>
      <c r="AS188" s="45">
        <f t="shared" si="36"/>
        <v>0</v>
      </c>
      <c r="AT188" s="45"/>
      <c r="AU188" s="35">
        <v>0</v>
      </c>
      <c r="AV188" s="35"/>
      <c r="AW188" s="35">
        <v>0</v>
      </c>
      <c r="AX188" s="35"/>
      <c r="AY188" s="35">
        <f t="shared" si="37"/>
        <v>0</v>
      </c>
      <c r="AZ188" s="35"/>
      <c r="BA188" s="35" t="s">
        <v>226</v>
      </c>
      <c r="BB188" s="55"/>
      <c r="BC188" s="35" t="s">
        <v>45</v>
      </c>
      <c r="BD188" s="35"/>
      <c r="BE188" s="35"/>
      <c r="BF188" s="35"/>
      <c r="BG188" s="35"/>
      <c r="BH188" s="35"/>
      <c r="BI188" s="35"/>
      <c r="BJ188" s="35"/>
      <c r="BK188" s="35"/>
      <c r="BL188" s="35"/>
      <c r="BM188" s="35">
        <f t="shared" si="38"/>
        <v>0</v>
      </c>
      <c r="BN188" s="54" t="s">
        <v>347</v>
      </c>
    </row>
    <row r="189" spans="1:68" ht="12.75" hidden="1" customHeight="1">
      <c r="A189" s="35" t="s">
        <v>227</v>
      </c>
      <c r="C189" s="35" t="s">
        <v>17</v>
      </c>
      <c r="D189" s="35"/>
      <c r="E189" s="35">
        <f t="shared" si="34"/>
        <v>0</v>
      </c>
      <c r="F189" s="35"/>
      <c r="G189" s="35"/>
      <c r="H189" s="35"/>
      <c r="I189" s="35"/>
      <c r="J189" s="35"/>
      <c r="K189" s="35">
        <f t="shared" si="35"/>
        <v>0</v>
      </c>
      <c r="L189" s="35"/>
      <c r="M189" s="35">
        <v>0</v>
      </c>
      <c r="N189" s="35"/>
      <c r="O189" s="35"/>
      <c r="P189" s="35"/>
      <c r="Q189" s="35"/>
      <c r="R189" s="35"/>
      <c r="S189" s="35">
        <v>0</v>
      </c>
      <c r="T189" s="35"/>
      <c r="U189" s="35"/>
      <c r="V189" s="35"/>
      <c r="W189" s="35">
        <f t="shared" si="39"/>
        <v>0</v>
      </c>
      <c r="X189" s="35"/>
      <c r="Y189" s="35" t="s">
        <v>227</v>
      </c>
      <c r="Z189" s="55"/>
      <c r="AA189" s="35" t="s">
        <v>17</v>
      </c>
      <c r="AB189" s="35"/>
      <c r="AC189" s="35">
        <v>0</v>
      </c>
      <c r="AD189" s="35"/>
      <c r="AE189" s="35">
        <v>0</v>
      </c>
      <c r="AF189" s="35"/>
      <c r="AG189" s="35">
        <v>0</v>
      </c>
      <c r="AH189" s="35"/>
      <c r="AI189" s="45">
        <f t="shared" si="32"/>
        <v>0</v>
      </c>
      <c r="AJ189" s="45"/>
      <c r="AK189" s="35"/>
      <c r="AL189" s="35"/>
      <c r="AM189" s="35">
        <v>0</v>
      </c>
      <c r="AN189" s="35"/>
      <c r="AO189" s="35">
        <v>0</v>
      </c>
      <c r="AP189" s="35"/>
      <c r="AQ189" s="35">
        <v>0</v>
      </c>
      <c r="AR189" s="35"/>
      <c r="AS189" s="45">
        <f t="shared" si="36"/>
        <v>0</v>
      </c>
      <c r="AT189" s="45"/>
      <c r="AU189" s="35">
        <v>0</v>
      </c>
      <c r="AV189" s="35"/>
      <c r="AW189" s="35">
        <v>0</v>
      </c>
      <c r="AX189" s="35"/>
      <c r="AY189" s="35">
        <f t="shared" si="37"/>
        <v>0</v>
      </c>
      <c r="AZ189" s="35"/>
      <c r="BA189" s="35" t="s">
        <v>227</v>
      </c>
      <c r="BB189" s="55"/>
      <c r="BC189" s="35" t="s">
        <v>17</v>
      </c>
      <c r="BD189" s="35"/>
      <c r="BE189" s="35"/>
      <c r="BF189" s="35"/>
      <c r="BG189" s="35"/>
      <c r="BH189" s="35"/>
      <c r="BI189" s="35"/>
      <c r="BJ189" s="35"/>
      <c r="BK189" s="35"/>
      <c r="BL189" s="35"/>
      <c r="BM189" s="35">
        <v>0</v>
      </c>
      <c r="BN189" s="54" t="s">
        <v>347</v>
      </c>
    </row>
    <row r="190" spans="1:68" ht="12.75" hidden="1" customHeight="1">
      <c r="A190" s="35" t="s">
        <v>228</v>
      </c>
      <c r="C190" s="35" t="s">
        <v>153</v>
      </c>
      <c r="D190" s="35"/>
      <c r="E190" s="35">
        <f t="shared" si="34"/>
        <v>0</v>
      </c>
      <c r="F190" s="35"/>
      <c r="G190" s="35"/>
      <c r="H190" s="35"/>
      <c r="I190" s="35"/>
      <c r="J190" s="35"/>
      <c r="K190" s="35">
        <f t="shared" si="35"/>
        <v>0</v>
      </c>
      <c r="L190" s="35"/>
      <c r="M190" s="35">
        <v>0</v>
      </c>
      <c r="N190" s="35"/>
      <c r="O190" s="35"/>
      <c r="P190" s="35"/>
      <c r="Q190" s="35"/>
      <c r="R190" s="35"/>
      <c r="S190" s="35">
        <v>0</v>
      </c>
      <c r="T190" s="35"/>
      <c r="U190" s="35"/>
      <c r="V190" s="35"/>
      <c r="W190" s="35">
        <f t="shared" si="39"/>
        <v>0</v>
      </c>
      <c r="X190" s="35"/>
      <c r="Y190" s="35" t="s">
        <v>228</v>
      </c>
      <c r="Z190" s="55"/>
      <c r="AA190" s="35" t="s">
        <v>153</v>
      </c>
      <c r="AB190" s="35"/>
      <c r="AC190" s="35">
        <v>0</v>
      </c>
      <c r="AD190" s="35"/>
      <c r="AE190" s="35">
        <v>0</v>
      </c>
      <c r="AF190" s="35"/>
      <c r="AG190" s="35">
        <v>0</v>
      </c>
      <c r="AH190" s="35"/>
      <c r="AI190" s="45">
        <f t="shared" si="32"/>
        <v>0</v>
      </c>
      <c r="AJ190" s="45"/>
      <c r="AK190" s="35"/>
      <c r="AL190" s="35"/>
      <c r="AM190" s="35">
        <v>0</v>
      </c>
      <c r="AN190" s="35"/>
      <c r="AO190" s="35">
        <v>0</v>
      </c>
      <c r="AP190" s="35"/>
      <c r="AQ190" s="35">
        <v>0</v>
      </c>
      <c r="AR190" s="35"/>
      <c r="AS190" s="45">
        <f t="shared" si="36"/>
        <v>0</v>
      </c>
      <c r="AT190" s="45"/>
      <c r="AU190" s="35">
        <v>0</v>
      </c>
      <c r="AV190" s="35"/>
      <c r="AW190" s="35">
        <v>0</v>
      </c>
      <c r="AX190" s="35"/>
      <c r="AY190" s="35">
        <f t="shared" si="37"/>
        <v>0</v>
      </c>
      <c r="AZ190" s="35"/>
      <c r="BA190" s="35" t="s">
        <v>228</v>
      </c>
      <c r="BB190" s="55"/>
      <c r="BC190" s="35" t="s">
        <v>153</v>
      </c>
      <c r="BD190" s="35"/>
      <c r="BE190" s="35">
        <v>0</v>
      </c>
      <c r="BF190" s="35"/>
      <c r="BG190" s="35">
        <v>0</v>
      </c>
      <c r="BH190" s="35"/>
      <c r="BI190" s="35">
        <v>0</v>
      </c>
      <c r="BJ190" s="35"/>
      <c r="BK190" s="35">
        <v>0</v>
      </c>
      <c r="BL190" s="35"/>
      <c r="BM190" s="35">
        <f t="shared" ref="BM190:BM208" si="40">SUM(BE190:BK190)</f>
        <v>0</v>
      </c>
      <c r="BN190" s="54" t="s">
        <v>347</v>
      </c>
    </row>
    <row r="191" spans="1:68" ht="12.75" hidden="1" customHeight="1">
      <c r="A191" s="35" t="s">
        <v>229</v>
      </c>
      <c r="C191" s="35" t="s">
        <v>228</v>
      </c>
      <c r="D191" s="35"/>
      <c r="E191" s="35">
        <f t="shared" si="34"/>
        <v>0</v>
      </c>
      <c r="F191" s="35"/>
      <c r="G191" s="35"/>
      <c r="H191" s="35"/>
      <c r="I191" s="35"/>
      <c r="J191" s="35"/>
      <c r="K191" s="35">
        <f t="shared" si="35"/>
        <v>0</v>
      </c>
      <c r="L191" s="35"/>
      <c r="M191" s="35">
        <v>0</v>
      </c>
      <c r="N191" s="35"/>
      <c r="O191" s="35"/>
      <c r="P191" s="35"/>
      <c r="Q191" s="35"/>
      <c r="R191" s="35"/>
      <c r="S191" s="35">
        <v>0</v>
      </c>
      <c r="T191" s="35"/>
      <c r="U191" s="35"/>
      <c r="V191" s="35"/>
      <c r="W191" s="35">
        <f t="shared" si="39"/>
        <v>0</v>
      </c>
      <c r="X191" s="35"/>
      <c r="Y191" s="35" t="s">
        <v>229</v>
      </c>
      <c r="Z191" s="55"/>
      <c r="AA191" s="35" t="s">
        <v>228</v>
      </c>
      <c r="AB191" s="35"/>
      <c r="AC191" s="35">
        <v>0</v>
      </c>
      <c r="AD191" s="35"/>
      <c r="AE191" s="35">
        <v>0</v>
      </c>
      <c r="AF191" s="35"/>
      <c r="AG191" s="35">
        <v>0</v>
      </c>
      <c r="AH191" s="35"/>
      <c r="AI191" s="45">
        <f t="shared" si="32"/>
        <v>0</v>
      </c>
      <c r="AJ191" s="45"/>
      <c r="AK191" s="35"/>
      <c r="AL191" s="35"/>
      <c r="AM191" s="35">
        <v>0</v>
      </c>
      <c r="AN191" s="35"/>
      <c r="AO191" s="35">
        <v>0</v>
      </c>
      <c r="AP191" s="35"/>
      <c r="AQ191" s="35">
        <v>0</v>
      </c>
      <c r="AR191" s="35"/>
      <c r="AS191" s="45">
        <f t="shared" si="36"/>
        <v>0</v>
      </c>
      <c r="AT191" s="45"/>
      <c r="AU191" s="35">
        <v>0</v>
      </c>
      <c r="AV191" s="35"/>
      <c r="AW191" s="35">
        <v>0</v>
      </c>
      <c r="AX191" s="35"/>
      <c r="AY191" s="35">
        <f t="shared" si="37"/>
        <v>0</v>
      </c>
      <c r="AZ191" s="35"/>
      <c r="BA191" s="35" t="s">
        <v>229</v>
      </c>
      <c r="BB191" s="55"/>
      <c r="BC191" s="35" t="s">
        <v>228</v>
      </c>
      <c r="BD191" s="35"/>
      <c r="BE191" s="35"/>
      <c r="BF191" s="35"/>
      <c r="BG191" s="35"/>
      <c r="BH191" s="35"/>
      <c r="BI191" s="35"/>
      <c r="BJ191" s="35"/>
      <c r="BK191" s="35"/>
      <c r="BL191" s="35"/>
      <c r="BM191" s="35">
        <f t="shared" si="40"/>
        <v>0</v>
      </c>
      <c r="BN191" s="54" t="s">
        <v>347</v>
      </c>
    </row>
    <row r="192" spans="1:68" ht="12.75" hidden="1" customHeight="1">
      <c r="A192" s="35" t="s">
        <v>230</v>
      </c>
      <c r="C192" s="35" t="s">
        <v>45</v>
      </c>
      <c r="D192" s="35"/>
      <c r="E192" s="35">
        <f t="shared" si="34"/>
        <v>0</v>
      </c>
      <c r="F192" s="35"/>
      <c r="G192" s="35"/>
      <c r="H192" s="35"/>
      <c r="I192" s="35"/>
      <c r="J192" s="35"/>
      <c r="K192" s="35">
        <f t="shared" si="35"/>
        <v>0</v>
      </c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>
        <f t="shared" si="39"/>
        <v>0</v>
      </c>
      <c r="X192" s="35"/>
      <c r="Y192" s="35" t="s">
        <v>230</v>
      </c>
      <c r="Z192" s="55"/>
      <c r="AA192" s="35" t="s">
        <v>45</v>
      </c>
      <c r="AB192" s="35"/>
      <c r="AC192" s="35"/>
      <c r="AD192" s="35"/>
      <c r="AE192" s="35"/>
      <c r="AF192" s="35"/>
      <c r="AG192" s="35"/>
      <c r="AH192" s="35"/>
      <c r="AI192" s="45">
        <f t="shared" si="32"/>
        <v>0</v>
      </c>
      <c r="AJ192" s="45"/>
      <c r="AK192" s="35"/>
      <c r="AL192" s="35"/>
      <c r="AM192" s="35"/>
      <c r="AN192" s="35"/>
      <c r="AO192" s="35"/>
      <c r="AP192" s="35"/>
      <c r="AQ192" s="35"/>
      <c r="AR192" s="35"/>
      <c r="AS192" s="45">
        <f t="shared" si="36"/>
        <v>0</v>
      </c>
      <c r="AT192" s="45"/>
      <c r="AU192" s="35">
        <v>0</v>
      </c>
      <c r="AV192" s="35"/>
      <c r="AW192" s="35">
        <v>0</v>
      </c>
      <c r="AX192" s="35"/>
      <c r="AY192" s="35">
        <f t="shared" si="37"/>
        <v>0</v>
      </c>
      <c r="AZ192" s="35"/>
      <c r="BA192" s="35" t="s">
        <v>230</v>
      </c>
      <c r="BB192" s="55"/>
      <c r="BC192" s="35" t="s">
        <v>45</v>
      </c>
      <c r="BD192" s="35"/>
      <c r="BE192" s="35"/>
      <c r="BF192" s="35"/>
      <c r="BG192" s="35"/>
      <c r="BH192" s="35"/>
      <c r="BI192" s="35"/>
      <c r="BJ192" s="35"/>
      <c r="BK192" s="35"/>
      <c r="BL192" s="35"/>
      <c r="BM192" s="35">
        <f t="shared" si="40"/>
        <v>0</v>
      </c>
      <c r="BN192" s="54" t="s">
        <v>347</v>
      </c>
    </row>
    <row r="193" spans="1:74" ht="12.75" hidden="1" customHeight="1">
      <c r="A193" s="35" t="s">
        <v>231</v>
      </c>
      <c r="C193" s="35" t="s">
        <v>27</v>
      </c>
      <c r="D193" s="35"/>
      <c r="E193" s="35">
        <f t="shared" si="34"/>
        <v>0</v>
      </c>
      <c r="F193" s="35"/>
      <c r="G193" s="35"/>
      <c r="H193" s="35"/>
      <c r="I193" s="35"/>
      <c r="J193" s="35"/>
      <c r="K193" s="35">
        <f t="shared" si="35"/>
        <v>0</v>
      </c>
      <c r="L193" s="35"/>
      <c r="M193" s="35">
        <v>0</v>
      </c>
      <c r="N193" s="35"/>
      <c r="O193" s="35"/>
      <c r="P193" s="35"/>
      <c r="Q193" s="35"/>
      <c r="R193" s="35"/>
      <c r="S193" s="35">
        <v>0</v>
      </c>
      <c r="T193" s="35"/>
      <c r="U193" s="35"/>
      <c r="V193" s="35"/>
      <c r="W193" s="35">
        <f t="shared" si="39"/>
        <v>0</v>
      </c>
      <c r="X193" s="35"/>
      <c r="Y193" s="35" t="s">
        <v>231</v>
      </c>
      <c r="Z193" s="55"/>
      <c r="AA193" s="35" t="s">
        <v>27</v>
      </c>
      <c r="AB193" s="35"/>
      <c r="AC193" s="35">
        <v>0</v>
      </c>
      <c r="AD193" s="35"/>
      <c r="AE193" s="35">
        <v>0</v>
      </c>
      <c r="AF193" s="35"/>
      <c r="AG193" s="35">
        <v>0</v>
      </c>
      <c r="AH193" s="35"/>
      <c r="AI193" s="45">
        <v>0</v>
      </c>
      <c r="AJ193" s="45"/>
      <c r="AK193" s="35"/>
      <c r="AL193" s="35"/>
      <c r="AM193" s="35">
        <v>0</v>
      </c>
      <c r="AN193" s="35"/>
      <c r="AO193" s="35">
        <v>0</v>
      </c>
      <c r="AP193" s="35"/>
      <c r="AQ193" s="35">
        <v>0</v>
      </c>
      <c r="AR193" s="35"/>
      <c r="AS193" s="45">
        <f t="shared" si="36"/>
        <v>0</v>
      </c>
      <c r="AT193" s="45"/>
      <c r="AU193" s="35">
        <v>0</v>
      </c>
      <c r="AV193" s="35"/>
      <c r="AW193" s="35">
        <v>0</v>
      </c>
      <c r="AX193" s="35"/>
      <c r="AY193" s="35">
        <f t="shared" si="37"/>
        <v>0</v>
      </c>
      <c r="AZ193" s="35"/>
      <c r="BA193" s="35" t="s">
        <v>231</v>
      </c>
      <c r="BB193" s="55"/>
      <c r="BC193" s="35" t="s">
        <v>27</v>
      </c>
      <c r="BD193" s="35"/>
      <c r="BE193" s="35"/>
      <c r="BF193" s="35"/>
      <c r="BG193" s="35"/>
      <c r="BH193" s="35"/>
      <c r="BI193" s="35"/>
      <c r="BJ193" s="35"/>
      <c r="BK193" s="35"/>
      <c r="BL193" s="35"/>
      <c r="BM193" s="35">
        <f t="shared" si="40"/>
        <v>0</v>
      </c>
      <c r="BN193" s="54" t="s">
        <v>347</v>
      </c>
    </row>
    <row r="194" spans="1:74" ht="12.75" hidden="1" customHeight="1">
      <c r="A194" s="35" t="s">
        <v>232</v>
      </c>
      <c r="C194" s="35" t="s">
        <v>27</v>
      </c>
      <c r="D194" s="35"/>
      <c r="E194" s="35">
        <f t="shared" si="34"/>
        <v>0</v>
      </c>
      <c r="F194" s="35"/>
      <c r="G194" s="35"/>
      <c r="H194" s="35"/>
      <c r="I194" s="35"/>
      <c r="J194" s="35"/>
      <c r="K194" s="35">
        <f t="shared" si="35"/>
        <v>0</v>
      </c>
      <c r="L194" s="35"/>
      <c r="M194" s="35">
        <v>0</v>
      </c>
      <c r="N194" s="35"/>
      <c r="O194" s="35"/>
      <c r="P194" s="35"/>
      <c r="Q194" s="35"/>
      <c r="R194" s="35"/>
      <c r="S194" s="35">
        <v>0</v>
      </c>
      <c r="T194" s="35"/>
      <c r="U194" s="35"/>
      <c r="V194" s="35"/>
      <c r="W194" s="35">
        <f t="shared" si="39"/>
        <v>0</v>
      </c>
      <c r="X194" s="35"/>
      <c r="Y194" s="35" t="s">
        <v>232</v>
      </c>
      <c r="Z194" s="55"/>
      <c r="AA194" s="35" t="s">
        <v>27</v>
      </c>
      <c r="AB194" s="35"/>
      <c r="AC194" s="35">
        <v>0</v>
      </c>
      <c r="AD194" s="35"/>
      <c r="AE194" s="35">
        <v>0</v>
      </c>
      <c r="AF194" s="35"/>
      <c r="AG194" s="35">
        <v>0</v>
      </c>
      <c r="AH194" s="35"/>
      <c r="AI194" s="45">
        <f t="shared" ref="AI194:AI203" si="41">+AC194-AE194-AG194</f>
        <v>0</v>
      </c>
      <c r="AJ194" s="45"/>
      <c r="AK194" s="35"/>
      <c r="AL194" s="35"/>
      <c r="AM194" s="35">
        <v>0</v>
      </c>
      <c r="AN194" s="35"/>
      <c r="AO194" s="35">
        <v>0</v>
      </c>
      <c r="AP194" s="35"/>
      <c r="AQ194" s="35">
        <v>0</v>
      </c>
      <c r="AR194" s="35"/>
      <c r="AS194" s="45">
        <f t="shared" si="36"/>
        <v>0</v>
      </c>
      <c r="AT194" s="45"/>
      <c r="AU194" s="35">
        <v>0</v>
      </c>
      <c r="AV194" s="35"/>
      <c r="AW194" s="35">
        <v>0</v>
      </c>
      <c r="AX194" s="35"/>
      <c r="AY194" s="35">
        <f t="shared" si="37"/>
        <v>0</v>
      </c>
      <c r="AZ194" s="35"/>
      <c r="BA194" s="35" t="s">
        <v>232</v>
      </c>
      <c r="BB194" s="55"/>
      <c r="BC194" s="35" t="s">
        <v>27</v>
      </c>
      <c r="BD194" s="35"/>
      <c r="BE194" s="35"/>
      <c r="BF194" s="35"/>
      <c r="BG194" s="35"/>
      <c r="BH194" s="35"/>
      <c r="BI194" s="35"/>
      <c r="BJ194" s="35"/>
      <c r="BK194" s="35"/>
      <c r="BL194" s="35"/>
      <c r="BM194" s="35">
        <f t="shared" si="40"/>
        <v>0</v>
      </c>
      <c r="BN194" s="54" t="s">
        <v>347</v>
      </c>
      <c r="BO194" s="35"/>
      <c r="BP194" s="35"/>
      <c r="BQ194" s="35"/>
      <c r="BR194" s="35"/>
      <c r="BS194" s="35"/>
      <c r="BT194" s="35"/>
      <c r="BU194" s="35"/>
      <c r="BV194" s="35"/>
    </row>
    <row r="195" spans="1:74" ht="12.75" hidden="1" customHeight="1">
      <c r="A195" s="35" t="s">
        <v>233</v>
      </c>
      <c r="C195" s="35" t="s">
        <v>111</v>
      </c>
      <c r="D195" s="35"/>
      <c r="E195" s="35">
        <f t="shared" si="34"/>
        <v>0</v>
      </c>
      <c r="F195" s="35"/>
      <c r="G195" s="35"/>
      <c r="H195" s="35"/>
      <c r="I195" s="35"/>
      <c r="J195" s="35"/>
      <c r="K195" s="35">
        <f t="shared" si="35"/>
        <v>0</v>
      </c>
      <c r="L195" s="35"/>
      <c r="M195" s="35">
        <v>0</v>
      </c>
      <c r="N195" s="35"/>
      <c r="O195" s="35"/>
      <c r="P195" s="35"/>
      <c r="Q195" s="35"/>
      <c r="R195" s="35"/>
      <c r="S195" s="35">
        <v>0</v>
      </c>
      <c r="T195" s="35"/>
      <c r="U195" s="35"/>
      <c r="V195" s="35"/>
      <c r="W195" s="35">
        <f t="shared" si="39"/>
        <v>0</v>
      </c>
      <c r="X195" s="35"/>
      <c r="Y195" s="35" t="s">
        <v>233</v>
      </c>
      <c r="Z195" s="55"/>
      <c r="AA195" s="35" t="s">
        <v>111</v>
      </c>
      <c r="AB195" s="35"/>
      <c r="AC195" s="35">
        <v>0</v>
      </c>
      <c r="AD195" s="35"/>
      <c r="AE195" s="35">
        <v>0</v>
      </c>
      <c r="AF195" s="35"/>
      <c r="AG195" s="35">
        <v>0</v>
      </c>
      <c r="AH195" s="35"/>
      <c r="AI195" s="45">
        <f t="shared" si="41"/>
        <v>0</v>
      </c>
      <c r="AJ195" s="45"/>
      <c r="AK195" s="35"/>
      <c r="AL195" s="35"/>
      <c r="AM195" s="35">
        <v>0</v>
      </c>
      <c r="AN195" s="35"/>
      <c r="AO195" s="35">
        <v>0</v>
      </c>
      <c r="AP195" s="35"/>
      <c r="AQ195" s="35">
        <v>0</v>
      </c>
      <c r="AR195" s="35"/>
      <c r="AS195" s="45">
        <f t="shared" si="36"/>
        <v>0</v>
      </c>
      <c r="AT195" s="45"/>
      <c r="AU195" s="35">
        <v>0</v>
      </c>
      <c r="AV195" s="35"/>
      <c r="AW195" s="35">
        <v>0</v>
      </c>
      <c r="AX195" s="35"/>
      <c r="AY195" s="35">
        <f t="shared" si="37"/>
        <v>0</v>
      </c>
      <c r="AZ195" s="35"/>
      <c r="BA195" s="35" t="s">
        <v>233</v>
      </c>
      <c r="BB195" s="55"/>
      <c r="BC195" s="35" t="s">
        <v>111</v>
      </c>
      <c r="BD195" s="35"/>
      <c r="BE195" s="35"/>
      <c r="BF195" s="35"/>
      <c r="BG195" s="35"/>
      <c r="BH195" s="35"/>
      <c r="BI195" s="35"/>
      <c r="BJ195" s="35"/>
      <c r="BK195" s="35"/>
      <c r="BL195" s="35"/>
      <c r="BM195" s="35">
        <f t="shared" si="40"/>
        <v>0</v>
      </c>
      <c r="BN195" s="54" t="s">
        <v>347</v>
      </c>
      <c r="BO195" s="35"/>
      <c r="BP195" s="35"/>
      <c r="BQ195" s="35"/>
      <c r="BR195" s="35"/>
      <c r="BS195" s="35"/>
      <c r="BT195" s="35"/>
      <c r="BU195" s="35"/>
      <c r="BV195" s="35"/>
    </row>
    <row r="196" spans="1:74" ht="12.75" hidden="1" customHeight="1">
      <c r="A196" s="35" t="s">
        <v>234</v>
      </c>
      <c r="C196" s="35" t="s">
        <v>45</v>
      </c>
      <c r="D196" s="35"/>
      <c r="E196" s="35">
        <f t="shared" si="34"/>
        <v>0</v>
      </c>
      <c r="F196" s="35"/>
      <c r="G196" s="35"/>
      <c r="H196" s="35"/>
      <c r="I196" s="35"/>
      <c r="J196" s="35"/>
      <c r="K196" s="35">
        <f t="shared" si="35"/>
        <v>0</v>
      </c>
      <c r="L196" s="35"/>
      <c r="M196" s="35">
        <v>0</v>
      </c>
      <c r="N196" s="35"/>
      <c r="O196" s="35"/>
      <c r="P196" s="35"/>
      <c r="Q196" s="35"/>
      <c r="R196" s="35"/>
      <c r="S196" s="35">
        <v>0</v>
      </c>
      <c r="T196" s="35"/>
      <c r="U196" s="35"/>
      <c r="V196" s="35"/>
      <c r="W196" s="35">
        <f t="shared" si="39"/>
        <v>0</v>
      </c>
      <c r="X196" s="35"/>
      <c r="Y196" s="35" t="s">
        <v>234</v>
      </c>
      <c r="Z196" s="55"/>
      <c r="AA196" s="35" t="s">
        <v>45</v>
      </c>
      <c r="AB196" s="35"/>
      <c r="AC196" s="35">
        <v>0</v>
      </c>
      <c r="AD196" s="35"/>
      <c r="AE196" s="35">
        <v>0</v>
      </c>
      <c r="AF196" s="35"/>
      <c r="AG196" s="35">
        <v>0</v>
      </c>
      <c r="AH196" s="35"/>
      <c r="AI196" s="45">
        <f t="shared" si="41"/>
        <v>0</v>
      </c>
      <c r="AJ196" s="45"/>
      <c r="AK196" s="35"/>
      <c r="AL196" s="35"/>
      <c r="AM196" s="35">
        <v>0</v>
      </c>
      <c r="AN196" s="35"/>
      <c r="AO196" s="35">
        <v>0</v>
      </c>
      <c r="AP196" s="35"/>
      <c r="AQ196" s="35">
        <v>0</v>
      </c>
      <c r="AR196" s="35"/>
      <c r="AS196" s="45">
        <f t="shared" si="36"/>
        <v>0</v>
      </c>
      <c r="AT196" s="45"/>
      <c r="AU196" s="35">
        <v>0</v>
      </c>
      <c r="AV196" s="35"/>
      <c r="AW196" s="35">
        <v>0</v>
      </c>
      <c r="AX196" s="35"/>
      <c r="AY196" s="35">
        <f t="shared" si="37"/>
        <v>0</v>
      </c>
      <c r="AZ196" s="35"/>
      <c r="BA196" s="35" t="s">
        <v>234</v>
      </c>
      <c r="BB196" s="55"/>
      <c r="BC196" s="35" t="s">
        <v>45</v>
      </c>
      <c r="BD196" s="35"/>
      <c r="BE196" s="35"/>
      <c r="BF196" s="35"/>
      <c r="BG196" s="35"/>
      <c r="BH196" s="35"/>
      <c r="BI196" s="35"/>
      <c r="BJ196" s="35"/>
      <c r="BK196" s="35"/>
      <c r="BL196" s="35"/>
      <c r="BM196" s="35">
        <f t="shared" si="40"/>
        <v>0</v>
      </c>
      <c r="BN196" s="54" t="s">
        <v>347</v>
      </c>
      <c r="BO196" s="35" t="s">
        <v>371</v>
      </c>
      <c r="BP196" s="35"/>
      <c r="BQ196" s="35"/>
      <c r="BR196" s="35"/>
      <c r="BS196" s="35"/>
      <c r="BT196" s="35"/>
      <c r="BU196" s="35"/>
      <c r="BV196" s="35"/>
    </row>
    <row r="197" spans="1:74" ht="12.75" hidden="1" customHeight="1">
      <c r="A197" s="35" t="s">
        <v>235</v>
      </c>
      <c r="C197" s="35" t="s">
        <v>183</v>
      </c>
      <c r="D197" s="35"/>
      <c r="E197" s="35">
        <f t="shared" si="34"/>
        <v>0</v>
      </c>
      <c r="F197" s="35"/>
      <c r="G197" s="35"/>
      <c r="H197" s="35"/>
      <c r="I197" s="35"/>
      <c r="J197" s="35"/>
      <c r="K197" s="35">
        <f t="shared" si="35"/>
        <v>0</v>
      </c>
      <c r="L197" s="35"/>
      <c r="M197" s="35">
        <v>0</v>
      </c>
      <c r="N197" s="35"/>
      <c r="O197" s="35"/>
      <c r="P197" s="35"/>
      <c r="Q197" s="35"/>
      <c r="R197" s="35"/>
      <c r="S197" s="35">
        <v>0</v>
      </c>
      <c r="T197" s="35"/>
      <c r="U197" s="35"/>
      <c r="V197" s="35"/>
      <c r="W197" s="35">
        <f t="shared" si="39"/>
        <v>0</v>
      </c>
      <c r="X197" s="35"/>
      <c r="Y197" s="35" t="s">
        <v>235</v>
      </c>
      <c r="Z197" s="55"/>
      <c r="AA197" s="35" t="s">
        <v>183</v>
      </c>
      <c r="AB197" s="35"/>
      <c r="AC197" s="35">
        <v>0</v>
      </c>
      <c r="AD197" s="35"/>
      <c r="AE197" s="35">
        <v>0</v>
      </c>
      <c r="AF197" s="35"/>
      <c r="AG197" s="35">
        <v>0</v>
      </c>
      <c r="AH197" s="35"/>
      <c r="AI197" s="45">
        <f t="shared" si="41"/>
        <v>0</v>
      </c>
      <c r="AJ197" s="45"/>
      <c r="AK197" s="35"/>
      <c r="AL197" s="35"/>
      <c r="AM197" s="35">
        <v>0</v>
      </c>
      <c r="AN197" s="35"/>
      <c r="AO197" s="35">
        <v>0</v>
      </c>
      <c r="AP197" s="35"/>
      <c r="AQ197" s="35">
        <v>0</v>
      </c>
      <c r="AR197" s="35"/>
      <c r="AS197" s="45">
        <f t="shared" si="36"/>
        <v>0</v>
      </c>
      <c r="AT197" s="45"/>
      <c r="AU197" s="35">
        <v>0</v>
      </c>
      <c r="AV197" s="35"/>
      <c r="AW197" s="35">
        <v>0</v>
      </c>
      <c r="AX197" s="35"/>
      <c r="AY197" s="35">
        <f t="shared" si="37"/>
        <v>0</v>
      </c>
      <c r="AZ197" s="35"/>
      <c r="BA197" s="35" t="s">
        <v>235</v>
      </c>
      <c r="BB197" s="55"/>
      <c r="BC197" s="35" t="s">
        <v>183</v>
      </c>
      <c r="BD197" s="35"/>
      <c r="BE197" s="35"/>
      <c r="BF197" s="35"/>
      <c r="BG197" s="35"/>
      <c r="BH197" s="35"/>
      <c r="BI197" s="35"/>
      <c r="BJ197" s="35"/>
      <c r="BK197" s="35"/>
      <c r="BL197" s="35"/>
      <c r="BM197" s="35">
        <f t="shared" si="40"/>
        <v>0</v>
      </c>
      <c r="BN197" s="54" t="s">
        <v>347</v>
      </c>
      <c r="BO197" s="35"/>
      <c r="BP197" s="35"/>
    </row>
    <row r="198" spans="1:74" ht="12.75" hidden="1" customHeight="1">
      <c r="A198" s="35" t="s">
        <v>236</v>
      </c>
      <c r="C198" s="35" t="s">
        <v>45</v>
      </c>
      <c r="D198" s="35"/>
      <c r="E198" s="35">
        <f t="shared" si="34"/>
        <v>0</v>
      </c>
      <c r="F198" s="35"/>
      <c r="G198" s="35"/>
      <c r="H198" s="35"/>
      <c r="I198" s="35"/>
      <c r="J198" s="35"/>
      <c r="K198" s="35">
        <f t="shared" si="35"/>
        <v>0</v>
      </c>
      <c r="L198" s="35"/>
      <c r="M198" s="35">
        <v>0</v>
      </c>
      <c r="N198" s="35"/>
      <c r="O198" s="35"/>
      <c r="P198" s="35"/>
      <c r="Q198" s="35"/>
      <c r="R198" s="35"/>
      <c r="S198" s="35">
        <v>0</v>
      </c>
      <c r="T198" s="35"/>
      <c r="U198" s="35"/>
      <c r="V198" s="35"/>
      <c r="W198" s="35">
        <f t="shared" si="39"/>
        <v>0</v>
      </c>
      <c r="X198" s="35"/>
      <c r="Y198" s="35" t="s">
        <v>236</v>
      </c>
      <c r="Z198" s="55"/>
      <c r="AA198" s="35" t="s">
        <v>45</v>
      </c>
      <c r="AB198" s="35"/>
      <c r="AC198" s="35">
        <v>0</v>
      </c>
      <c r="AD198" s="35"/>
      <c r="AE198" s="35">
        <v>0</v>
      </c>
      <c r="AF198" s="35"/>
      <c r="AG198" s="35">
        <v>0</v>
      </c>
      <c r="AH198" s="35"/>
      <c r="AI198" s="45">
        <f t="shared" si="41"/>
        <v>0</v>
      </c>
      <c r="AJ198" s="45"/>
      <c r="AK198" s="35"/>
      <c r="AL198" s="35"/>
      <c r="AM198" s="35">
        <v>0</v>
      </c>
      <c r="AN198" s="35"/>
      <c r="AO198" s="35">
        <v>0</v>
      </c>
      <c r="AP198" s="35"/>
      <c r="AQ198" s="35">
        <v>0</v>
      </c>
      <c r="AR198" s="35"/>
      <c r="AS198" s="45">
        <f t="shared" si="36"/>
        <v>0</v>
      </c>
      <c r="AT198" s="45"/>
      <c r="AU198" s="35">
        <v>0</v>
      </c>
      <c r="AV198" s="35"/>
      <c r="AW198" s="35">
        <v>0</v>
      </c>
      <c r="AX198" s="35"/>
      <c r="AY198" s="35">
        <f t="shared" si="37"/>
        <v>0</v>
      </c>
      <c r="AZ198" s="35"/>
      <c r="BA198" s="35" t="s">
        <v>236</v>
      </c>
      <c r="BB198" s="55"/>
      <c r="BC198" s="35" t="s">
        <v>45</v>
      </c>
      <c r="BD198" s="35"/>
      <c r="BE198" s="35"/>
      <c r="BF198" s="35"/>
      <c r="BG198" s="35"/>
      <c r="BH198" s="35"/>
      <c r="BI198" s="35"/>
      <c r="BJ198" s="35"/>
      <c r="BK198" s="35"/>
      <c r="BL198" s="35"/>
      <c r="BM198" s="35">
        <f t="shared" si="40"/>
        <v>0</v>
      </c>
      <c r="BN198" s="54" t="s">
        <v>347</v>
      </c>
    </row>
    <row r="199" spans="1:74" ht="12.75" customHeight="1">
      <c r="A199" s="35" t="s">
        <v>237</v>
      </c>
      <c r="C199" s="35" t="s">
        <v>33</v>
      </c>
      <c r="D199" s="35"/>
      <c r="E199" s="35">
        <f t="shared" si="34"/>
        <v>4785854</v>
      </c>
      <c r="F199" s="35"/>
      <c r="G199" s="35">
        <v>4750378</v>
      </c>
      <c r="H199" s="35"/>
      <c r="I199" s="35">
        <v>9536232</v>
      </c>
      <c r="J199" s="35"/>
      <c r="K199" s="35">
        <f t="shared" si="35"/>
        <v>750739</v>
      </c>
      <c r="L199" s="35"/>
      <c r="M199" s="35">
        <v>5890268</v>
      </c>
      <c r="N199" s="35"/>
      <c r="O199" s="35">
        <v>6641007</v>
      </c>
      <c r="P199" s="35"/>
      <c r="Q199" s="35">
        <v>-201028</v>
      </c>
      <c r="R199" s="35"/>
      <c r="S199" s="35">
        <v>0</v>
      </c>
      <c r="T199" s="35"/>
      <c r="U199" s="35">
        <v>3096253</v>
      </c>
      <c r="V199" s="35"/>
      <c r="W199" s="35">
        <f t="shared" si="39"/>
        <v>2895225</v>
      </c>
      <c r="X199" s="35"/>
      <c r="Y199" s="35" t="s">
        <v>237</v>
      </c>
      <c r="Z199" s="55"/>
      <c r="AA199" s="35" t="s">
        <v>33</v>
      </c>
      <c r="AB199" s="35"/>
      <c r="AC199" s="35">
        <v>4656647</v>
      </c>
      <c r="AD199" s="35"/>
      <c r="AE199" s="35">
        <f>4754508-144132</f>
        <v>4610376</v>
      </c>
      <c r="AF199" s="35"/>
      <c r="AG199" s="35">
        <v>144132</v>
      </c>
      <c r="AH199" s="35"/>
      <c r="AI199" s="45">
        <f t="shared" si="41"/>
        <v>-97861</v>
      </c>
      <c r="AJ199" s="45"/>
      <c r="AK199" s="35">
        <v>-236412</v>
      </c>
      <c r="AL199" s="35"/>
      <c r="AM199" s="35">
        <v>0</v>
      </c>
      <c r="AN199" s="35"/>
      <c r="AO199" s="35">
        <v>140177</v>
      </c>
      <c r="AP199" s="35"/>
      <c r="AQ199" s="35">
        <v>0</v>
      </c>
      <c r="AR199" s="35"/>
      <c r="AS199" s="45">
        <f t="shared" si="36"/>
        <v>-474450</v>
      </c>
      <c r="AT199" s="45"/>
      <c r="AU199" s="35">
        <v>0</v>
      </c>
      <c r="AV199" s="35"/>
      <c r="AW199" s="35">
        <v>0</v>
      </c>
      <c r="AX199" s="35"/>
      <c r="AY199" s="35">
        <f t="shared" si="37"/>
        <v>4035115</v>
      </c>
      <c r="AZ199" s="35"/>
      <c r="BA199" s="35" t="s">
        <v>237</v>
      </c>
      <c r="BB199" s="55"/>
      <c r="BC199" s="35" t="s">
        <v>33</v>
      </c>
      <c r="BD199" s="35"/>
      <c r="BE199" s="35">
        <v>0</v>
      </c>
      <c r="BF199" s="35"/>
      <c r="BG199" s="35">
        <v>0</v>
      </c>
      <c r="BH199" s="35"/>
      <c r="BI199" s="35">
        <v>0</v>
      </c>
      <c r="BJ199" s="35"/>
      <c r="BK199" s="35">
        <v>0</v>
      </c>
      <c r="BL199" s="35"/>
      <c r="BM199" s="35">
        <f t="shared" si="40"/>
        <v>0</v>
      </c>
      <c r="BN199" s="54" t="s">
        <v>347</v>
      </c>
    </row>
    <row r="200" spans="1:74" ht="12.75" customHeight="1">
      <c r="A200" s="64" t="s">
        <v>238</v>
      </c>
      <c r="B200" s="90"/>
      <c r="C200" s="64" t="s">
        <v>239</v>
      </c>
      <c r="D200" s="64"/>
      <c r="E200" s="35">
        <f t="shared" si="34"/>
        <v>10716849</v>
      </c>
      <c r="F200" s="35"/>
      <c r="G200" s="35">
        <v>6831819</v>
      </c>
      <c r="H200" s="35"/>
      <c r="I200" s="35">
        <v>17548668</v>
      </c>
      <c r="J200" s="35"/>
      <c r="K200" s="35">
        <f t="shared" si="35"/>
        <v>2891126</v>
      </c>
      <c r="L200" s="35"/>
      <c r="M200" s="35">
        <f>164994+1273053</f>
        <v>1438047</v>
      </c>
      <c r="N200" s="35"/>
      <c r="O200" s="35">
        <v>4329173</v>
      </c>
      <c r="P200" s="35"/>
      <c r="Q200" s="35">
        <v>4174074</v>
      </c>
      <c r="R200" s="35"/>
      <c r="S200" s="35">
        <v>0</v>
      </c>
      <c r="T200" s="35"/>
      <c r="U200" s="35">
        <v>9045421</v>
      </c>
      <c r="V200" s="35"/>
      <c r="W200" s="35">
        <f t="shared" si="39"/>
        <v>13219495</v>
      </c>
      <c r="X200" s="64"/>
      <c r="Y200" s="64" t="s">
        <v>238</v>
      </c>
      <c r="Z200" s="90"/>
      <c r="AA200" s="64" t="s">
        <v>239</v>
      </c>
      <c r="AB200" s="64"/>
      <c r="AC200" s="35">
        <v>15123060</v>
      </c>
      <c r="AD200" s="35"/>
      <c r="AE200" s="35">
        <f>15840050-592131</f>
        <v>15247919</v>
      </c>
      <c r="AF200" s="35"/>
      <c r="AG200" s="35">
        <v>592131</v>
      </c>
      <c r="AH200" s="35"/>
      <c r="AI200" s="45">
        <f t="shared" si="41"/>
        <v>-716990</v>
      </c>
      <c r="AJ200" s="45"/>
      <c r="AK200" s="35">
        <v>-43186</v>
      </c>
      <c r="AL200" s="35"/>
      <c r="AM200" s="35">
        <v>807573</v>
      </c>
      <c r="AN200" s="35"/>
      <c r="AO200" s="35">
        <v>0</v>
      </c>
      <c r="AP200" s="35"/>
      <c r="AQ200" s="35">
        <v>0</v>
      </c>
      <c r="AR200" s="35"/>
      <c r="AS200" s="45">
        <f>+AI200+AK200+AM200-AO200+AQ200</f>
        <v>47397</v>
      </c>
      <c r="AT200" s="45"/>
      <c r="AU200" s="35">
        <v>0</v>
      </c>
      <c r="AV200" s="35"/>
      <c r="AW200" s="35">
        <v>0</v>
      </c>
      <c r="AX200" s="35"/>
      <c r="AY200" s="35">
        <f t="shared" si="37"/>
        <v>7825723</v>
      </c>
      <c r="AZ200" s="35"/>
      <c r="BA200" s="64" t="s">
        <v>238</v>
      </c>
      <c r="BB200" s="90"/>
      <c r="BC200" s="64" t="s">
        <v>239</v>
      </c>
      <c r="BD200" s="64"/>
      <c r="BE200" s="35">
        <v>1357745</v>
      </c>
      <c r="BF200" s="35"/>
      <c r="BG200" s="35">
        <v>0</v>
      </c>
      <c r="BH200" s="35"/>
      <c r="BI200" s="35">
        <v>0</v>
      </c>
      <c r="BJ200" s="35"/>
      <c r="BK200" s="35">
        <v>0</v>
      </c>
      <c r="BL200" s="35"/>
      <c r="BM200" s="35">
        <f t="shared" si="40"/>
        <v>1357745</v>
      </c>
      <c r="BN200" s="54" t="s">
        <v>347</v>
      </c>
    </row>
    <row r="201" spans="1:74" ht="12.75" hidden="1" customHeight="1">
      <c r="A201" s="35" t="s">
        <v>486</v>
      </c>
      <c r="B201" s="55"/>
      <c r="C201" s="35" t="s">
        <v>249</v>
      </c>
      <c r="D201" s="35"/>
      <c r="E201" s="35">
        <f t="shared" si="34"/>
        <v>0</v>
      </c>
      <c r="F201" s="35"/>
      <c r="G201" s="35"/>
      <c r="H201" s="35"/>
      <c r="I201" s="35"/>
      <c r="J201" s="35"/>
      <c r="K201" s="35">
        <f t="shared" si="35"/>
        <v>0</v>
      </c>
      <c r="L201" s="35"/>
      <c r="M201" s="35">
        <v>0</v>
      </c>
      <c r="N201" s="35"/>
      <c r="O201" s="35"/>
      <c r="P201" s="35"/>
      <c r="Q201" s="35"/>
      <c r="R201" s="35"/>
      <c r="S201" s="35">
        <v>0</v>
      </c>
      <c r="T201" s="35"/>
      <c r="U201" s="35"/>
      <c r="V201" s="35"/>
      <c r="W201" s="35">
        <f t="shared" si="39"/>
        <v>0</v>
      </c>
      <c r="X201" s="35"/>
      <c r="Y201" s="35" t="s">
        <v>486</v>
      </c>
      <c r="Z201" s="55"/>
      <c r="AA201" s="35" t="s">
        <v>249</v>
      </c>
      <c r="AB201" s="35"/>
      <c r="AC201" s="35">
        <v>0</v>
      </c>
      <c r="AD201" s="35"/>
      <c r="AE201" s="35">
        <v>0</v>
      </c>
      <c r="AF201" s="35"/>
      <c r="AG201" s="35">
        <v>0</v>
      </c>
      <c r="AH201" s="35"/>
      <c r="AI201" s="45">
        <f t="shared" si="41"/>
        <v>0</v>
      </c>
      <c r="AJ201" s="45"/>
      <c r="AK201" s="35"/>
      <c r="AL201" s="35"/>
      <c r="AM201" s="35">
        <v>0</v>
      </c>
      <c r="AN201" s="35"/>
      <c r="AO201" s="35">
        <v>0</v>
      </c>
      <c r="AP201" s="35"/>
      <c r="AQ201" s="35">
        <v>0</v>
      </c>
      <c r="AR201" s="35"/>
      <c r="AS201" s="45">
        <f t="shared" si="36"/>
        <v>0</v>
      </c>
      <c r="AT201" s="45"/>
      <c r="AU201" s="35">
        <v>0</v>
      </c>
      <c r="AV201" s="35"/>
      <c r="AW201" s="35">
        <v>0</v>
      </c>
      <c r="AX201" s="35"/>
      <c r="AY201" s="35">
        <f t="shared" si="37"/>
        <v>0</v>
      </c>
      <c r="AZ201" s="35"/>
      <c r="BA201" s="35" t="s">
        <v>486</v>
      </c>
      <c r="BB201" s="55"/>
      <c r="BC201" s="35" t="s">
        <v>249</v>
      </c>
      <c r="BD201" s="35"/>
      <c r="BE201" s="35"/>
      <c r="BF201" s="35"/>
      <c r="BG201" s="35"/>
      <c r="BH201" s="35"/>
      <c r="BI201" s="35"/>
      <c r="BJ201" s="35"/>
      <c r="BK201" s="35"/>
      <c r="BL201" s="35"/>
      <c r="BM201" s="35">
        <f t="shared" si="40"/>
        <v>0</v>
      </c>
      <c r="BN201" s="54"/>
    </row>
    <row r="202" spans="1:74" ht="12.75" hidden="1" customHeight="1">
      <c r="A202" s="35" t="s">
        <v>240</v>
      </c>
      <c r="C202" s="35" t="s">
        <v>13</v>
      </c>
      <c r="D202" s="35"/>
      <c r="E202" s="35">
        <f t="shared" si="34"/>
        <v>0</v>
      </c>
      <c r="F202" s="35"/>
      <c r="G202" s="35"/>
      <c r="H202" s="35"/>
      <c r="I202" s="35"/>
      <c r="J202" s="35"/>
      <c r="K202" s="35">
        <f t="shared" si="35"/>
        <v>0</v>
      </c>
      <c r="L202" s="35"/>
      <c r="M202" s="35">
        <v>0</v>
      </c>
      <c r="N202" s="35"/>
      <c r="O202" s="35"/>
      <c r="P202" s="35"/>
      <c r="Q202" s="35"/>
      <c r="R202" s="35"/>
      <c r="S202" s="35">
        <v>0</v>
      </c>
      <c r="T202" s="35"/>
      <c r="U202" s="35"/>
      <c r="V202" s="35"/>
      <c r="W202" s="35">
        <f t="shared" si="39"/>
        <v>0</v>
      </c>
      <c r="X202" s="35"/>
      <c r="Y202" s="35" t="s">
        <v>240</v>
      </c>
      <c r="Z202" s="55"/>
      <c r="AA202" s="35" t="s">
        <v>13</v>
      </c>
      <c r="AB202" s="35"/>
      <c r="AC202" s="35">
        <v>0</v>
      </c>
      <c r="AD202" s="35"/>
      <c r="AE202" s="35">
        <v>0</v>
      </c>
      <c r="AF202" s="35"/>
      <c r="AG202" s="35">
        <v>0</v>
      </c>
      <c r="AH202" s="35"/>
      <c r="AI202" s="45">
        <f t="shared" si="41"/>
        <v>0</v>
      </c>
      <c r="AJ202" s="45"/>
      <c r="AK202" s="35"/>
      <c r="AL202" s="35"/>
      <c r="AM202" s="35">
        <v>0</v>
      </c>
      <c r="AN202" s="35"/>
      <c r="AO202" s="35">
        <v>0</v>
      </c>
      <c r="AP202" s="35"/>
      <c r="AQ202" s="35">
        <v>0</v>
      </c>
      <c r="AR202" s="35"/>
      <c r="AS202" s="45">
        <f t="shared" si="36"/>
        <v>0</v>
      </c>
      <c r="AT202" s="45"/>
      <c r="AU202" s="35">
        <v>0</v>
      </c>
      <c r="AV202" s="35"/>
      <c r="AW202" s="35">
        <v>0</v>
      </c>
      <c r="AX202" s="35"/>
      <c r="AY202" s="35">
        <f t="shared" si="37"/>
        <v>0</v>
      </c>
      <c r="AZ202" s="35"/>
      <c r="BA202" s="35" t="s">
        <v>240</v>
      </c>
      <c r="BB202" s="55"/>
      <c r="BC202" s="35" t="s">
        <v>13</v>
      </c>
      <c r="BD202" s="35"/>
      <c r="BE202" s="35"/>
      <c r="BF202" s="35"/>
      <c r="BG202" s="35"/>
      <c r="BH202" s="35"/>
      <c r="BI202" s="35"/>
      <c r="BJ202" s="35"/>
      <c r="BK202" s="35"/>
      <c r="BL202" s="35"/>
      <c r="BM202" s="35">
        <f t="shared" si="40"/>
        <v>0</v>
      </c>
      <c r="BN202" s="54" t="s">
        <v>347</v>
      </c>
      <c r="BO202" s="35" t="s">
        <v>371</v>
      </c>
      <c r="BP202" s="35"/>
    </row>
    <row r="203" spans="1:74" ht="12.75" hidden="1" customHeight="1">
      <c r="A203" s="35" t="s">
        <v>241</v>
      </c>
      <c r="C203" s="35" t="s">
        <v>22</v>
      </c>
      <c r="D203" s="35"/>
      <c r="E203" s="35">
        <f t="shared" si="34"/>
        <v>0</v>
      </c>
      <c r="F203" s="35"/>
      <c r="G203" s="35"/>
      <c r="H203" s="35"/>
      <c r="I203" s="35"/>
      <c r="J203" s="35"/>
      <c r="K203" s="35">
        <f t="shared" si="35"/>
        <v>0</v>
      </c>
      <c r="L203" s="35"/>
      <c r="M203" s="35">
        <v>0</v>
      </c>
      <c r="N203" s="35"/>
      <c r="O203" s="35"/>
      <c r="P203" s="35"/>
      <c r="Q203" s="35"/>
      <c r="R203" s="35"/>
      <c r="S203" s="35">
        <v>0</v>
      </c>
      <c r="T203" s="35"/>
      <c r="U203" s="35"/>
      <c r="V203" s="35"/>
      <c r="W203" s="35">
        <f t="shared" ref="W203:W208" si="42">SUM(Q203:U203)</f>
        <v>0</v>
      </c>
      <c r="X203" s="35"/>
      <c r="Y203" s="35" t="s">
        <v>241</v>
      </c>
      <c r="Z203" s="55"/>
      <c r="AA203" s="35" t="s">
        <v>22</v>
      </c>
      <c r="AB203" s="35"/>
      <c r="AC203" s="35">
        <v>0</v>
      </c>
      <c r="AD203" s="35"/>
      <c r="AE203" s="35">
        <v>0</v>
      </c>
      <c r="AF203" s="35"/>
      <c r="AG203" s="35">
        <v>0</v>
      </c>
      <c r="AH203" s="35"/>
      <c r="AI203" s="45">
        <f t="shared" si="41"/>
        <v>0</v>
      </c>
      <c r="AJ203" s="45"/>
      <c r="AK203" s="35"/>
      <c r="AL203" s="35"/>
      <c r="AM203" s="35">
        <v>0</v>
      </c>
      <c r="AN203" s="35"/>
      <c r="AO203" s="35">
        <v>0</v>
      </c>
      <c r="AP203" s="35"/>
      <c r="AQ203" s="35">
        <v>0</v>
      </c>
      <c r="AR203" s="35"/>
      <c r="AS203" s="45">
        <f t="shared" si="36"/>
        <v>0</v>
      </c>
      <c r="AT203" s="45"/>
      <c r="AU203" s="35">
        <v>0</v>
      </c>
      <c r="AV203" s="35"/>
      <c r="AW203" s="35">
        <v>0</v>
      </c>
      <c r="AX203" s="35"/>
      <c r="AY203" s="35">
        <f t="shared" si="37"/>
        <v>0</v>
      </c>
      <c r="AZ203" s="35"/>
      <c r="BA203" s="35" t="s">
        <v>241</v>
      </c>
      <c r="BB203" s="55"/>
      <c r="BC203" s="35" t="s">
        <v>22</v>
      </c>
      <c r="BD203" s="35"/>
      <c r="BE203" s="35"/>
      <c r="BF203" s="35"/>
      <c r="BG203" s="35"/>
      <c r="BH203" s="35"/>
      <c r="BI203" s="35"/>
      <c r="BJ203" s="35"/>
      <c r="BK203" s="35"/>
      <c r="BL203" s="35"/>
      <c r="BM203" s="35">
        <f t="shared" si="40"/>
        <v>0</v>
      </c>
      <c r="BN203" s="54" t="s">
        <v>347</v>
      </c>
    </row>
    <row r="204" spans="1:74" ht="12.75" hidden="1" customHeight="1">
      <c r="A204" s="35" t="s">
        <v>242</v>
      </c>
      <c r="C204" s="35" t="s">
        <v>27</v>
      </c>
      <c r="D204" s="35"/>
      <c r="E204" s="35">
        <f t="shared" ref="E204:E208" si="43">I204-G204</f>
        <v>0</v>
      </c>
      <c r="F204" s="35"/>
      <c r="G204" s="35"/>
      <c r="H204" s="35"/>
      <c r="I204" s="35"/>
      <c r="J204" s="35"/>
      <c r="K204" s="35">
        <f t="shared" ref="K204:K207" si="44">O204-M204</f>
        <v>0</v>
      </c>
      <c r="L204" s="35"/>
      <c r="M204" s="35">
        <v>0</v>
      </c>
      <c r="N204" s="35"/>
      <c r="O204" s="35"/>
      <c r="P204" s="35"/>
      <c r="Q204" s="35"/>
      <c r="R204" s="35"/>
      <c r="S204" s="35">
        <v>0</v>
      </c>
      <c r="T204" s="35"/>
      <c r="U204" s="35"/>
      <c r="V204" s="35"/>
      <c r="W204" s="35">
        <f t="shared" si="42"/>
        <v>0</v>
      </c>
      <c r="X204" s="35"/>
      <c r="Y204" s="35" t="s">
        <v>242</v>
      </c>
      <c r="Z204" s="55"/>
      <c r="AA204" s="35" t="s">
        <v>27</v>
      </c>
      <c r="AB204" s="35"/>
      <c r="AC204" s="35">
        <v>0</v>
      </c>
      <c r="AD204" s="35"/>
      <c r="AE204" s="35">
        <v>0</v>
      </c>
      <c r="AF204" s="35"/>
      <c r="AG204" s="35">
        <v>0</v>
      </c>
      <c r="AH204" s="35"/>
      <c r="AI204" s="45">
        <v>0</v>
      </c>
      <c r="AJ204" s="45"/>
      <c r="AK204" s="35"/>
      <c r="AL204" s="35"/>
      <c r="AM204" s="35">
        <v>0</v>
      </c>
      <c r="AN204" s="35"/>
      <c r="AO204" s="35">
        <v>0</v>
      </c>
      <c r="AP204" s="35"/>
      <c r="AQ204" s="35">
        <v>0</v>
      </c>
      <c r="AR204" s="35"/>
      <c r="AS204" s="45">
        <f t="shared" si="36"/>
        <v>0</v>
      </c>
      <c r="AT204" s="45"/>
      <c r="AU204" s="35">
        <v>0</v>
      </c>
      <c r="AV204" s="35"/>
      <c r="AW204" s="35">
        <v>0</v>
      </c>
      <c r="AX204" s="35"/>
      <c r="AY204" s="35">
        <f t="shared" si="37"/>
        <v>0</v>
      </c>
      <c r="AZ204" s="35"/>
      <c r="BA204" s="35" t="s">
        <v>242</v>
      </c>
      <c r="BB204" s="55"/>
      <c r="BC204" s="35" t="s">
        <v>27</v>
      </c>
      <c r="BD204" s="35"/>
      <c r="BE204" s="35"/>
      <c r="BF204" s="35"/>
      <c r="BG204" s="35"/>
      <c r="BH204" s="35"/>
      <c r="BI204" s="35"/>
      <c r="BJ204" s="35"/>
      <c r="BK204" s="35"/>
      <c r="BL204" s="35"/>
      <c r="BM204" s="35">
        <f t="shared" si="40"/>
        <v>0</v>
      </c>
      <c r="BN204" s="54" t="s">
        <v>347</v>
      </c>
    </row>
    <row r="205" spans="1:74" ht="12.75" hidden="1" customHeight="1">
      <c r="A205" s="35" t="s">
        <v>243</v>
      </c>
      <c r="C205" s="35" t="s">
        <v>163</v>
      </c>
      <c r="D205" s="35"/>
      <c r="E205" s="35">
        <f t="shared" si="43"/>
        <v>0</v>
      </c>
      <c r="F205" s="35"/>
      <c r="G205" s="35"/>
      <c r="H205" s="35"/>
      <c r="I205" s="35"/>
      <c r="J205" s="35"/>
      <c r="K205" s="35">
        <f t="shared" si="44"/>
        <v>0</v>
      </c>
      <c r="L205" s="35"/>
      <c r="M205" s="35">
        <v>0</v>
      </c>
      <c r="N205" s="35"/>
      <c r="O205" s="35"/>
      <c r="P205" s="35"/>
      <c r="Q205" s="35"/>
      <c r="R205" s="35"/>
      <c r="S205" s="35">
        <v>0</v>
      </c>
      <c r="T205" s="35"/>
      <c r="U205" s="35"/>
      <c r="V205" s="35"/>
      <c r="W205" s="35">
        <f t="shared" si="42"/>
        <v>0</v>
      </c>
      <c r="X205" s="35"/>
      <c r="Y205" s="35" t="s">
        <v>243</v>
      </c>
      <c r="Z205" s="55"/>
      <c r="AA205" s="35" t="s">
        <v>163</v>
      </c>
      <c r="AB205" s="35"/>
      <c r="AC205" s="35">
        <v>0</v>
      </c>
      <c r="AD205" s="35"/>
      <c r="AE205" s="35">
        <v>0</v>
      </c>
      <c r="AF205" s="35"/>
      <c r="AG205" s="35">
        <v>0</v>
      </c>
      <c r="AH205" s="35"/>
      <c r="AI205" s="45">
        <f t="shared" ref="AI205:AI208" si="45">+AC205-AE205-AG205</f>
        <v>0</v>
      </c>
      <c r="AJ205" s="45"/>
      <c r="AK205" s="35"/>
      <c r="AL205" s="35"/>
      <c r="AM205" s="35">
        <v>0</v>
      </c>
      <c r="AN205" s="35"/>
      <c r="AO205" s="35">
        <v>0</v>
      </c>
      <c r="AP205" s="35"/>
      <c r="AQ205" s="35">
        <v>0</v>
      </c>
      <c r="AR205" s="35"/>
      <c r="AS205" s="45">
        <f t="shared" si="36"/>
        <v>0</v>
      </c>
      <c r="AT205" s="45"/>
      <c r="AU205" s="35">
        <v>0</v>
      </c>
      <c r="AV205" s="35"/>
      <c r="AW205" s="35">
        <v>0</v>
      </c>
      <c r="AX205" s="35"/>
      <c r="AY205" s="35">
        <f t="shared" si="37"/>
        <v>0</v>
      </c>
      <c r="AZ205" s="35"/>
      <c r="BA205" s="35" t="s">
        <v>243</v>
      </c>
      <c r="BB205" s="55"/>
      <c r="BC205" s="35" t="s">
        <v>163</v>
      </c>
      <c r="BD205" s="35"/>
      <c r="BE205" s="35"/>
      <c r="BF205" s="35"/>
      <c r="BG205" s="35"/>
      <c r="BH205" s="35"/>
      <c r="BI205" s="35"/>
      <c r="BJ205" s="35"/>
      <c r="BK205" s="35"/>
      <c r="BL205" s="35"/>
      <c r="BM205" s="35">
        <f t="shared" si="40"/>
        <v>0</v>
      </c>
      <c r="BN205" s="89" t="s">
        <v>347</v>
      </c>
    </row>
    <row r="206" spans="1:74" ht="12.75" hidden="1" customHeight="1">
      <c r="A206" s="35" t="s">
        <v>244</v>
      </c>
      <c r="C206" s="35" t="s">
        <v>13</v>
      </c>
      <c r="D206" s="35"/>
      <c r="E206" s="35">
        <f t="shared" si="43"/>
        <v>0</v>
      </c>
      <c r="F206" s="35"/>
      <c r="G206" s="35"/>
      <c r="H206" s="35"/>
      <c r="I206" s="35"/>
      <c r="J206" s="35"/>
      <c r="K206" s="35">
        <f t="shared" si="44"/>
        <v>0</v>
      </c>
      <c r="L206" s="35"/>
      <c r="M206" s="35">
        <v>0</v>
      </c>
      <c r="N206" s="35"/>
      <c r="O206" s="35"/>
      <c r="P206" s="35"/>
      <c r="Q206" s="35"/>
      <c r="R206" s="35"/>
      <c r="S206" s="35">
        <v>0</v>
      </c>
      <c r="T206" s="35"/>
      <c r="U206" s="35"/>
      <c r="V206" s="35"/>
      <c r="W206" s="35">
        <f t="shared" si="42"/>
        <v>0</v>
      </c>
      <c r="X206" s="35"/>
      <c r="Y206" s="35" t="s">
        <v>244</v>
      </c>
      <c r="Z206" s="55"/>
      <c r="AA206" s="35" t="s">
        <v>13</v>
      </c>
      <c r="AB206" s="35"/>
      <c r="AC206" s="35">
        <v>0</v>
      </c>
      <c r="AD206" s="35"/>
      <c r="AE206" s="35">
        <v>0</v>
      </c>
      <c r="AF206" s="35"/>
      <c r="AG206" s="35">
        <v>0</v>
      </c>
      <c r="AH206" s="35"/>
      <c r="AI206" s="45">
        <f t="shared" si="45"/>
        <v>0</v>
      </c>
      <c r="AJ206" s="45"/>
      <c r="AK206" s="35"/>
      <c r="AL206" s="35"/>
      <c r="AM206" s="35">
        <v>0</v>
      </c>
      <c r="AN206" s="35"/>
      <c r="AO206" s="35">
        <v>0</v>
      </c>
      <c r="AP206" s="35"/>
      <c r="AQ206" s="35">
        <v>0</v>
      </c>
      <c r="AR206" s="35"/>
      <c r="AS206" s="45">
        <f t="shared" ref="AS206:AS208" si="46">+AI206+AK206+AM206-AO206+AQ206</f>
        <v>0</v>
      </c>
      <c r="AT206" s="45"/>
      <c r="AU206" s="35">
        <v>0</v>
      </c>
      <c r="AV206" s="35"/>
      <c r="AW206" s="35">
        <v>0</v>
      </c>
      <c r="AX206" s="35"/>
      <c r="AY206" s="35">
        <f t="shared" ref="AY206:AY207" si="47">+E206-K206</f>
        <v>0</v>
      </c>
      <c r="AZ206" s="35"/>
      <c r="BA206" s="35" t="s">
        <v>244</v>
      </c>
      <c r="BB206" s="55"/>
      <c r="BC206" s="35" t="s">
        <v>13</v>
      </c>
      <c r="BD206" s="35"/>
      <c r="BE206" s="35"/>
      <c r="BF206" s="35"/>
      <c r="BG206" s="35"/>
      <c r="BH206" s="35"/>
      <c r="BI206" s="35"/>
      <c r="BJ206" s="35"/>
      <c r="BK206" s="35"/>
      <c r="BL206" s="35"/>
      <c r="BM206" s="35">
        <f t="shared" si="40"/>
        <v>0</v>
      </c>
      <c r="BN206" s="54" t="s">
        <v>347</v>
      </c>
    </row>
    <row r="207" spans="1:74" ht="12.75" hidden="1" customHeight="1">
      <c r="A207" s="35" t="s">
        <v>245</v>
      </c>
      <c r="C207" s="35" t="s">
        <v>110</v>
      </c>
      <c r="D207" s="35"/>
      <c r="E207" s="35">
        <f t="shared" si="43"/>
        <v>0</v>
      </c>
      <c r="F207" s="35"/>
      <c r="G207" s="35"/>
      <c r="H207" s="35"/>
      <c r="I207" s="35"/>
      <c r="J207" s="35"/>
      <c r="K207" s="35">
        <f t="shared" si="44"/>
        <v>0</v>
      </c>
      <c r="L207" s="35"/>
      <c r="M207" s="35">
        <v>0</v>
      </c>
      <c r="N207" s="35"/>
      <c r="O207" s="35"/>
      <c r="P207" s="35"/>
      <c r="Q207" s="35"/>
      <c r="R207" s="35"/>
      <c r="S207" s="35">
        <v>0</v>
      </c>
      <c r="T207" s="35"/>
      <c r="U207" s="35"/>
      <c r="V207" s="35"/>
      <c r="W207" s="35">
        <f t="shared" si="42"/>
        <v>0</v>
      </c>
      <c r="X207" s="35"/>
      <c r="Y207" s="35" t="s">
        <v>245</v>
      </c>
      <c r="Z207" s="55"/>
      <c r="AA207" s="35" t="s">
        <v>110</v>
      </c>
      <c r="AB207" s="35"/>
      <c r="AC207" s="35">
        <v>0</v>
      </c>
      <c r="AD207" s="35"/>
      <c r="AE207" s="35">
        <v>0</v>
      </c>
      <c r="AF207" s="35"/>
      <c r="AG207" s="35">
        <v>0</v>
      </c>
      <c r="AH207" s="35"/>
      <c r="AI207" s="45">
        <f t="shared" si="45"/>
        <v>0</v>
      </c>
      <c r="AJ207" s="45"/>
      <c r="AK207" s="35"/>
      <c r="AL207" s="35"/>
      <c r="AM207" s="35">
        <v>0</v>
      </c>
      <c r="AN207" s="35"/>
      <c r="AO207" s="35">
        <v>0</v>
      </c>
      <c r="AP207" s="35"/>
      <c r="AQ207" s="35">
        <v>0</v>
      </c>
      <c r="AR207" s="35"/>
      <c r="AS207" s="45">
        <f t="shared" si="46"/>
        <v>0</v>
      </c>
      <c r="AT207" s="45"/>
      <c r="AU207" s="35">
        <v>0</v>
      </c>
      <c r="AV207" s="35"/>
      <c r="AW207" s="35">
        <v>0</v>
      </c>
      <c r="AX207" s="35"/>
      <c r="AY207" s="35">
        <f t="shared" si="47"/>
        <v>0</v>
      </c>
      <c r="AZ207" s="35"/>
      <c r="BA207" s="35" t="s">
        <v>245</v>
      </c>
      <c r="BB207" s="55"/>
      <c r="BC207" s="35" t="s">
        <v>110</v>
      </c>
      <c r="BD207" s="35"/>
      <c r="BE207" s="35"/>
      <c r="BF207" s="35"/>
      <c r="BG207" s="35"/>
      <c r="BH207" s="35"/>
      <c r="BI207" s="35"/>
      <c r="BJ207" s="35"/>
      <c r="BK207" s="35"/>
      <c r="BL207" s="35"/>
      <c r="BM207" s="35">
        <f t="shared" si="40"/>
        <v>0</v>
      </c>
      <c r="BN207" s="54" t="s">
        <v>347</v>
      </c>
    </row>
    <row r="208" spans="1:74" ht="12.75" customHeight="1">
      <c r="A208" s="35" t="s">
        <v>246</v>
      </c>
      <c r="C208" s="35" t="s">
        <v>209</v>
      </c>
      <c r="D208" s="35"/>
      <c r="E208" s="35">
        <f t="shared" si="43"/>
        <v>5297340</v>
      </c>
      <c r="F208" s="35"/>
      <c r="G208" s="35">
        <v>8657495</v>
      </c>
      <c r="H208" s="35"/>
      <c r="I208" s="35">
        <v>13954835</v>
      </c>
      <c r="J208" s="35"/>
      <c r="K208" s="35">
        <v>2398092</v>
      </c>
      <c r="L208" s="35"/>
      <c r="M208" s="35">
        <v>524153</v>
      </c>
      <c r="N208" s="35"/>
      <c r="O208" s="35">
        <v>2922245</v>
      </c>
      <c r="P208" s="35"/>
      <c r="Q208" s="35">
        <v>6927534</v>
      </c>
      <c r="R208" s="35"/>
      <c r="S208" s="35">
        <v>0</v>
      </c>
      <c r="T208" s="35"/>
      <c r="U208" s="35">
        <v>4105056</v>
      </c>
      <c r="V208" s="35"/>
      <c r="W208" s="35">
        <f t="shared" si="42"/>
        <v>11032590</v>
      </c>
      <c r="X208" s="35"/>
      <c r="Y208" s="35" t="s">
        <v>246</v>
      </c>
      <c r="Z208" s="55"/>
      <c r="AA208" s="35" t="s">
        <v>209</v>
      </c>
      <c r="AB208" s="35"/>
      <c r="AC208" s="35">
        <v>10034000</v>
      </c>
      <c r="AD208" s="35"/>
      <c r="AE208" s="35">
        <f>9423187-405461</f>
        <v>9017726</v>
      </c>
      <c r="AF208" s="35"/>
      <c r="AG208" s="35">
        <v>405461</v>
      </c>
      <c r="AH208" s="35"/>
      <c r="AI208" s="45">
        <f t="shared" si="45"/>
        <v>610813</v>
      </c>
      <c r="AJ208" s="45"/>
      <c r="AK208" s="35">
        <v>-21380</v>
      </c>
      <c r="AL208" s="35"/>
      <c r="AM208" s="35">
        <v>0</v>
      </c>
      <c r="AN208" s="35" t="s">
        <v>450</v>
      </c>
      <c r="AO208" s="35">
        <v>6965</v>
      </c>
      <c r="AP208" s="35"/>
      <c r="AQ208" s="35">
        <v>320540</v>
      </c>
      <c r="AR208" s="35"/>
      <c r="AS208" s="45">
        <f t="shared" si="46"/>
        <v>903008</v>
      </c>
      <c r="AT208" s="45"/>
      <c r="AU208" s="35">
        <v>0</v>
      </c>
      <c r="AV208" s="35"/>
      <c r="AW208" s="35">
        <v>0</v>
      </c>
      <c r="AX208" s="35"/>
      <c r="AY208" s="35">
        <f>+E208-K208</f>
        <v>2899248</v>
      </c>
      <c r="AZ208" s="35"/>
      <c r="BA208" s="35" t="s">
        <v>246</v>
      </c>
      <c r="BB208" s="55"/>
      <c r="BC208" s="35" t="s">
        <v>209</v>
      </c>
      <c r="BD208" s="35"/>
      <c r="BE208" s="35">
        <v>395000</v>
      </c>
      <c r="BF208" s="35"/>
      <c r="BG208" s="35">
        <v>0</v>
      </c>
      <c r="BH208" s="35"/>
      <c r="BI208" s="35">
        <v>0</v>
      </c>
      <c r="BJ208" s="35"/>
      <c r="BK208" s="35">
        <v>0</v>
      </c>
      <c r="BL208" s="35"/>
      <c r="BM208" s="35">
        <f t="shared" si="40"/>
        <v>395000</v>
      </c>
      <c r="BN208" s="54" t="s">
        <v>347</v>
      </c>
      <c r="BO208" s="55" t="s">
        <v>315</v>
      </c>
    </row>
    <row r="209" spans="1:66" ht="12.75" hidden="1" customHeight="1">
      <c r="A209" s="35" t="s">
        <v>247</v>
      </c>
      <c r="B209" s="55"/>
      <c r="C209" s="35" t="s">
        <v>163</v>
      </c>
      <c r="D209" s="35"/>
      <c r="E209" s="35">
        <f t="shared" ref="E209:E247" si="48">I209-G209</f>
        <v>0</v>
      </c>
      <c r="F209" s="35"/>
      <c r="G209" s="35"/>
      <c r="H209" s="35"/>
      <c r="I209" s="35"/>
      <c r="J209" s="35"/>
      <c r="K209" s="35">
        <f t="shared" ref="K209:K247" si="49">O209-M209</f>
        <v>0</v>
      </c>
      <c r="L209" s="35"/>
      <c r="M209" s="35">
        <v>0</v>
      </c>
      <c r="N209" s="35"/>
      <c r="O209" s="35"/>
      <c r="P209" s="35"/>
      <c r="Q209" s="35"/>
      <c r="R209" s="35"/>
      <c r="S209" s="35">
        <v>0</v>
      </c>
      <c r="T209" s="35"/>
      <c r="U209" s="35"/>
      <c r="V209" s="35"/>
      <c r="W209" s="35">
        <f t="shared" ref="W209:W214" si="50">SUM(Q209:U209)</f>
        <v>0</v>
      </c>
      <c r="X209" s="35"/>
      <c r="Y209" s="35" t="s">
        <v>247</v>
      </c>
      <c r="Z209" s="55"/>
      <c r="AA209" s="35" t="s">
        <v>163</v>
      </c>
      <c r="AB209" s="35"/>
      <c r="AC209" s="35">
        <v>0</v>
      </c>
      <c r="AD209" s="35"/>
      <c r="AE209" s="35">
        <v>0</v>
      </c>
      <c r="AF209" s="35"/>
      <c r="AG209" s="35">
        <v>0</v>
      </c>
      <c r="AH209" s="35"/>
      <c r="AI209" s="45">
        <f t="shared" ref="AI209:AI229" si="51">+AC209-AE209-AG209</f>
        <v>0</v>
      </c>
      <c r="AJ209" s="45"/>
      <c r="AK209" s="35"/>
      <c r="AL209" s="35"/>
      <c r="AM209" s="35">
        <v>0</v>
      </c>
      <c r="AN209" s="35"/>
      <c r="AO209" s="35">
        <v>0</v>
      </c>
      <c r="AP209" s="35"/>
      <c r="AQ209" s="35">
        <v>0</v>
      </c>
      <c r="AR209" s="35"/>
      <c r="AS209" s="45">
        <f t="shared" ref="AS209:AS239" si="52">+AI209+AK209+AM209-AO209+AQ209</f>
        <v>0</v>
      </c>
      <c r="AT209" s="45"/>
      <c r="AU209" s="35">
        <v>0</v>
      </c>
      <c r="AV209" s="35"/>
      <c r="AW209" s="35">
        <v>0</v>
      </c>
      <c r="AX209" s="35"/>
      <c r="AY209" s="35">
        <f t="shared" ref="AY209:AY237" si="53">+E209-K209</f>
        <v>0</v>
      </c>
      <c r="AZ209" s="35"/>
      <c r="BA209" s="35" t="s">
        <v>247</v>
      </c>
      <c r="BB209" s="55"/>
      <c r="BC209" s="35" t="s">
        <v>163</v>
      </c>
      <c r="BD209" s="35"/>
      <c r="BE209" s="35"/>
      <c r="BF209" s="35"/>
      <c r="BG209" s="35"/>
      <c r="BH209" s="35"/>
      <c r="BI209" s="35"/>
      <c r="BJ209" s="35"/>
      <c r="BK209" s="35"/>
      <c r="BL209" s="35"/>
      <c r="BM209" s="35">
        <f t="shared" ref="BM209:BM229" si="54">SUM(BE209:BK209)</f>
        <v>0</v>
      </c>
      <c r="BN209" s="54" t="s">
        <v>347</v>
      </c>
    </row>
    <row r="210" spans="1:66" ht="12.75" hidden="1" customHeight="1">
      <c r="A210" s="35" t="s">
        <v>248</v>
      </c>
      <c r="B210" s="55"/>
      <c r="C210" s="35" t="s">
        <v>249</v>
      </c>
      <c r="D210" s="35"/>
      <c r="E210" s="35">
        <f t="shared" si="48"/>
        <v>0</v>
      </c>
      <c r="F210" s="35"/>
      <c r="G210" s="35"/>
      <c r="H210" s="35"/>
      <c r="I210" s="35"/>
      <c r="J210" s="35"/>
      <c r="K210" s="35">
        <f t="shared" si="49"/>
        <v>0</v>
      </c>
      <c r="L210" s="35"/>
      <c r="M210" s="35">
        <v>0</v>
      </c>
      <c r="N210" s="35"/>
      <c r="O210" s="35"/>
      <c r="P210" s="35"/>
      <c r="Q210" s="35"/>
      <c r="R210" s="35"/>
      <c r="S210" s="35">
        <v>0</v>
      </c>
      <c r="T210" s="35"/>
      <c r="U210" s="35"/>
      <c r="V210" s="35"/>
      <c r="W210" s="35">
        <f t="shared" si="50"/>
        <v>0</v>
      </c>
      <c r="X210" s="35"/>
      <c r="Y210" s="35" t="s">
        <v>248</v>
      </c>
      <c r="Z210" s="55"/>
      <c r="AA210" s="35" t="s">
        <v>249</v>
      </c>
      <c r="AB210" s="35"/>
      <c r="AC210" s="35">
        <v>0</v>
      </c>
      <c r="AD210" s="35"/>
      <c r="AE210" s="35">
        <v>0</v>
      </c>
      <c r="AF210" s="35"/>
      <c r="AG210" s="35">
        <v>0</v>
      </c>
      <c r="AH210" s="35"/>
      <c r="AI210" s="45">
        <f t="shared" si="51"/>
        <v>0</v>
      </c>
      <c r="AJ210" s="45"/>
      <c r="AK210" s="35"/>
      <c r="AL210" s="35"/>
      <c r="AM210" s="35">
        <v>0</v>
      </c>
      <c r="AN210" s="35"/>
      <c r="AO210" s="35">
        <v>0</v>
      </c>
      <c r="AP210" s="35"/>
      <c r="AQ210" s="35">
        <v>0</v>
      </c>
      <c r="AR210" s="35"/>
      <c r="AS210" s="45">
        <f t="shared" si="52"/>
        <v>0</v>
      </c>
      <c r="AT210" s="45"/>
      <c r="AU210" s="35">
        <v>0</v>
      </c>
      <c r="AV210" s="35"/>
      <c r="AW210" s="35">
        <v>0</v>
      </c>
      <c r="AX210" s="35"/>
      <c r="AY210" s="35">
        <f t="shared" si="53"/>
        <v>0</v>
      </c>
      <c r="AZ210" s="35"/>
      <c r="BA210" s="35" t="s">
        <v>248</v>
      </c>
      <c r="BB210" s="55"/>
      <c r="BC210" s="35" t="s">
        <v>249</v>
      </c>
      <c r="BD210" s="35"/>
      <c r="BE210" s="35"/>
      <c r="BF210" s="35"/>
      <c r="BG210" s="35"/>
      <c r="BH210" s="35"/>
      <c r="BI210" s="35"/>
      <c r="BJ210" s="35"/>
      <c r="BK210" s="35"/>
      <c r="BL210" s="35"/>
      <c r="BM210" s="35">
        <f t="shared" si="54"/>
        <v>0</v>
      </c>
      <c r="BN210" s="54"/>
    </row>
    <row r="211" spans="1:66" ht="12.75" hidden="1" customHeight="1">
      <c r="A211" s="35" t="s">
        <v>250</v>
      </c>
      <c r="C211" s="35" t="s">
        <v>103</v>
      </c>
      <c r="D211" s="35"/>
      <c r="E211" s="35">
        <f t="shared" si="48"/>
        <v>0</v>
      </c>
      <c r="F211" s="35"/>
      <c r="G211" s="35"/>
      <c r="H211" s="35"/>
      <c r="I211" s="35"/>
      <c r="J211" s="35"/>
      <c r="K211" s="35">
        <f t="shared" si="49"/>
        <v>0</v>
      </c>
      <c r="L211" s="35"/>
      <c r="M211" s="35">
        <v>0</v>
      </c>
      <c r="N211" s="35"/>
      <c r="O211" s="35"/>
      <c r="P211" s="35"/>
      <c r="Q211" s="35"/>
      <c r="R211" s="35"/>
      <c r="S211" s="35">
        <v>0</v>
      </c>
      <c r="T211" s="35"/>
      <c r="U211" s="35"/>
      <c r="V211" s="35"/>
      <c r="W211" s="35">
        <f t="shared" si="50"/>
        <v>0</v>
      </c>
      <c r="X211" s="35"/>
      <c r="Y211" s="35" t="s">
        <v>250</v>
      </c>
      <c r="Z211" s="55"/>
      <c r="AA211" s="35" t="s">
        <v>103</v>
      </c>
      <c r="AB211" s="35"/>
      <c r="AC211" s="35">
        <v>0</v>
      </c>
      <c r="AD211" s="35"/>
      <c r="AE211" s="35">
        <v>0</v>
      </c>
      <c r="AF211" s="35"/>
      <c r="AG211" s="35">
        <v>0</v>
      </c>
      <c r="AH211" s="35"/>
      <c r="AI211" s="45">
        <f t="shared" si="51"/>
        <v>0</v>
      </c>
      <c r="AJ211" s="45"/>
      <c r="AK211" s="35"/>
      <c r="AL211" s="35"/>
      <c r="AM211" s="35">
        <v>0</v>
      </c>
      <c r="AN211" s="35"/>
      <c r="AO211" s="35">
        <v>0</v>
      </c>
      <c r="AP211" s="35"/>
      <c r="AQ211" s="35">
        <v>0</v>
      </c>
      <c r="AR211" s="35"/>
      <c r="AS211" s="45">
        <f t="shared" si="52"/>
        <v>0</v>
      </c>
      <c r="AT211" s="45"/>
      <c r="AU211" s="35">
        <v>0</v>
      </c>
      <c r="AV211" s="35"/>
      <c r="AW211" s="35">
        <v>0</v>
      </c>
      <c r="AX211" s="35"/>
      <c r="AY211" s="35">
        <f t="shared" si="53"/>
        <v>0</v>
      </c>
      <c r="AZ211" s="35"/>
      <c r="BA211" s="35" t="s">
        <v>250</v>
      </c>
      <c r="BB211" s="55"/>
      <c r="BC211" s="35" t="s">
        <v>103</v>
      </c>
      <c r="BD211" s="35"/>
      <c r="BE211" s="35"/>
      <c r="BF211" s="35"/>
      <c r="BG211" s="35"/>
      <c r="BH211" s="35"/>
      <c r="BI211" s="35"/>
      <c r="BJ211" s="35"/>
      <c r="BK211" s="35"/>
      <c r="BL211" s="35"/>
      <c r="BM211" s="35">
        <f t="shared" si="54"/>
        <v>0</v>
      </c>
      <c r="BN211" s="54" t="s">
        <v>347</v>
      </c>
    </row>
    <row r="212" spans="1:66" ht="12.75" hidden="1" customHeight="1">
      <c r="A212" s="35" t="s">
        <v>251</v>
      </c>
      <c r="C212" s="35" t="s">
        <v>66</v>
      </c>
      <c r="D212" s="35"/>
      <c r="E212" s="35">
        <f t="shared" si="48"/>
        <v>0</v>
      </c>
      <c r="F212" s="35"/>
      <c r="G212" s="35"/>
      <c r="H212" s="35"/>
      <c r="I212" s="35"/>
      <c r="J212" s="35"/>
      <c r="K212" s="35">
        <f t="shared" si="49"/>
        <v>0</v>
      </c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>
        <f t="shared" si="50"/>
        <v>0</v>
      </c>
      <c r="X212" s="35"/>
      <c r="Y212" s="35" t="s">
        <v>251</v>
      </c>
      <c r="Z212" s="55"/>
      <c r="AA212" s="35" t="s">
        <v>66</v>
      </c>
      <c r="AB212" s="35"/>
      <c r="AC212" s="35"/>
      <c r="AD212" s="35"/>
      <c r="AE212" s="35"/>
      <c r="AF212" s="35"/>
      <c r="AG212" s="35"/>
      <c r="AH212" s="35"/>
      <c r="AI212" s="45">
        <f t="shared" si="51"/>
        <v>0</v>
      </c>
      <c r="AJ212" s="45"/>
      <c r="AK212" s="35"/>
      <c r="AL212" s="35"/>
      <c r="AM212" s="35"/>
      <c r="AN212" s="35"/>
      <c r="AO212" s="35"/>
      <c r="AP212" s="35"/>
      <c r="AQ212" s="35"/>
      <c r="AR212" s="35"/>
      <c r="AS212" s="45">
        <f t="shared" si="52"/>
        <v>0</v>
      </c>
      <c r="AT212" s="45"/>
      <c r="AU212" s="35">
        <v>0</v>
      </c>
      <c r="AV212" s="35"/>
      <c r="AW212" s="35">
        <v>0</v>
      </c>
      <c r="AX212" s="35"/>
      <c r="AY212" s="35">
        <f t="shared" si="53"/>
        <v>0</v>
      </c>
      <c r="AZ212" s="35"/>
      <c r="BA212" s="35" t="s">
        <v>251</v>
      </c>
      <c r="BB212" s="55"/>
      <c r="BC212" s="35" t="s">
        <v>66</v>
      </c>
      <c r="BD212" s="35"/>
      <c r="BE212" s="35"/>
      <c r="BF212" s="35"/>
      <c r="BG212" s="35"/>
      <c r="BH212" s="35"/>
      <c r="BI212" s="35"/>
      <c r="BJ212" s="35"/>
      <c r="BK212" s="35"/>
      <c r="BL212" s="35"/>
      <c r="BM212" s="35">
        <f t="shared" si="54"/>
        <v>0</v>
      </c>
      <c r="BN212" s="54" t="s">
        <v>347</v>
      </c>
    </row>
    <row r="213" spans="1:66" ht="12.75" hidden="1" customHeight="1">
      <c r="A213" s="35" t="s">
        <v>252</v>
      </c>
      <c r="C213" s="35" t="s">
        <v>209</v>
      </c>
      <c r="D213" s="35"/>
      <c r="E213" s="35">
        <f t="shared" si="48"/>
        <v>0</v>
      </c>
      <c r="F213" s="35"/>
      <c r="G213" s="35"/>
      <c r="H213" s="35"/>
      <c r="I213" s="35"/>
      <c r="J213" s="35"/>
      <c r="K213" s="35">
        <f t="shared" si="49"/>
        <v>0</v>
      </c>
      <c r="L213" s="35"/>
      <c r="M213" s="35">
        <v>0</v>
      </c>
      <c r="N213" s="35"/>
      <c r="O213" s="35"/>
      <c r="P213" s="35"/>
      <c r="Q213" s="35"/>
      <c r="R213" s="35"/>
      <c r="S213" s="35">
        <v>0</v>
      </c>
      <c r="T213" s="35"/>
      <c r="U213" s="35"/>
      <c r="V213" s="35"/>
      <c r="W213" s="35">
        <f t="shared" si="50"/>
        <v>0</v>
      </c>
      <c r="X213" s="35"/>
      <c r="Y213" s="35" t="s">
        <v>252</v>
      </c>
      <c r="Z213" s="55"/>
      <c r="AA213" s="35" t="s">
        <v>209</v>
      </c>
      <c r="AB213" s="35"/>
      <c r="AC213" s="35">
        <v>0</v>
      </c>
      <c r="AD213" s="35"/>
      <c r="AE213" s="35">
        <v>0</v>
      </c>
      <c r="AF213" s="35"/>
      <c r="AG213" s="35">
        <v>0</v>
      </c>
      <c r="AH213" s="35"/>
      <c r="AI213" s="45">
        <f t="shared" si="51"/>
        <v>0</v>
      </c>
      <c r="AJ213" s="45"/>
      <c r="AK213" s="35"/>
      <c r="AL213" s="35"/>
      <c r="AM213" s="35">
        <v>0</v>
      </c>
      <c r="AN213" s="35"/>
      <c r="AO213" s="35">
        <v>0</v>
      </c>
      <c r="AP213" s="35"/>
      <c r="AQ213" s="35">
        <v>0</v>
      </c>
      <c r="AR213" s="35"/>
      <c r="AS213" s="45">
        <f t="shared" si="52"/>
        <v>0</v>
      </c>
      <c r="AT213" s="45"/>
      <c r="AU213" s="35">
        <v>0</v>
      </c>
      <c r="AV213" s="35"/>
      <c r="AW213" s="35">
        <v>0</v>
      </c>
      <c r="AX213" s="35"/>
      <c r="AY213" s="35">
        <f t="shared" si="53"/>
        <v>0</v>
      </c>
      <c r="AZ213" s="35"/>
      <c r="BA213" s="35" t="s">
        <v>252</v>
      </c>
      <c r="BB213" s="55"/>
      <c r="BC213" s="35" t="s">
        <v>209</v>
      </c>
      <c r="BD213" s="35"/>
      <c r="BE213" s="35"/>
      <c r="BF213" s="35"/>
      <c r="BG213" s="35"/>
      <c r="BH213" s="35"/>
      <c r="BI213" s="35"/>
      <c r="BJ213" s="35"/>
      <c r="BK213" s="35"/>
      <c r="BL213" s="35"/>
      <c r="BM213" s="35">
        <f t="shared" si="54"/>
        <v>0</v>
      </c>
      <c r="BN213" s="54" t="s">
        <v>347</v>
      </c>
    </row>
    <row r="214" spans="1:66" ht="12.75" hidden="1" customHeight="1">
      <c r="A214" s="35" t="s">
        <v>253</v>
      </c>
      <c r="C214" s="35" t="s">
        <v>13</v>
      </c>
      <c r="D214" s="35"/>
      <c r="E214" s="35">
        <f t="shared" si="48"/>
        <v>0</v>
      </c>
      <c r="F214" s="35"/>
      <c r="G214" s="35"/>
      <c r="H214" s="35"/>
      <c r="I214" s="35"/>
      <c r="J214" s="35"/>
      <c r="K214" s="35">
        <f t="shared" si="49"/>
        <v>0</v>
      </c>
      <c r="L214" s="35"/>
      <c r="M214" s="35">
        <v>0</v>
      </c>
      <c r="N214" s="35"/>
      <c r="O214" s="35"/>
      <c r="P214" s="35"/>
      <c r="Q214" s="35"/>
      <c r="R214" s="35"/>
      <c r="S214" s="35">
        <v>0</v>
      </c>
      <c r="T214" s="35"/>
      <c r="U214" s="35"/>
      <c r="V214" s="35"/>
      <c r="W214" s="35">
        <f t="shared" si="50"/>
        <v>0</v>
      </c>
      <c r="X214" s="35"/>
      <c r="Y214" s="35" t="s">
        <v>253</v>
      </c>
      <c r="Z214" s="55"/>
      <c r="AA214" s="35" t="s">
        <v>13</v>
      </c>
      <c r="AB214" s="35"/>
      <c r="AC214" s="35">
        <v>0</v>
      </c>
      <c r="AD214" s="35"/>
      <c r="AE214" s="35">
        <v>0</v>
      </c>
      <c r="AF214" s="35"/>
      <c r="AG214" s="35">
        <v>0</v>
      </c>
      <c r="AH214" s="35"/>
      <c r="AI214" s="45">
        <f t="shared" si="51"/>
        <v>0</v>
      </c>
      <c r="AJ214" s="45"/>
      <c r="AK214" s="35"/>
      <c r="AL214" s="35"/>
      <c r="AM214" s="35">
        <v>0</v>
      </c>
      <c r="AN214" s="35"/>
      <c r="AO214" s="35">
        <v>0</v>
      </c>
      <c r="AP214" s="35"/>
      <c r="AQ214" s="35">
        <v>0</v>
      </c>
      <c r="AR214" s="35"/>
      <c r="AS214" s="45">
        <f t="shared" si="52"/>
        <v>0</v>
      </c>
      <c r="AT214" s="45"/>
      <c r="AU214" s="35">
        <v>0</v>
      </c>
      <c r="AV214" s="35"/>
      <c r="AW214" s="35">
        <v>0</v>
      </c>
      <c r="AX214" s="35"/>
      <c r="AY214" s="35">
        <f t="shared" si="53"/>
        <v>0</v>
      </c>
      <c r="AZ214" s="35"/>
      <c r="BA214" s="35" t="s">
        <v>253</v>
      </c>
      <c r="BB214" s="55"/>
      <c r="BC214" s="35" t="s">
        <v>13</v>
      </c>
      <c r="BD214" s="35"/>
      <c r="BE214" s="35"/>
      <c r="BF214" s="35"/>
      <c r="BG214" s="35"/>
      <c r="BH214" s="35"/>
      <c r="BI214" s="35"/>
      <c r="BJ214" s="35"/>
      <c r="BK214" s="35"/>
      <c r="BL214" s="35"/>
      <c r="BM214" s="35">
        <f t="shared" si="54"/>
        <v>0</v>
      </c>
      <c r="BN214" s="54" t="s">
        <v>347</v>
      </c>
    </row>
    <row r="215" spans="1:66" ht="12.75" hidden="1" customHeight="1">
      <c r="A215" s="35" t="s">
        <v>254</v>
      </c>
      <c r="C215" s="35" t="s">
        <v>89</v>
      </c>
      <c r="D215" s="35"/>
      <c r="E215" s="35">
        <f t="shared" si="48"/>
        <v>0</v>
      </c>
      <c r="F215" s="35"/>
      <c r="G215" s="35"/>
      <c r="H215" s="35"/>
      <c r="I215" s="35"/>
      <c r="J215" s="35"/>
      <c r="K215" s="35">
        <f t="shared" si="49"/>
        <v>0</v>
      </c>
      <c r="L215" s="35"/>
      <c r="M215" s="35">
        <v>0</v>
      </c>
      <c r="N215" s="35"/>
      <c r="O215" s="35"/>
      <c r="P215" s="35"/>
      <c r="Q215" s="35"/>
      <c r="R215" s="35"/>
      <c r="S215" s="35">
        <v>0</v>
      </c>
      <c r="T215" s="35"/>
      <c r="U215" s="35"/>
      <c r="V215" s="35"/>
      <c r="W215" s="35">
        <v>0</v>
      </c>
      <c r="X215" s="35"/>
      <c r="Y215" s="35" t="s">
        <v>254</v>
      </c>
      <c r="Z215" s="55"/>
      <c r="AA215" s="35" t="s">
        <v>89</v>
      </c>
      <c r="AB215" s="35"/>
      <c r="AC215" s="35">
        <v>0</v>
      </c>
      <c r="AD215" s="35"/>
      <c r="AE215" s="35">
        <v>0</v>
      </c>
      <c r="AF215" s="35"/>
      <c r="AG215" s="35">
        <v>0</v>
      </c>
      <c r="AH215" s="35"/>
      <c r="AI215" s="45">
        <f t="shared" si="51"/>
        <v>0</v>
      </c>
      <c r="AJ215" s="45"/>
      <c r="AK215" s="35"/>
      <c r="AL215" s="35"/>
      <c r="AM215" s="35">
        <v>0</v>
      </c>
      <c r="AN215" s="35"/>
      <c r="AO215" s="35">
        <v>0</v>
      </c>
      <c r="AP215" s="35"/>
      <c r="AQ215" s="35">
        <v>0</v>
      </c>
      <c r="AR215" s="35"/>
      <c r="AS215" s="45">
        <f t="shared" si="52"/>
        <v>0</v>
      </c>
      <c r="AT215" s="45"/>
      <c r="AU215" s="35">
        <v>0</v>
      </c>
      <c r="AV215" s="35"/>
      <c r="AW215" s="35">
        <v>0</v>
      </c>
      <c r="AX215" s="35"/>
      <c r="AY215" s="35">
        <f t="shared" si="53"/>
        <v>0</v>
      </c>
      <c r="AZ215" s="35"/>
      <c r="BA215" s="35" t="s">
        <v>254</v>
      </c>
      <c r="BB215" s="55"/>
      <c r="BC215" s="35" t="s">
        <v>89</v>
      </c>
      <c r="BD215" s="35"/>
      <c r="BE215" s="35"/>
      <c r="BF215" s="35"/>
      <c r="BG215" s="35"/>
      <c r="BH215" s="35"/>
      <c r="BI215" s="35"/>
      <c r="BJ215" s="35"/>
      <c r="BK215" s="35"/>
      <c r="BL215" s="35"/>
      <c r="BM215" s="35">
        <f t="shared" si="54"/>
        <v>0</v>
      </c>
      <c r="BN215" s="54" t="s">
        <v>347</v>
      </c>
    </row>
    <row r="216" spans="1:66" ht="12.75" hidden="1" customHeight="1">
      <c r="A216" s="35" t="s">
        <v>159</v>
      </c>
      <c r="C216" s="35" t="s">
        <v>66</v>
      </c>
      <c r="D216" s="35"/>
      <c r="E216" s="35">
        <f t="shared" si="48"/>
        <v>0</v>
      </c>
      <c r="F216" s="35"/>
      <c r="G216" s="35"/>
      <c r="H216" s="35"/>
      <c r="I216" s="35"/>
      <c r="J216" s="35"/>
      <c r="K216" s="35">
        <f t="shared" si="49"/>
        <v>0</v>
      </c>
      <c r="L216" s="35"/>
      <c r="M216" s="35">
        <v>0</v>
      </c>
      <c r="N216" s="35"/>
      <c r="O216" s="35"/>
      <c r="P216" s="35"/>
      <c r="Q216" s="35"/>
      <c r="R216" s="35"/>
      <c r="S216" s="35">
        <v>0</v>
      </c>
      <c r="T216" s="35"/>
      <c r="U216" s="35"/>
      <c r="V216" s="35"/>
      <c r="W216" s="35">
        <f t="shared" ref="W216:W228" si="55">SUM(Q216:U216)</f>
        <v>0</v>
      </c>
      <c r="X216" s="35"/>
      <c r="Y216" s="35" t="s">
        <v>159</v>
      </c>
      <c r="Z216" s="55"/>
      <c r="AA216" s="35" t="s">
        <v>66</v>
      </c>
      <c r="AB216" s="35"/>
      <c r="AC216" s="35">
        <v>0</v>
      </c>
      <c r="AD216" s="35"/>
      <c r="AE216" s="35">
        <v>0</v>
      </c>
      <c r="AF216" s="35"/>
      <c r="AG216" s="35">
        <v>0</v>
      </c>
      <c r="AH216" s="35"/>
      <c r="AI216" s="45">
        <f t="shared" si="51"/>
        <v>0</v>
      </c>
      <c r="AJ216" s="45"/>
      <c r="AK216" s="35"/>
      <c r="AL216" s="35"/>
      <c r="AM216" s="35">
        <v>0</v>
      </c>
      <c r="AN216" s="35"/>
      <c r="AO216" s="35">
        <v>0</v>
      </c>
      <c r="AP216" s="35"/>
      <c r="AQ216" s="35">
        <v>0</v>
      </c>
      <c r="AR216" s="35"/>
      <c r="AS216" s="45">
        <f t="shared" si="52"/>
        <v>0</v>
      </c>
      <c r="AT216" s="45"/>
      <c r="AU216" s="35">
        <v>0</v>
      </c>
      <c r="AV216" s="35"/>
      <c r="AW216" s="35">
        <v>0</v>
      </c>
      <c r="AX216" s="35"/>
      <c r="AY216" s="35">
        <f t="shared" si="53"/>
        <v>0</v>
      </c>
      <c r="AZ216" s="35"/>
      <c r="BA216" s="35" t="s">
        <v>159</v>
      </c>
      <c r="BB216" s="55"/>
      <c r="BC216" s="35" t="s">
        <v>66</v>
      </c>
      <c r="BD216" s="35"/>
      <c r="BE216" s="35"/>
      <c r="BF216" s="35"/>
      <c r="BG216" s="35"/>
      <c r="BH216" s="35"/>
      <c r="BI216" s="35"/>
      <c r="BJ216" s="35"/>
      <c r="BK216" s="35"/>
      <c r="BL216" s="35"/>
      <c r="BM216" s="35">
        <f t="shared" si="54"/>
        <v>0</v>
      </c>
      <c r="BN216" s="54" t="s">
        <v>347</v>
      </c>
    </row>
    <row r="217" spans="1:66" ht="12.75" hidden="1" customHeight="1">
      <c r="A217" s="35" t="s">
        <v>255</v>
      </c>
      <c r="C217" s="35" t="s">
        <v>27</v>
      </c>
      <c r="D217" s="35"/>
      <c r="E217" s="35">
        <f t="shared" si="48"/>
        <v>0</v>
      </c>
      <c r="F217" s="35"/>
      <c r="G217" s="35"/>
      <c r="H217" s="35"/>
      <c r="I217" s="35"/>
      <c r="J217" s="35"/>
      <c r="K217" s="35">
        <f t="shared" si="49"/>
        <v>0</v>
      </c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>
        <f t="shared" si="55"/>
        <v>0</v>
      </c>
      <c r="X217" s="35"/>
      <c r="Y217" s="35" t="s">
        <v>255</v>
      </c>
      <c r="Z217" s="55"/>
      <c r="AA217" s="35" t="s">
        <v>27</v>
      </c>
      <c r="AB217" s="35"/>
      <c r="AC217" s="35"/>
      <c r="AD217" s="35"/>
      <c r="AE217" s="35"/>
      <c r="AF217" s="35"/>
      <c r="AG217" s="35"/>
      <c r="AH217" s="35"/>
      <c r="AI217" s="45">
        <f t="shared" si="51"/>
        <v>0</v>
      </c>
      <c r="AJ217" s="45"/>
      <c r="AK217" s="35"/>
      <c r="AL217" s="35"/>
      <c r="AM217" s="35"/>
      <c r="AN217" s="35"/>
      <c r="AO217" s="35"/>
      <c r="AP217" s="35"/>
      <c r="AQ217" s="35"/>
      <c r="AR217" s="35"/>
      <c r="AS217" s="45">
        <f t="shared" si="52"/>
        <v>0</v>
      </c>
      <c r="AT217" s="45"/>
      <c r="AU217" s="35">
        <v>0</v>
      </c>
      <c r="AV217" s="35"/>
      <c r="AW217" s="35">
        <v>0</v>
      </c>
      <c r="AX217" s="35"/>
      <c r="AY217" s="35">
        <f t="shared" si="53"/>
        <v>0</v>
      </c>
      <c r="AZ217" s="35"/>
      <c r="BA217" s="35" t="s">
        <v>255</v>
      </c>
      <c r="BB217" s="55"/>
      <c r="BC217" s="35" t="s">
        <v>27</v>
      </c>
      <c r="BD217" s="35"/>
      <c r="BE217" s="35"/>
      <c r="BF217" s="35"/>
      <c r="BG217" s="35"/>
      <c r="BH217" s="35"/>
      <c r="BI217" s="35"/>
      <c r="BJ217" s="35"/>
      <c r="BK217" s="35"/>
      <c r="BL217" s="35"/>
      <c r="BM217" s="35">
        <f t="shared" si="54"/>
        <v>0</v>
      </c>
      <c r="BN217" s="54" t="s">
        <v>347</v>
      </c>
    </row>
    <row r="218" spans="1:66" ht="12.75" hidden="1" customHeight="1">
      <c r="A218" s="35" t="s">
        <v>256</v>
      </c>
      <c r="C218" s="35" t="s">
        <v>43</v>
      </c>
      <c r="D218" s="35"/>
      <c r="E218" s="35">
        <f t="shared" si="48"/>
        <v>0</v>
      </c>
      <c r="F218" s="35"/>
      <c r="G218" s="35"/>
      <c r="H218" s="35"/>
      <c r="I218" s="35"/>
      <c r="J218" s="35"/>
      <c r="K218" s="35">
        <f t="shared" si="49"/>
        <v>0</v>
      </c>
      <c r="L218" s="35"/>
      <c r="M218" s="35">
        <v>0</v>
      </c>
      <c r="N218" s="35"/>
      <c r="O218" s="35"/>
      <c r="P218" s="35"/>
      <c r="Q218" s="35"/>
      <c r="R218" s="35"/>
      <c r="S218" s="35">
        <v>0</v>
      </c>
      <c r="T218" s="35"/>
      <c r="U218" s="35"/>
      <c r="V218" s="35"/>
      <c r="W218" s="35">
        <f t="shared" si="55"/>
        <v>0</v>
      </c>
      <c r="X218" s="35"/>
      <c r="Y218" s="35" t="s">
        <v>256</v>
      </c>
      <c r="Z218" s="55"/>
      <c r="AA218" s="35" t="s">
        <v>43</v>
      </c>
      <c r="AB218" s="35"/>
      <c r="AC218" s="35">
        <v>0</v>
      </c>
      <c r="AD218" s="35"/>
      <c r="AE218" s="35">
        <v>0</v>
      </c>
      <c r="AF218" s="35"/>
      <c r="AG218" s="35">
        <v>0</v>
      </c>
      <c r="AH218" s="35"/>
      <c r="AI218" s="45">
        <f t="shared" si="51"/>
        <v>0</v>
      </c>
      <c r="AJ218" s="45"/>
      <c r="AK218" s="35"/>
      <c r="AL218" s="35"/>
      <c r="AM218" s="35">
        <v>0</v>
      </c>
      <c r="AN218" s="35"/>
      <c r="AO218" s="35">
        <v>0</v>
      </c>
      <c r="AP218" s="35"/>
      <c r="AQ218" s="35">
        <v>0</v>
      </c>
      <c r="AR218" s="35"/>
      <c r="AS218" s="45">
        <f t="shared" si="52"/>
        <v>0</v>
      </c>
      <c r="AT218" s="45"/>
      <c r="AU218" s="35">
        <v>0</v>
      </c>
      <c r="AV218" s="35"/>
      <c r="AW218" s="35">
        <v>0</v>
      </c>
      <c r="AX218" s="35"/>
      <c r="AY218" s="35">
        <f t="shared" si="53"/>
        <v>0</v>
      </c>
      <c r="AZ218" s="35"/>
      <c r="BA218" s="35" t="s">
        <v>256</v>
      </c>
      <c r="BB218" s="55"/>
      <c r="BC218" s="35" t="s">
        <v>43</v>
      </c>
      <c r="BD218" s="35"/>
      <c r="BE218" s="35"/>
      <c r="BF218" s="35"/>
      <c r="BG218" s="35"/>
      <c r="BH218" s="35"/>
      <c r="BI218" s="35"/>
      <c r="BJ218" s="35"/>
      <c r="BK218" s="35"/>
      <c r="BL218" s="35"/>
      <c r="BM218" s="35">
        <f t="shared" si="54"/>
        <v>0</v>
      </c>
      <c r="BN218" s="54" t="s">
        <v>347</v>
      </c>
    </row>
    <row r="219" spans="1:66" ht="12.75" hidden="1" customHeight="1">
      <c r="A219" s="35" t="s">
        <v>257</v>
      </c>
      <c r="C219" s="35" t="s">
        <v>258</v>
      </c>
      <c r="D219" s="35"/>
      <c r="E219" s="35">
        <f t="shared" si="48"/>
        <v>0</v>
      </c>
      <c r="F219" s="35"/>
      <c r="G219" s="35"/>
      <c r="H219" s="35"/>
      <c r="I219" s="35"/>
      <c r="J219" s="35"/>
      <c r="K219" s="35">
        <f t="shared" si="49"/>
        <v>0</v>
      </c>
      <c r="L219" s="35"/>
      <c r="M219" s="35">
        <v>0</v>
      </c>
      <c r="N219" s="35"/>
      <c r="O219" s="35"/>
      <c r="P219" s="35"/>
      <c r="Q219" s="35"/>
      <c r="R219" s="35"/>
      <c r="S219" s="35">
        <v>0</v>
      </c>
      <c r="T219" s="35"/>
      <c r="U219" s="35"/>
      <c r="V219" s="35"/>
      <c r="W219" s="35">
        <f t="shared" si="55"/>
        <v>0</v>
      </c>
      <c r="X219" s="35"/>
      <c r="Y219" s="35" t="s">
        <v>257</v>
      </c>
      <c r="Z219" s="55"/>
      <c r="AA219" s="35" t="s">
        <v>258</v>
      </c>
      <c r="AB219" s="35"/>
      <c r="AC219" s="35">
        <v>0</v>
      </c>
      <c r="AD219" s="35"/>
      <c r="AE219" s="35">
        <v>0</v>
      </c>
      <c r="AF219" s="35"/>
      <c r="AG219" s="35">
        <v>0</v>
      </c>
      <c r="AH219" s="35"/>
      <c r="AI219" s="45">
        <f t="shared" si="51"/>
        <v>0</v>
      </c>
      <c r="AJ219" s="45"/>
      <c r="AK219" s="35"/>
      <c r="AL219" s="35"/>
      <c r="AM219" s="35">
        <v>0</v>
      </c>
      <c r="AN219" s="35"/>
      <c r="AO219" s="35">
        <v>0</v>
      </c>
      <c r="AP219" s="35"/>
      <c r="AQ219" s="35">
        <v>0</v>
      </c>
      <c r="AR219" s="35"/>
      <c r="AS219" s="45">
        <f t="shared" si="52"/>
        <v>0</v>
      </c>
      <c r="AT219" s="45"/>
      <c r="AU219" s="35">
        <v>0</v>
      </c>
      <c r="AV219" s="35"/>
      <c r="AW219" s="35">
        <v>0</v>
      </c>
      <c r="AX219" s="35"/>
      <c r="AY219" s="35">
        <f t="shared" si="53"/>
        <v>0</v>
      </c>
      <c r="AZ219" s="35"/>
      <c r="BA219" s="35" t="s">
        <v>257</v>
      </c>
      <c r="BB219" s="55"/>
      <c r="BC219" s="35" t="s">
        <v>258</v>
      </c>
      <c r="BD219" s="35"/>
      <c r="BE219" s="35"/>
      <c r="BF219" s="35"/>
      <c r="BG219" s="35"/>
      <c r="BH219" s="35"/>
      <c r="BI219" s="35"/>
      <c r="BJ219" s="35"/>
      <c r="BK219" s="35"/>
      <c r="BL219" s="35"/>
      <c r="BM219" s="35">
        <f t="shared" si="54"/>
        <v>0</v>
      </c>
      <c r="BN219" s="54" t="s">
        <v>347</v>
      </c>
    </row>
    <row r="220" spans="1:66" ht="12.75" hidden="1" customHeight="1">
      <c r="A220" s="35" t="s">
        <v>259</v>
      </c>
      <c r="C220" s="35" t="s">
        <v>369</v>
      </c>
      <c r="D220" s="35"/>
      <c r="E220" s="35">
        <f t="shared" si="48"/>
        <v>0</v>
      </c>
      <c r="F220" s="35"/>
      <c r="G220" s="35"/>
      <c r="H220" s="35"/>
      <c r="I220" s="35"/>
      <c r="J220" s="35"/>
      <c r="K220" s="35">
        <f t="shared" si="49"/>
        <v>0</v>
      </c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>
        <f t="shared" si="55"/>
        <v>0</v>
      </c>
      <c r="X220" s="35"/>
      <c r="Y220" s="35" t="s">
        <v>259</v>
      </c>
      <c r="Z220" s="55"/>
      <c r="AA220" s="35" t="s">
        <v>369</v>
      </c>
      <c r="AB220" s="35"/>
      <c r="AC220" s="35"/>
      <c r="AD220" s="35"/>
      <c r="AE220" s="35"/>
      <c r="AF220" s="35"/>
      <c r="AG220" s="35"/>
      <c r="AH220" s="35"/>
      <c r="AI220" s="45">
        <f t="shared" si="51"/>
        <v>0</v>
      </c>
      <c r="AJ220" s="45"/>
      <c r="AK220" s="35"/>
      <c r="AL220" s="35"/>
      <c r="AM220" s="35"/>
      <c r="AN220" s="35"/>
      <c r="AO220" s="35"/>
      <c r="AP220" s="35"/>
      <c r="AQ220" s="35"/>
      <c r="AR220" s="35"/>
      <c r="AS220" s="45">
        <f t="shared" si="52"/>
        <v>0</v>
      </c>
      <c r="AT220" s="45"/>
      <c r="AU220" s="35">
        <v>0</v>
      </c>
      <c r="AV220" s="35"/>
      <c r="AW220" s="35">
        <v>0</v>
      </c>
      <c r="AX220" s="35"/>
      <c r="AY220" s="35">
        <f t="shared" si="53"/>
        <v>0</v>
      </c>
      <c r="AZ220" s="35"/>
      <c r="BA220" s="35" t="s">
        <v>259</v>
      </c>
      <c r="BB220" s="55"/>
      <c r="BC220" s="35" t="s">
        <v>369</v>
      </c>
      <c r="BD220" s="35"/>
      <c r="BE220" s="35"/>
      <c r="BF220" s="35"/>
      <c r="BG220" s="35"/>
      <c r="BH220" s="35"/>
      <c r="BI220" s="35"/>
      <c r="BJ220" s="35"/>
      <c r="BK220" s="35"/>
      <c r="BL220" s="35"/>
      <c r="BM220" s="35">
        <f t="shared" si="54"/>
        <v>0</v>
      </c>
      <c r="BN220" s="54" t="s">
        <v>347</v>
      </c>
    </row>
    <row r="221" spans="1:66" ht="12.75" hidden="1" customHeight="1">
      <c r="A221" s="35" t="s">
        <v>261</v>
      </c>
      <c r="C221" s="35" t="s">
        <v>66</v>
      </c>
      <c r="D221" s="35"/>
      <c r="E221" s="35">
        <f t="shared" si="48"/>
        <v>0</v>
      </c>
      <c r="F221" s="35"/>
      <c r="G221" s="35"/>
      <c r="H221" s="35"/>
      <c r="I221" s="35"/>
      <c r="J221" s="35"/>
      <c r="K221" s="35">
        <f t="shared" si="49"/>
        <v>0</v>
      </c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>
        <f t="shared" si="55"/>
        <v>0</v>
      </c>
      <c r="X221" s="35"/>
      <c r="Y221" s="35" t="s">
        <v>261</v>
      </c>
      <c r="Z221" s="55"/>
      <c r="AA221" s="35" t="s">
        <v>66</v>
      </c>
      <c r="AB221" s="35"/>
      <c r="AC221" s="35"/>
      <c r="AD221" s="35"/>
      <c r="AE221" s="35"/>
      <c r="AF221" s="35"/>
      <c r="AG221" s="35"/>
      <c r="AH221" s="35"/>
      <c r="AI221" s="45">
        <f t="shared" si="51"/>
        <v>0</v>
      </c>
      <c r="AJ221" s="45"/>
      <c r="AK221" s="35"/>
      <c r="AL221" s="35"/>
      <c r="AM221" s="35"/>
      <c r="AN221" s="35"/>
      <c r="AO221" s="35"/>
      <c r="AP221" s="35"/>
      <c r="AQ221" s="35"/>
      <c r="AR221" s="35"/>
      <c r="AS221" s="45">
        <f t="shared" si="52"/>
        <v>0</v>
      </c>
      <c r="AT221" s="45"/>
      <c r="AU221" s="35">
        <v>0</v>
      </c>
      <c r="AV221" s="35"/>
      <c r="AW221" s="35">
        <v>0</v>
      </c>
      <c r="AX221" s="35"/>
      <c r="AY221" s="35">
        <f t="shared" si="53"/>
        <v>0</v>
      </c>
      <c r="AZ221" s="35"/>
      <c r="BA221" s="35" t="s">
        <v>261</v>
      </c>
      <c r="BB221" s="55"/>
      <c r="BC221" s="35" t="s">
        <v>66</v>
      </c>
      <c r="BD221" s="35"/>
      <c r="BE221" s="35"/>
      <c r="BF221" s="35"/>
      <c r="BG221" s="35"/>
      <c r="BH221" s="35"/>
      <c r="BI221" s="35"/>
      <c r="BJ221" s="35"/>
      <c r="BK221" s="35"/>
      <c r="BL221" s="35"/>
      <c r="BM221" s="35">
        <f t="shared" si="54"/>
        <v>0</v>
      </c>
      <c r="BN221" s="54" t="s">
        <v>347</v>
      </c>
    </row>
    <row r="222" spans="1:66" ht="12.75" hidden="1" customHeight="1">
      <c r="A222" s="35" t="s">
        <v>262</v>
      </c>
      <c r="C222" s="35" t="s">
        <v>132</v>
      </c>
      <c r="D222" s="35"/>
      <c r="E222" s="35">
        <f t="shared" si="48"/>
        <v>0</v>
      </c>
      <c r="F222" s="35"/>
      <c r="G222" s="35"/>
      <c r="H222" s="35"/>
      <c r="I222" s="35"/>
      <c r="J222" s="35"/>
      <c r="K222" s="35">
        <f t="shared" si="49"/>
        <v>0</v>
      </c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>
        <f t="shared" si="55"/>
        <v>0</v>
      </c>
      <c r="X222" s="35"/>
      <c r="Y222" s="35" t="s">
        <v>262</v>
      </c>
      <c r="Z222" s="55"/>
      <c r="AA222" s="35" t="s">
        <v>132</v>
      </c>
      <c r="AB222" s="35"/>
      <c r="AC222" s="35"/>
      <c r="AD222" s="35"/>
      <c r="AE222" s="35"/>
      <c r="AF222" s="35"/>
      <c r="AG222" s="35"/>
      <c r="AH222" s="35"/>
      <c r="AI222" s="45">
        <f t="shared" si="51"/>
        <v>0</v>
      </c>
      <c r="AJ222" s="45"/>
      <c r="AK222" s="35"/>
      <c r="AL222" s="35"/>
      <c r="AM222" s="35"/>
      <c r="AN222" s="35"/>
      <c r="AO222" s="35"/>
      <c r="AP222" s="35"/>
      <c r="AQ222" s="35"/>
      <c r="AR222" s="35"/>
      <c r="AS222" s="45">
        <f t="shared" si="52"/>
        <v>0</v>
      </c>
      <c r="AT222" s="45"/>
      <c r="AU222" s="35">
        <v>0</v>
      </c>
      <c r="AV222" s="35"/>
      <c r="AW222" s="35">
        <v>0</v>
      </c>
      <c r="AX222" s="35"/>
      <c r="AY222" s="35">
        <f t="shared" si="53"/>
        <v>0</v>
      </c>
      <c r="AZ222" s="35"/>
      <c r="BA222" s="35" t="s">
        <v>262</v>
      </c>
      <c r="BB222" s="55"/>
      <c r="BC222" s="35" t="s">
        <v>132</v>
      </c>
      <c r="BD222" s="35"/>
      <c r="BE222" s="35"/>
      <c r="BF222" s="35"/>
      <c r="BG222" s="35"/>
      <c r="BH222" s="35"/>
      <c r="BI222" s="35"/>
      <c r="BJ222" s="35"/>
      <c r="BK222" s="35"/>
      <c r="BL222" s="35"/>
      <c r="BM222" s="35">
        <f t="shared" si="54"/>
        <v>0</v>
      </c>
      <c r="BN222" s="54" t="s">
        <v>347</v>
      </c>
    </row>
    <row r="223" spans="1:66" ht="12.75" hidden="1" customHeight="1">
      <c r="A223" s="35" t="s">
        <v>263</v>
      </c>
      <c r="C223" s="35" t="s">
        <v>53</v>
      </c>
      <c r="D223" s="35"/>
      <c r="E223" s="35">
        <f t="shared" si="48"/>
        <v>0</v>
      </c>
      <c r="F223" s="35"/>
      <c r="G223" s="35"/>
      <c r="H223" s="35"/>
      <c r="I223" s="35"/>
      <c r="J223" s="35"/>
      <c r="K223" s="35">
        <f t="shared" si="49"/>
        <v>0</v>
      </c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>
        <f t="shared" si="55"/>
        <v>0</v>
      </c>
      <c r="X223" s="35"/>
      <c r="Y223" s="35" t="s">
        <v>263</v>
      </c>
      <c r="Z223" s="55"/>
      <c r="AA223" s="35" t="s">
        <v>53</v>
      </c>
      <c r="AB223" s="35"/>
      <c r="AC223" s="35"/>
      <c r="AD223" s="35"/>
      <c r="AE223" s="35"/>
      <c r="AF223" s="35"/>
      <c r="AG223" s="35"/>
      <c r="AH223" s="35"/>
      <c r="AI223" s="45">
        <f t="shared" si="51"/>
        <v>0</v>
      </c>
      <c r="AJ223" s="45"/>
      <c r="AK223" s="35"/>
      <c r="AL223" s="35"/>
      <c r="AM223" s="35"/>
      <c r="AN223" s="35"/>
      <c r="AO223" s="35"/>
      <c r="AP223" s="35"/>
      <c r="AQ223" s="35"/>
      <c r="AR223" s="35"/>
      <c r="AS223" s="45">
        <f t="shared" si="52"/>
        <v>0</v>
      </c>
      <c r="AT223" s="45"/>
      <c r="AU223" s="35">
        <v>0</v>
      </c>
      <c r="AV223" s="35"/>
      <c r="AW223" s="35">
        <v>0</v>
      </c>
      <c r="AX223" s="35"/>
      <c r="AY223" s="35">
        <f t="shared" si="53"/>
        <v>0</v>
      </c>
      <c r="AZ223" s="35"/>
      <c r="BA223" s="35" t="s">
        <v>263</v>
      </c>
      <c r="BB223" s="55"/>
      <c r="BC223" s="35" t="s">
        <v>53</v>
      </c>
      <c r="BD223" s="35"/>
      <c r="BE223" s="35"/>
      <c r="BF223" s="35"/>
      <c r="BG223" s="35"/>
      <c r="BH223" s="35"/>
      <c r="BI223" s="35"/>
      <c r="BJ223" s="35"/>
      <c r="BK223" s="35"/>
      <c r="BL223" s="35"/>
      <c r="BM223" s="35">
        <f t="shared" si="54"/>
        <v>0</v>
      </c>
      <c r="BN223" s="54" t="s">
        <v>347</v>
      </c>
    </row>
    <row r="224" spans="1:66" ht="12.75" customHeight="1">
      <c r="A224" s="55" t="s">
        <v>263</v>
      </c>
      <c r="C224" s="55" t="s">
        <v>53</v>
      </c>
      <c r="E224" s="35">
        <f t="shared" si="48"/>
        <v>7713656</v>
      </c>
      <c r="F224" s="35"/>
      <c r="G224" s="35">
        <v>25140507</v>
      </c>
      <c r="H224" s="35"/>
      <c r="I224" s="35">
        <v>32854163</v>
      </c>
      <c r="J224" s="35"/>
      <c r="K224" s="35">
        <f t="shared" si="49"/>
        <v>5438332</v>
      </c>
      <c r="L224" s="35"/>
      <c r="M224" s="35">
        <v>8966876</v>
      </c>
      <c r="N224" s="35"/>
      <c r="O224" s="35">
        <v>14405208</v>
      </c>
      <c r="P224" s="35"/>
      <c r="Q224" s="35">
        <v>13297970</v>
      </c>
      <c r="R224" s="35"/>
      <c r="S224" s="35">
        <v>0</v>
      </c>
      <c r="T224" s="35"/>
      <c r="U224" s="35">
        <v>5150985</v>
      </c>
      <c r="V224" s="35"/>
      <c r="W224" s="35">
        <f t="shared" si="55"/>
        <v>18448955</v>
      </c>
      <c r="Y224" s="55" t="s">
        <v>263</v>
      </c>
      <c r="Z224" s="55"/>
      <c r="AA224" s="55" t="s">
        <v>53</v>
      </c>
      <c r="AC224" s="35">
        <v>27762640</v>
      </c>
      <c r="AD224" s="35"/>
      <c r="AE224" s="35">
        <f>25233129-1455259</f>
        <v>23777870</v>
      </c>
      <c r="AF224" s="35"/>
      <c r="AG224" s="35">
        <v>1455259</v>
      </c>
      <c r="AH224" s="35"/>
      <c r="AI224" s="45">
        <f t="shared" si="51"/>
        <v>2529511</v>
      </c>
      <c r="AJ224" s="45"/>
      <c r="AK224" s="35">
        <v>-680495</v>
      </c>
      <c r="AL224" s="35"/>
      <c r="AM224" s="35">
        <v>0</v>
      </c>
      <c r="AN224" s="35"/>
      <c r="AO224" s="35">
        <v>0</v>
      </c>
      <c r="AP224" s="35"/>
      <c r="AQ224" s="35">
        <v>0</v>
      </c>
      <c r="AR224" s="35"/>
      <c r="AS224" s="45">
        <f t="shared" si="52"/>
        <v>1849016</v>
      </c>
      <c r="AT224" s="45"/>
      <c r="AU224" s="35">
        <v>0</v>
      </c>
      <c r="AV224" s="35"/>
      <c r="AW224" s="35">
        <v>0</v>
      </c>
      <c r="AX224" s="35"/>
      <c r="AY224" s="35">
        <f t="shared" si="53"/>
        <v>2275324</v>
      </c>
      <c r="AZ224" s="53"/>
      <c r="BA224" s="55" t="s">
        <v>263</v>
      </c>
      <c r="BB224" s="55"/>
      <c r="BC224" s="55" t="s">
        <v>53</v>
      </c>
      <c r="BE224" s="35">
        <v>8674583</v>
      </c>
      <c r="BF224" s="35"/>
      <c r="BG224" s="35">
        <v>0</v>
      </c>
      <c r="BH224" s="35"/>
      <c r="BI224" s="35">
        <v>0</v>
      </c>
      <c r="BJ224" s="35"/>
      <c r="BK224" s="35">
        <v>0</v>
      </c>
      <c r="BL224" s="35"/>
      <c r="BM224" s="35">
        <f t="shared" si="54"/>
        <v>8674583</v>
      </c>
      <c r="BN224" s="35"/>
    </row>
    <row r="225" spans="1:67" ht="12.75" customHeight="1">
      <c r="A225" s="35" t="s">
        <v>264</v>
      </c>
      <c r="B225" s="55"/>
      <c r="C225" s="35" t="s">
        <v>239</v>
      </c>
      <c r="D225" s="35"/>
      <c r="E225" s="35">
        <f t="shared" si="48"/>
        <v>15231212</v>
      </c>
      <c r="F225" s="35"/>
      <c r="G225" s="35">
        <v>7078748</v>
      </c>
      <c r="H225" s="35"/>
      <c r="I225" s="35">
        <v>22309960</v>
      </c>
      <c r="J225" s="35"/>
      <c r="K225" s="35">
        <f t="shared" si="49"/>
        <v>1400499</v>
      </c>
      <c r="L225" s="35"/>
      <c r="M225" s="35">
        <v>185722</v>
      </c>
      <c r="N225" s="35"/>
      <c r="O225" s="35">
        <v>1586221</v>
      </c>
      <c r="P225" s="35"/>
      <c r="Q225" s="35">
        <v>6964975</v>
      </c>
      <c r="R225" s="35"/>
      <c r="S225" s="35">
        <v>0</v>
      </c>
      <c r="T225" s="35"/>
      <c r="U225" s="35">
        <v>13758764</v>
      </c>
      <c r="V225" s="35"/>
      <c r="W225" s="35">
        <f t="shared" si="55"/>
        <v>20723739</v>
      </c>
      <c r="X225" s="35"/>
      <c r="Y225" s="35" t="s">
        <v>264</v>
      </c>
      <c r="Z225" s="55"/>
      <c r="AA225" s="35" t="s">
        <v>239</v>
      </c>
      <c r="AB225" s="35"/>
      <c r="AC225" s="35">
        <v>14697273</v>
      </c>
      <c r="AD225" s="35"/>
      <c r="AE225" s="35">
        <f>14458085-264826</f>
        <v>14193259</v>
      </c>
      <c r="AF225" s="35"/>
      <c r="AG225" s="35">
        <v>264826</v>
      </c>
      <c r="AH225" s="35"/>
      <c r="AI225" s="45">
        <f t="shared" si="51"/>
        <v>239188</v>
      </c>
      <c r="AJ225" s="45"/>
      <c r="AK225" s="35">
        <v>54573</v>
      </c>
      <c r="AL225" s="35"/>
      <c r="AM225" s="35">
        <v>650000</v>
      </c>
      <c r="AN225" s="35"/>
      <c r="AO225" s="35">
        <v>-33086</v>
      </c>
      <c r="AP225" s="35"/>
      <c r="AQ225" s="35">
        <v>0</v>
      </c>
      <c r="AR225" s="35"/>
      <c r="AS225" s="45">
        <f t="shared" si="52"/>
        <v>976847</v>
      </c>
      <c r="AT225" s="45"/>
      <c r="AU225" s="35">
        <v>0</v>
      </c>
      <c r="AV225" s="35"/>
      <c r="AW225" s="35">
        <v>0</v>
      </c>
      <c r="AX225" s="35"/>
      <c r="AY225" s="35">
        <f t="shared" si="53"/>
        <v>13830713</v>
      </c>
      <c r="AZ225" s="35"/>
      <c r="BA225" s="35" t="s">
        <v>264</v>
      </c>
      <c r="BB225" s="55"/>
      <c r="BC225" s="35" t="s">
        <v>239</v>
      </c>
      <c r="BD225" s="35"/>
      <c r="BE225" s="35">
        <v>0</v>
      </c>
      <c r="BF225" s="35"/>
      <c r="BG225" s="35">
        <v>0</v>
      </c>
      <c r="BH225" s="35"/>
      <c r="BI225" s="35">
        <v>0</v>
      </c>
      <c r="BJ225" s="35"/>
      <c r="BK225" s="35">
        <v>0</v>
      </c>
      <c r="BL225" s="35"/>
      <c r="BM225" s="35">
        <f t="shared" si="54"/>
        <v>0</v>
      </c>
      <c r="BN225" s="54" t="s">
        <v>347</v>
      </c>
    </row>
    <row r="226" spans="1:67" ht="12.75" hidden="1" customHeight="1">
      <c r="A226" s="35" t="s">
        <v>111</v>
      </c>
      <c r="C226" s="44" t="s">
        <v>80</v>
      </c>
      <c r="D226" s="44"/>
      <c r="E226" s="35">
        <f t="shared" si="48"/>
        <v>0</v>
      </c>
      <c r="F226" s="35"/>
      <c r="G226" s="35"/>
      <c r="H226" s="35"/>
      <c r="I226" s="35"/>
      <c r="J226" s="35"/>
      <c r="K226" s="35">
        <f t="shared" si="49"/>
        <v>0</v>
      </c>
      <c r="L226" s="35"/>
      <c r="M226" s="35">
        <v>0</v>
      </c>
      <c r="N226" s="35"/>
      <c r="O226" s="35"/>
      <c r="P226" s="35"/>
      <c r="Q226" s="35"/>
      <c r="R226" s="35"/>
      <c r="S226" s="35">
        <v>0</v>
      </c>
      <c r="T226" s="35"/>
      <c r="U226" s="35"/>
      <c r="V226" s="35"/>
      <c r="W226" s="35">
        <f t="shared" si="55"/>
        <v>0</v>
      </c>
      <c r="X226" s="35"/>
      <c r="Y226" s="35" t="s">
        <v>111</v>
      </c>
      <c r="Z226" s="55"/>
      <c r="AA226" s="44" t="s">
        <v>80</v>
      </c>
      <c r="AB226" s="44"/>
      <c r="AC226" s="35">
        <v>0</v>
      </c>
      <c r="AD226" s="35"/>
      <c r="AE226" s="35">
        <v>0</v>
      </c>
      <c r="AF226" s="35"/>
      <c r="AG226" s="35">
        <v>0</v>
      </c>
      <c r="AH226" s="35"/>
      <c r="AI226" s="45">
        <f t="shared" si="51"/>
        <v>0</v>
      </c>
      <c r="AJ226" s="45"/>
      <c r="AK226" s="35"/>
      <c r="AL226" s="35"/>
      <c r="AM226" s="35">
        <v>0</v>
      </c>
      <c r="AN226" s="35"/>
      <c r="AO226" s="35">
        <v>0</v>
      </c>
      <c r="AP226" s="35"/>
      <c r="AQ226" s="35">
        <v>0</v>
      </c>
      <c r="AR226" s="35"/>
      <c r="AS226" s="45">
        <f t="shared" si="52"/>
        <v>0</v>
      </c>
      <c r="AT226" s="45"/>
      <c r="AU226" s="35">
        <v>0</v>
      </c>
      <c r="AV226" s="35"/>
      <c r="AW226" s="35">
        <v>0</v>
      </c>
      <c r="AX226" s="35"/>
      <c r="AY226" s="35">
        <f t="shared" si="53"/>
        <v>0</v>
      </c>
      <c r="AZ226" s="35"/>
      <c r="BA226" s="35" t="s">
        <v>111</v>
      </c>
      <c r="BB226" s="55"/>
      <c r="BC226" s="44" t="s">
        <v>80</v>
      </c>
      <c r="BD226" s="44"/>
      <c r="BE226" s="35"/>
      <c r="BF226" s="35"/>
      <c r="BG226" s="35"/>
      <c r="BH226" s="35"/>
      <c r="BI226" s="35"/>
      <c r="BJ226" s="35"/>
      <c r="BK226" s="35"/>
      <c r="BL226" s="35"/>
      <c r="BM226" s="35">
        <f t="shared" si="54"/>
        <v>0</v>
      </c>
      <c r="BN226" s="54" t="s">
        <v>347</v>
      </c>
    </row>
    <row r="227" spans="1:67" ht="12.75" hidden="1" customHeight="1">
      <c r="A227" s="35" t="s">
        <v>265</v>
      </c>
      <c r="C227" s="44" t="s">
        <v>27</v>
      </c>
      <c r="D227" s="44"/>
      <c r="E227" s="35">
        <f t="shared" si="48"/>
        <v>0</v>
      </c>
      <c r="F227" s="35"/>
      <c r="G227" s="35"/>
      <c r="H227" s="35"/>
      <c r="I227" s="35"/>
      <c r="J227" s="35"/>
      <c r="K227" s="35">
        <f t="shared" si="49"/>
        <v>0</v>
      </c>
      <c r="L227" s="35"/>
      <c r="M227" s="35">
        <v>0</v>
      </c>
      <c r="N227" s="35"/>
      <c r="O227" s="35"/>
      <c r="P227" s="35"/>
      <c r="Q227" s="35"/>
      <c r="R227" s="35"/>
      <c r="S227" s="35">
        <v>0</v>
      </c>
      <c r="T227" s="35"/>
      <c r="U227" s="35"/>
      <c r="V227" s="35"/>
      <c r="W227" s="35">
        <f t="shared" si="55"/>
        <v>0</v>
      </c>
      <c r="X227" s="35"/>
      <c r="Y227" s="35" t="s">
        <v>265</v>
      </c>
      <c r="Z227" s="55"/>
      <c r="AA227" s="44" t="s">
        <v>27</v>
      </c>
      <c r="AB227" s="44"/>
      <c r="AC227" s="35">
        <v>0</v>
      </c>
      <c r="AD227" s="35"/>
      <c r="AE227" s="35">
        <v>0</v>
      </c>
      <c r="AF227" s="35"/>
      <c r="AG227" s="35">
        <v>0</v>
      </c>
      <c r="AH227" s="35"/>
      <c r="AI227" s="45">
        <f t="shared" si="51"/>
        <v>0</v>
      </c>
      <c r="AJ227" s="45"/>
      <c r="AK227" s="35"/>
      <c r="AL227" s="35"/>
      <c r="AM227" s="35">
        <v>0</v>
      </c>
      <c r="AN227" s="35"/>
      <c r="AO227" s="35">
        <v>0</v>
      </c>
      <c r="AP227" s="35"/>
      <c r="AQ227" s="35">
        <v>0</v>
      </c>
      <c r="AR227" s="35"/>
      <c r="AS227" s="45">
        <f t="shared" si="52"/>
        <v>0</v>
      </c>
      <c r="AT227" s="45"/>
      <c r="AU227" s="35">
        <v>0</v>
      </c>
      <c r="AV227" s="35"/>
      <c r="AW227" s="35">
        <v>0</v>
      </c>
      <c r="AX227" s="35"/>
      <c r="AY227" s="35">
        <f t="shared" si="53"/>
        <v>0</v>
      </c>
      <c r="AZ227" s="35"/>
      <c r="BA227" s="35" t="s">
        <v>265</v>
      </c>
      <c r="BB227" s="55"/>
      <c r="BC227" s="44" t="s">
        <v>27</v>
      </c>
      <c r="BD227" s="44"/>
      <c r="BE227" s="35"/>
      <c r="BF227" s="35"/>
      <c r="BG227" s="35"/>
      <c r="BH227" s="35"/>
      <c r="BI227" s="35"/>
      <c r="BJ227" s="35"/>
      <c r="BK227" s="35"/>
      <c r="BL227" s="35"/>
      <c r="BM227" s="35">
        <f t="shared" si="54"/>
        <v>0</v>
      </c>
      <c r="BN227" s="54" t="s">
        <v>347</v>
      </c>
    </row>
    <row r="228" spans="1:67" ht="12.75" hidden="1" customHeight="1">
      <c r="A228" s="35" t="s">
        <v>40</v>
      </c>
      <c r="C228" s="47" t="s">
        <v>451</v>
      </c>
      <c r="D228" s="35"/>
      <c r="E228" s="35">
        <f t="shared" si="48"/>
        <v>0</v>
      </c>
      <c r="F228" s="35"/>
      <c r="G228" s="35"/>
      <c r="H228" s="35"/>
      <c r="I228" s="35"/>
      <c r="J228" s="35"/>
      <c r="K228" s="35">
        <f t="shared" si="49"/>
        <v>0</v>
      </c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>
        <f t="shared" si="55"/>
        <v>0</v>
      </c>
      <c r="X228" s="35"/>
      <c r="Y228" s="35" t="s">
        <v>40</v>
      </c>
      <c r="Z228" s="55"/>
      <c r="AA228" s="47" t="s">
        <v>451</v>
      </c>
      <c r="AB228" s="35"/>
      <c r="AC228" s="35"/>
      <c r="AD228" s="35"/>
      <c r="AE228" s="35"/>
      <c r="AF228" s="35"/>
      <c r="AG228" s="35"/>
      <c r="AH228" s="35"/>
      <c r="AI228" s="45">
        <f t="shared" si="51"/>
        <v>0</v>
      </c>
      <c r="AJ228" s="45"/>
      <c r="AK228" s="35"/>
      <c r="AL228" s="35"/>
      <c r="AM228" s="35"/>
      <c r="AN228" s="35"/>
      <c r="AO228" s="35"/>
      <c r="AP228" s="35"/>
      <c r="AQ228" s="35"/>
      <c r="AR228" s="35"/>
      <c r="AS228" s="45">
        <f t="shared" si="52"/>
        <v>0</v>
      </c>
      <c r="AT228" s="45"/>
      <c r="AU228" s="35">
        <v>0</v>
      </c>
      <c r="AV228" s="35"/>
      <c r="AW228" s="35">
        <v>0</v>
      </c>
      <c r="AX228" s="35"/>
      <c r="AY228" s="35">
        <f t="shared" si="53"/>
        <v>0</v>
      </c>
      <c r="AZ228" s="35"/>
      <c r="BA228" s="35" t="s">
        <v>40</v>
      </c>
      <c r="BB228" s="55"/>
      <c r="BC228" s="47" t="s">
        <v>451</v>
      </c>
      <c r="BD228" s="35"/>
      <c r="BE228" s="35"/>
      <c r="BF228" s="35"/>
      <c r="BG228" s="35"/>
      <c r="BH228" s="35"/>
      <c r="BI228" s="35"/>
      <c r="BJ228" s="35"/>
      <c r="BK228" s="35"/>
      <c r="BL228" s="35"/>
      <c r="BM228" s="35">
        <f t="shared" si="54"/>
        <v>0</v>
      </c>
      <c r="BN228" s="54" t="s">
        <v>347</v>
      </c>
    </row>
    <row r="229" spans="1:67" ht="12.75" hidden="1" customHeight="1">
      <c r="A229" s="35" t="s">
        <v>266</v>
      </c>
      <c r="C229" s="35" t="s">
        <v>267</v>
      </c>
      <c r="D229" s="35"/>
      <c r="E229" s="35">
        <f t="shared" si="48"/>
        <v>0</v>
      </c>
      <c r="F229" s="35"/>
      <c r="G229" s="35"/>
      <c r="H229" s="35"/>
      <c r="I229" s="35"/>
      <c r="J229" s="35"/>
      <c r="K229" s="35">
        <f t="shared" si="49"/>
        <v>0</v>
      </c>
      <c r="L229" s="35"/>
      <c r="M229" s="35">
        <v>0</v>
      </c>
      <c r="N229" s="35"/>
      <c r="O229" s="35"/>
      <c r="P229" s="35"/>
      <c r="Q229" s="35"/>
      <c r="R229" s="35"/>
      <c r="S229" s="35">
        <v>0</v>
      </c>
      <c r="T229" s="35"/>
      <c r="U229" s="35"/>
      <c r="V229" s="35"/>
      <c r="W229" s="35">
        <v>0</v>
      </c>
      <c r="X229" s="35"/>
      <c r="Y229" s="35" t="s">
        <v>266</v>
      </c>
      <c r="Z229" s="55"/>
      <c r="AA229" s="35" t="s">
        <v>267</v>
      </c>
      <c r="AB229" s="35"/>
      <c r="AC229" s="35">
        <v>0</v>
      </c>
      <c r="AD229" s="35"/>
      <c r="AE229" s="35">
        <v>0</v>
      </c>
      <c r="AF229" s="35"/>
      <c r="AG229" s="35">
        <v>0</v>
      </c>
      <c r="AH229" s="35"/>
      <c r="AI229" s="45">
        <f t="shared" si="51"/>
        <v>0</v>
      </c>
      <c r="AJ229" s="45"/>
      <c r="AK229" s="35"/>
      <c r="AL229" s="35"/>
      <c r="AM229" s="35">
        <v>0</v>
      </c>
      <c r="AN229" s="35"/>
      <c r="AO229" s="35">
        <v>0</v>
      </c>
      <c r="AP229" s="35"/>
      <c r="AQ229" s="35">
        <v>0</v>
      </c>
      <c r="AR229" s="35"/>
      <c r="AS229" s="45">
        <f t="shared" si="52"/>
        <v>0</v>
      </c>
      <c r="AT229" s="45"/>
      <c r="AU229" s="35">
        <v>0</v>
      </c>
      <c r="AV229" s="35"/>
      <c r="AW229" s="35">
        <v>0</v>
      </c>
      <c r="AX229" s="35"/>
      <c r="AY229" s="35">
        <f t="shared" si="53"/>
        <v>0</v>
      </c>
      <c r="AZ229" s="35"/>
      <c r="BA229" s="35" t="s">
        <v>266</v>
      </c>
      <c r="BB229" s="55"/>
      <c r="BC229" s="35" t="s">
        <v>267</v>
      </c>
      <c r="BD229" s="35"/>
      <c r="BE229" s="35"/>
      <c r="BF229" s="35"/>
      <c r="BG229" s="35"/>
      <c r="BH229" s="35"/>
      <c r="BI229" s="35"/>
      <c r="BJ229" s="35"/>
      <c r="BK229" s="35"/>
      <c r="BL229" s="35"/>
      <c r="BM229" s="35">
        <f t="shared" si="54"/>
        <v>0</v>
      </c>
      <c r="BN229" s="54" t="s">
        <v>347</v>
      </c>
    </row>
    <row r="230" spans="1:67" ht="12.75" hidden="1" customHeight="1">
      <c r="A230" s="35" t="s">
        <v>268</v>
      </c>
      <c r="C230" s="35" t="s">
        <v>269</v>
      </c>
      <c r="D230" s="35"/>
      <c r="E230" s="35">
        <f t="shared" si="48"/>
        <v>0</v>
      </c>
      <c r="F230" s="35"/>
      <c r="G230" s="35"/>
      <c r="H230" s="35"/>
      <c r="I230" s="35"/>
      <c r="J230" s="35"/>
      <c r="K230" s="35">
        <f t="shared" si="49"/>
        <v>0</v>
      </c>
      <c r="L230" s="35"/>
      <c r="M230" s="35">
        <v>0</v>
      </c>
      <c r="N230" s="35"/>
      <c r="O230" s="35"/>
      <c r="P230" s="35"/>
      <c r="Q230" s="35"/>
      <c r="R230" s="35"/>
      <c r="S230" s="35">
        <v>0</v>
      </c>
      <c r="T230" s="35"/>
      <c r="U230" s="35"/>
      <c r="V230" s="35"/>
      <c r="W230" s="35">
        <f t="shared" ref="W230:W247" si="56">SUM(Q230:U230)</f>
        <v>0</v>
      </c>
      <c r="X230" s="35"/>
      <c r="Y230" s="35" t="s">
        <v>268</v>
      </c>
      <c r="Z230" s="55"/>
      <c r="AA230" s="35" t="s">
        <v>269</v>
      </c>
      <c r="AB230" s="35"/>
      <c r="AC230" s="35">
        <v>0</v>
      </c>
      <c r="AD230" s="35"/>
      <c r="AE230" s="35">
        <v>0</v>
      </c>
      <c r="AF230" s="35"/>
      <c r="AG230" s="35">
        <v>0</v>
      </c>
      <c r="AH230" s="35"/>
      <c r="AI230" s="45">
        <v>0</v>
      </c>
      <c r="AJ230" s="45"/>
      <c r="AK230" s="35"/>
      <c r="AL230" s="35"/>
      <c r="AM230" s="35">
        <v>0</v>
      </c>
      <c r="AN230" s="35"/>
      <c r="AO230" s="35">
        <v>0</v>
      </c>
      <c r="AP230" s="35"/>
      <c r="AQ230" s="35">
        <v>0</v>
      </c>
      <c r="AR230" s="35"/>
      <c r="AS230" s="45">
        <f t="shared" si="52"/>
        <v>0</v>
      </c>
      <c r="AT230" s="45"/>
      <c r="AU230" s="35">
        <v>0</v>
      </c>
      <c r="AV230" s="35"/>
      <c r="AW230" s="35">
        <v>0</v>
      </c>
      <c r="AX230" s="35"/>
      <c r="AY230" s="35">
        <f t="shared" si="53"/>
        <v>0</v>
      </c>
      <c r="AZ230" s="35"/>
      <c r="BA230" s="35" t="s">
        <v>268</v>
      </c>
      <c r="BB230" s="55"/>
      <c r="BC230" s="35" t="s">
        <v>269</v>
      </c>
      <c r="BD230" s="35"/>
      <c r="BE230" s="35"/>
      <c r="BF230" s="35"/>
      <c r="BG230" s="35"/>
      <c r="BH230" s="35"/>
      <c r="BI230" s="35"/>
      <c r="BJ230" s="35"/>
      <c r="BK230" s="35"/>
      <c r="BL230" s="35"/>
      <c r="BM230" s="35">
        <v>0</v>
      </c>
      <c r="BN230" s="54" t="s">
        <v>347</v>
      </c>
    </row>
    <row r="231" spans="1:67" ht="12.75" hidden="1" customHeight="1">
      <c r="A231" s="35" t="s">
        <v>270</v>
      </c>
      <c r="C231" s="35" t="s">
        <v>136</v>
      </c>
      <c r="D231" s="35"/>
      <c r="E231" s="35">
        <f t="shared" si="48"/>
        <v>0</v>
      </c>
      <c r="F231" s="35"/>
      <c r="G231" s="35"/>
      <c r="H231" s="35"/>
      <c r="I231" s="35"/>
      <c r="J231" s="35"/>
      <c r="K231" s="35">
        <f t="shared" si="49"/>
        <v>0</v>
      </c>
      <c r="L231" s="35"/>
      <c r="M231" s="35">
        <v>0</v>
      </c>
      <c r="N231" s="35"/>
      <c r="O231" s="35"/>
      <c r="P231" s="35"/>
      <c r="Q231" s="35"/>
      <c r="R231" s="35"/>
      <c r="S231" s="35">
        <v>0</v>
      </c>
      <c r="T231" s="35"/>
      <c r="U231" s="35"/>
      <c r="V231" s="35"/>
      <c r="W231" s="35">
        <f t="shared" si="56"/>
        <v>0</v>
      </c>
      <c r="X231" s="35"/>
      <c r="Y231" s="35" t="s">
        <v>270</v>
      </c>
      <c r="Z231" s="55"/>
      <c r="AA231" s="35" t="s">
        <v>136</v>
      </c>
      <c r="AB231" s="35"/>
      <c r="AC231" s="35">
        <v>0</v>
      </c>
      <c r="AD231" s="35"/>
      <c r="AE231" s="35">
        <v>0</v>
      </c>
      <c r="AF231" s="35"/>
      <c r="AG231" s="35">
        <v>0</v>
      </c>
      <c r="AH231" s="35"/>
      <c r="AI231" s="45">
        <f>+AC231-AE231-AG231</f>
        <v>0</v>
      </c>
      <c r="AJ231" s="45"/>
      <c r="AK231" s="35"/>
      <c r="AL231" s="35"/>
      <c r="AM231" s="35">
        <v>0</v>
      </c>
      <c r="AN231" s="35"/>
      <c r="AO231" s="35">
        <v>0</v>
      </c>
      <c r="AP231" s="35"/>
      <c r="AQ231" s="35">
        <v>0</v>
      </c>
      <c r="AR231" s="35"/>
      <c r="AS231" s="45">
        <f t="shared" si="52"/>
        <v>0</v>
      </c>
      <c r="AT231" s="45"/>
      <c r="AU231" s="35">
        <v>0</v>
      </c>
      <c r="AV231" s="35"/>
      <c r="AW231" s="35">
        <v>0</v>
      </c>
      <c r="AX231" s="35"/>
      <c r="AY231" s="35">
        <f t="shared" si="53"/>
        <v>0</v>
      </c>
      <c r="AZ231" s="35"/>
      <c r="BA231" s="35" t="s">
        <v>270</v>
      </c>
      <c r="BB231" s="55"/>
      <c r="BC231" s="35" t="s">
        <v>136</v>
      </c>
      <c r="BD231" s="35"/>
      <c r="BE231" s="35"/>
      <c r="BF231" s="35"/>
      <c r="BG231" s="35"/>
      <c r="BH231" s="35"/>
      <c r="BI231" s="35"/>
      <c r="BJ231" s="35"/>
      <c r="BK231" s="35"/>
      <c r="BL231" s="35"/>
      <c r="BM231" s="35">
        <f t="shared" ref="BM231:BM247" si="57">SUM(BE231:BK231)</f>
        <v>0</v>
      </c>
      <c r="BN231" s="54" t="s">
        <v>347</v>
      </c>
    </row>
    <row r="232" spans="1:67" ht="12.75" hidden="1" customHeight="1">
      <c r="A232" s="35" t="s">
        <v>271</v>
      </c>
      <c r="C232" s="35" t="s">
        <v>66</v>
      </c>
      <c r="D232" s="35"/>
      <c r="E232" s="35">
        <f t="shared" si="48"/>
        <v>0</v>
      </c>
      <c r="F232" s="35"/>
      <c r="G232" s="35"/>
      <c r="H232" s="35"/>
      <c r="I232" s="35"/>
      <c r="J232" s="35"/>
      <c r="K232" s="35">
        <f t="shared" si="49"/>
        <v>0</v>
      </c>
      <c r="L232" s="35"/>
      <c r="M232" s="35">
        <v>0</v>
      </c>
      <c r="N232" s="35"/>
      <c r="O232" s="35"/>
      <c r="P232" s="35"/>
      <c r="Q232" s="35"/>
      <c r="R232" s="35"/>
      <c r="S232" s="35">
        <v>0</v>
      </c>
      <c r="T232" s="35"/>
      <c r="U232" s="35"/>
      <c r="V232" s="35"/>
      <c r="W232" s="35">
        <f t="shared" si="56"/>
        <v>0</v>
      </c>
      <c r="X232" s="35"/>
      <c r="Y232" s="35" t="s">
        <v>271</v>
      </c>
      <c r="Z232" s="55"/>
      <c r="AA232" s="35" t="s">
        <v>66</v>
      </c>
      <c r="AB232" s="35"/>
      <c r="AC232" s="35">
        <v>0</v>
      </c>
      <c r="AD232" s="35"/>
      <c r="AE232" s="35">
        <v>0</v>
      </c>
      <c r="AF232" s="35"/>
      <c r="AG232" s="35">
        <v>0</v>
      </c>
      <c r="AH232" s="35"/>
      <c r="AI232" s="45">
        <f>+AC232-AE232-AG232</f>
        <v>0</v>
      </c>
      <c r="AJ232" s="45"/>
      <c r="AK232" s="35"/>
      <c r="AL232" s="35"/>
      <c r="AM232" s="35">
        <v>0</v>
      </c>
      <c r="AN232" s="35"/>
      <c r="AO232" s="35">
        <v>0</v>
      </c>
      <c r="AP232" s="35"/>
      <c r="AQ232" s="35">
        <v>0</v>
      </c>
      <c r="AR232" s="35"/>
      <c r="AS232" s="45">
        <f t="shared" si="52"/>
        <v>0</v>
      </c>
      <c r="AT232" s="45"/>
      <c r="AU232" s="35">
        <v>0</v>
      </c>
      <c r="AV232" s="35"/>
      <c r="AW232" s="35">
        <v>0</v>
      </c>
      <c r="AX232" s="35"/>
      <c r="AY232" s="35">
        <f t="shared" si="53"/>
        <v>0</v>
      </c>
      <c r="AZ232" s="35"/>
      <c r="BA232" s="35" t="s">
        <v>271</v>
      </c>
      <c r="BB232" s="55"/>
      <c r="BC232" s="35" t="s">
        <v>66</v>
      </c>
      <c r="BD232" s="35"/>
      <c r="BE232" s="35"/>
      <c r="BF232" s="35"/>
      <c r="BG232" s="35"/>
      <c r="BH232" s="35"/>
      <c r="BI232" s="35"/>
      <c r="BJ232" s="35"/>
      <c r="BK232" s="35"/>
      <c r="BL232" s="35"/>
      <c r="BM232" s="35">
        <f t="shared" si="57"/>
        <v>0</v>
      </c>
      <c r="BN232" s="54" t="s">
        <v>347</v>
      </c>
    </row>
    <row r="233" spans="1:67" ht="12.75" customHeight="1">
      <c r="A233" s="35" t="s">
        <v>272</v>
      </c>
      <c r="C233" s="35" t="s">
        <v>43</v>
      </c>
      <c r="D233" s="35"/>
      <c r="E233" s="35">
        <f t="shared" si="48"/>
        <v>23747055</v>
      </c>
      <c r="F233" s="35"/>
      <c r="G233" s="35">
        <v>51267895</v>
      </c>
      <c r="H233" s="35"/>
      <c r="I233" s="35">
        <v>75014950</v>
      </c>
      <c r="J233" s="35"/>
      <c r="K233" s="35">
        <f t="shared" si="49"/>
        <v>4582339</v>
      </c>
      <c r="L233" s="35"/>
      <c r="M233" s="35">
        <v>19624032</v>
      </c>
      <c r="N233" s="35"/>
      <c r="O233" s="35">
        <v>24206371</v>
      </c>
      <c r="P233" s="35"/>
      <c r="Q233" s="35">
        <v>32283194</v>
      </c>
      <c r="R233" s="35"/>
      <c r="S233" s="35">
        <v>0</v>
      </c>
      <c r="T233" s="35"/>
      <c r="U233" s="35">
        <v>18525385</v>
      </c>
      <c r="V233" s="35"/>
      <c r="W233" s="35">
        <f t="shared" si="56"/>
        <v>50808579</v>
      </c>
      <c r="X233" s="35"/>
      <c r="Y233" s="35" t="s">
        <v>272</v>
      </c>
      <c r="Z233" s="55"/>
      <c r="AA233" s="35" t="s">
        <v>43</v>
      </c>
      <c r="AB233" s="35"/>
      <c r="AC233" s="35">
        <v>37384510</v>
      </c>
      <c r="AD233" s="35"/>
      <c r="AE233" s="35">
        <f>35774659-1909248</f>
        <v>33865411</v>
      </c>
      <c r="AF233" s="35"/>
      <c r="AG233" s="35">
        <v>1909248</v>
      </c>
      <c r="AH233" s="35"/>
      <c r="AI233" s="45">
        <f>+AC233-AE233-AG233</f>
        <v>1609851</v>
      </c>
      <c r="AJ233" s="45"/>
      <c r="AK233" s="35">
        <v>-1132550</v>
      </c>
      <c r="AL233" s="35"/>
      <c r="AM233" s="35">
        <v>38</v>
      </c>
      <c r="AN233" s="35"/>
      <c r="AO233" s="35">
        <v>0</v>
      </c>
      <c r="AP233" s="35"/>
      <c r="AQ233" s="35">
        <v>0</v>
      </c>
      <c r="AR233" s="35"/>
      <c r="AS233" s="45">
        <f t="shared" si="52"/>
        <v>477339</v>
      </c>
      <c r="AT233" s="45"/>
      <c r="AU233" s="35">
        <v>0</v>
      </c>
      <c r="AV233" s="35"/>
      <c r="AW233" s="35">
        <v>0</v>
      </c>
      <c r="AX233" s="35"/>
      <c r="AY233" s="35">
        <f t="shared" si="53"/>
        <v>19164716</v>
      </c>
      <c r="AZ233" s="35"/>
      <c r="BA233" s="35" t="s">
        <v>272</v>
      </c>
      <c r="BB233" s="55"/>
      <c r="BC233" s="35" t="s">
        <v>43</v>
      </c>
      <c r="BD233" s="35"/>
      <c r="BE233" s="35">
        <f>1460000+1105000+16390000</f>
        <v>18955000</v>
      </c>
      <c r="BF233" s="35"/>
      <c r="BG233" s="35">
        <v>0</v>
      </c>
      <c r="BH233" s="35"/>
      <c r="BI233" s="35">
        <v>0</v>
      </c>
      <c r="BJ233" s="35"/>
      <c r="BK233" s="35">
        <v>0</v>
      </c>
      <c r="BL233" s="35"/>
      <c r="BM233" s="35">
        <f t="shared" si="57"/>
        <v>18955000</v>
      </c>
      <c r="BN233" s="54" t="s">
        <v>347</v>
      </c>
    </row>
    <row r="234" spans="1:67" ht="12.75" hidden="1" customHeight="1">
      <c r="A234" s="35" t="s">
        <v>273</v>
      </c>
      <c r="C234" s="35" t="s">
        <v>27</v>
      </c>
      <c r="D234" s="35"/>
      <c r="E234" s="35">
        <f t="shared" si="48"/>
        <v>0</v>
      </c>
      <c r="F234" s="35"/>
      <c r="G234" s="35">
        <v>0</v>
      </c>
      <c r="H234" s="35"/>
      <c r="I234" s="35">
        <v>0</v>
      </c>
      <c r="J234" s="35"/>
      <c r="K234" s="35">
        <f t="shared" si="49"/>
        <v>0</v>
      </c>
      <c r="L234" s="35"/>
      <c r="M234" s="35">
        <v>0</v>
      </c>
      <c r="N234" s="35"/>
      <c r="O234" s="35">
        <v>0</v>
      </c>
      <c r="P234" s="35"/>
      <c r="Q234" s="35">
        <v>0</v>
      </c>
      <c r="R234" s="35"/>
      <c r="S234" s="35">
        <v>0</v>
      </c>
      <c r="T234" s="35"/>
      <c r="U234" s="35">
        <v>0</v>
      </c>
      <c r="V234" s="35"/>
      <c r="W234" s="35">
        <f t="shared" si="56"/>
        <v>0</v>
      </c>
      <c r="X234" s="35"/>
      <c r="Y234" s="35" t="s">
        <v>273</v>
      </c>
      <c r="Z234" s="55"/>
      <c r="AA234" s="35" t="s">
        <v>27</v>
      </c>
      <c r="AB234" s="35"/>
      <c r="AC234" s="35">
        <v>0</v>
      </c>
      <c r="AD234" s="35"/>
      <c r="AE234" s="35">
        <v>0</v>
      </c>
      <c r="AF234" s="35"/>
      <c r="AG234" s="35">
        <v>0</v>
      </c>
      <c r="AH234" s="35"/>
      <c r="AI234" s="45">
        <f>+AC234-AE234-AG234</f>
        <v>0</v>
      </c>
      <c r="AJ234" s="45"/>
      <c r="AK234" s="35">
        <v>0</v>
      </c>
      <c r="AL234" s="35"/>
      <c r="AM234" s="35">
        <v>0</v>
      </c>
      <c r="AN234" s="35"/>
      <c r="AO234" s="35">
        <v>0</v>
      </c>
      <c r="AP234" s="35"/>
      <c r="AQ234" s="35">
        <v>0</v>
      </c>
      <c r="AR234" s="35"/>
      <c r="AS234" s="45">
        <f t="shared" si="52"/>
        <v>0</v>
      </c>
      <c r="AT234" s="45"/>
      <c r="AU234" s="35">
        <v>0</v>
      </c>
      <c r="AV234" s="35"/>
      <c r="AW234" s="35">
        <v>0</v>
      </c>
      <c r="AX234" s="35"/>
      <c r="AY234" s="35">
        <f t="shared" si="53"/>
        <v>0</v>
      </c>
      <c r="AZ234" s="35"/>
      <c r="BA234" s="35" t="s">
        <v>273</v>
      </c>
      <c r="BB234" s="55"/>
      <c r="BC234" s="35" t="s">
        <v>27</v>
      </c>
      <c r="BD234" s="35"/>
      <c r="BE234" s="35"/>
      <c r="BF234" s="35"/>
      <c r="BG234" s="35"/>
      <c r="BH234" s="35"/>
      <c r="BI234" s="35"/>
      <c r="BJ234" s="35"/>
      <c r="BK234" s="35"/>
      <c r="BL234" s="35"/>
      <c r="BM234" s="35">
        <f t="shared" si="57"/>
        <v>0</v>
      </c>
      <c r="BN234" s="54" t="s">
        <v>347</v>
      </c>
    </row>
    <row r="235" spans="1:67" ht="12.75" hidden="1" customHeight="1">
      <c r="A235" s="35" t="s">
        <v>274</v>
      </c>
      <c r="C235" s="35" t="s">
        <v>43</v>
      </c>
      <c r="D235" s="35"/>
      <c r="E235" s="35">
        <f t="shared" si="48"/>
        <v>0</v>
      </c>
      <c r="F235" s="35"/>
      <c r="G235" s="35">
        <v>0</v>
      </c>
      <c r="H235" s="35"/>
      <c r="I235" s="35">
        <v>0</v>
      </c>
      <c r="J235" s="35"/>
      <c r="K235" s="35">
        <f t="shared" si="49"/>
        <v>0</v>
      </c>
      <c r="L235" s="35"/>
      <c r="M235" s="35">
        <v>0</v>
      </c>
      <c r="N235" s="35"/>
      <c r="O235" s="35">
        <v>0</v>
      </c>
      <c r="P235" s="35"/>
      <c r="Q235" s="35">
        <v>0</v>
      </c>
      <c r="R235" s="35"/>
      <c r="S235" s="35">
        <v>0</v>
      </c>
      <c r="T235" s="35"/>
      <c r="U235" s="35">
        <v>0</v>
      </c>
      <c r="V235" s="35"/>
      <c r="W235" s="35">
        <f t="shared" si="56"/>
        <v>0</v>
      </c>
      <c r="X235" s="35"/>
      <c r="Y235" s="35" t="s">
        <v>274</v>
      </c>
      <c r="Z235" s="55"/>
      <c r="AA235" s="35" t="s">
        <v>43</v>
      </c>
      <c r="AB235" s="35"/>
      <c r="AC235" s="35">
        <v>0</v>
      </c>
      <c r="AD235" s="35"/>
      <c r="AE235" s="35">
        <v>0</v>
      </c>
      <c r="AF235" s="35"/>
      <c r="AG235" s="35">
        <v>0</v>
      </c>
      <c r="AH235" s="35"/>
      <c r="AI235" s="45">
        <v>0</v>
      </c>
      <c r="AJ235" s="45"/>
      <c r="AK235" s="35">
        <v>0</v>
      </c>
      <c r="AL235" s="35"/>
      <c r="AM235" s="35">
        <v>0</v>
      </c>
      <c r="AN235" s="35"/>
      <c r="AO235" s="35">
        <v>0</v>
      </c>
      <c r="AP235" s="35"/>
      <c r="AQ235" s="35">
        <v>0</v>
      </c>
      <c r="AR235" s="35"/>
      <c r="AS235" s="45">
        <f t="shared" si="52"/>
        <v>0</v>
      </c>
      <c r="AT235" s="45"/>
      <c r="AU235" s="35">
        <v>0</v>
      </c>
      <c r="AV235" s="35"/>
      <c r="AW235" s="35">
        <v>0</v>
      </c>
      <c r="AX235" s="35"/>
      <c r="AY235" s="35">
        <f t="shared" si="53"/>
        <v>0</v>
      </c>
      <c r="AZ235" s="35"/>
      <c r="BA235" s="35" t="s">
        <v>274</v>
      </c>
      <c r="BB235" s="55"/>
      <c r="BC235" s="35" t="s">
        <v>43</v>
      </c>
      <c r="BD235" s="35"/>
      <c r="BE235" s="35"/>
      <c r="BF235" s="35"/>
      <c r="BG235" s="35"/>
      <c r="BH235" s="35"/>
      <c r="BI235" s="35"/>
      <c r="BJ235" s="35"/>
      <c r="BK235" s="35"/>
      <c r="BL235" s="35"/>
      <c r="BM235" s="35">
        <f t="shared" si="57"/>
        <v>0</v>
      </c>
      <c r="BN235" s="54" t="s">
        <v>347</v>
      </c>
    </row>
    <row r="236" spans="1:67" ht="12.75" hidden="1" customHeight="1">
      <c r="A236" s="35" t="s">
        <v>275</v>
      </c>
      <c r="C236" s="35" t="s">
        <v>92</v>
      </c>
      <c r="D236" s="35"/>
      <c r="E236" s="35">
        <f t="shared" si="48"/>
        <v>0</v>
      </c>
      <c r="F236" s="35"/>
      <c r="G236" s="35">
        <v>0</v>
      </c>
      <c r="H236" s="35"/>
      <c r="I236" s="35">
        <v>0</v>
      </c>
      <c r="J236" s="35"/>
      <c r="K236" s="35">
        <f t="shared" si="49"/>
        <v>0</v>
      </c>
      <c r="L236" s="35"/>
      <c r="M236" s="35">
        <v>0</v>
      </c>
      <c r="N236" s="35"/>
      <c r="O236" s="35">
        <v>0</v>
      </c>
      <c r="P236" s="35"/>
      <c r="Q236" s="35">
        <v>0</v>
      </c>
      <c r="R236" s="35"/>
      <c r="S236" s="35">
        <v>0</v>
      </c>
      <c r="T236" s="35"/>
      <c r="U236" s="35">
        <v>0</v>
      </c>
      <c r="V236" s="35"/>
      <c r="W236" s="35">
        <f t="shared" si="56"/>
        <v>0</v>
      </c>
      <c r="X236" s="35"/>
      <c r="Y236" s="35" t="s">
        <v>275</v>
      </c>
      <c r="Z236" s="55"/>
      <c r="AA236" s="35" t="s">
        <v>92</v>
      </c>
      <c r="AB236" s="35"/>
      <c r="AC236" s="35">
        <v>0</v>
      </c>
      <c r="AD236" s="35"/>
      <c r="AE236" s="35">
        <v>0</v>
      </c>
      <c r="AF236" s="35"/>
      <c r="AG236" s="35">
        <v>0</v>
      </c>
      <c r="AH236" s="35"/>
      <c r="AI236" s="45">
        <f t="shared" ref="AI236:AI243" si="58">+AC236-AE236-AG236</f>
        <v>0</v>
      </c>
      <c r="AJ236" s="45"/>
      <c r="AK236" s="35">
        <v>0</v>
      </c>
      <c r="AL236" s="35"/>
      <c r="AM236" s="35">
        <v>0</v>
      </c>
      <c r="AN236" s="35"/>
      <c r="AO236" s="35">
        <v>0</v>
      </c>
      <c r="AP236" s="35"/>
      <c r="AQ236" s="35">
        <v>0</v>
      </c>
      <c r="AR236" s="35"/>
      <c r="AS236" s="45">
        <f t="shared" si="52"/>
        <v>0</v>
      </c>
      <c r="AT236" s="45"/>
      <c r="AU236" s="35">
        <v>0</v>
      </c>
      <c r="AV236" s="35"/>
      <c r="AW236" s="35">
        <v>0</v>
      </c>
      <c r="AX236" s="35"/>
      <c r="AY236" s="35">
        <f t="shared" si="53"/>
        <v>0</v>
      </c>
      <c r="AZ236" s="35"/>
      <c r="BA236" s="35" t="s">
        <v>275</v>
      </c>
      <c r="BB236" s="55"/>
      <c r="BC236" s="35" t="s">
        <v>92</v>
      </c>
      <c r="BD236" s="35"/>
      <c r="BE236" s="35"/>
      <c r="BF236" s="35"/>
      <c r="BG236" s="35"/>
      <c r="BH236" s="35"/>
      <c r="BI236" s="35"/>
      <c r="BJ236" s="35"/>
      <c r="BK236" s="35"/>
      <c r="BL236" s="35"/>
      <c r="BM236" s="35">
        <f t="shared" si="57"/>
        <v>0</v>
      </c>
      <c r="BN236" s="54" t="s">
        <v>347</v>
      </c>
    </row>
    <row r="237" spans="1:67" ht="12.75" hidden="1" customHeight="1">
      <c r="A237" s="35" t="s">
        <v>276</v>
      </c>
      <c r="C237" s="35" t="s">
        <v>38</v>
      </c>
      <c r="D237" s="35"/>
      <c r="E237" s="35">
        <f t="shared" si="48"/>
        <v>0</v>
      </c>
      <c r="F237" s="35"/>
      <c r="G237" s="35"/>
      <c r="H237" s="35"/>
      <c r="I237" s="35"/>
      <c r="J237" s="35"/>
      <c r="K237" s="35">
        <f t="shared" si="49"/>
        <v>0</v>
      </c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>
        <f t="shared" si="56"/>
        <v>0</v>
      </c>
      <c r="X237" s="35"/>
      <c r="Y237" s="35" t="s">
        <v>276</v>
      </c>
      <c r="Z237" s="55"/>
      <c r="AA237" s="35" t="s">
        <v>38</v>
      </c>
      <c r="AB237" s="35"/>
      <c r="AC237" s="35"/>
      <c r="AD237" s="35"/>
      <c r="AE237" s="35"/>
      <c r="AF237" s="35"/>
      <c r="AG237" s="35"/>
      <c r="AH237" s="35"/>
      <c r="AI237" s="45">
        <f t="shared" si="58"/>
        <v>0</v>
      </c>
      <c r="AJ237" s="45"/>
      <c r="AK237" s="35"/>
      <c r="AL237" s="35"/>
      <c r="AM237" s="35"/>
      <c r="AN237" s="35"/>
      <c r="AO237" s="35"/>
      <c r="AP237" s="35"/>
      <c r="AQ237" s="35"/>
      <c r="AR237" s="35"/>
      <c r="AS237" s="45">
        <f t="shared" si="52"/>
        <v>0</v>
      </c>
      <c r="AT237" s="45"/>
      <c r="AU237" s="35">
        <v>0</v>
      </c>
      <c r="AV237" s="35"/>
      <c r="AW237" s="35">
        <v>0</v>
      </c>
      <c r="AX237" s="35"/>
      <c r="AY237" s="35">
        <f t="shared" si="53"/>
        <v>0</v>
      </c>
      <c r="AZ237" s="35"/>
      <c r="BA237" s="35" t="s">
        <v>276</v>
      </c>
      <c r="BB237" s="55"/>
      <c r="BC237" s="35" t="s">
        <v>38</v>
      </c>
      <c r="BD237" s="35"/>
      <c r="BE237" s="35"/>
      <c r="BF237" s="35"/>
      <c r="BG237" s="35"/>
      <c r="BH237" s="35"/>
      <c r="BI237" s="35"/>
      <c r="BJ237" s="35"/>
      <c r="BK237" s="35"/>
      <c r="BL237" s="35"/>
      <c r="BM237" s="35">
        <f t="shared" si="57"/>
        <v>0</v>
      </c>
      <c r="BN237" s="54" t="s">
        <v>347</v>
      </c>
      <c r="BO237" s="35" t="s">
        <v>366</v>
      </c>
    </row>
    <row r="238" spans="1:67" ht="12.75" hidden="1" customHeight="1">
      <c r="A238" s="35" t="s">
        <v>277</v>
      </c>
      <c r="C238" s="35" t="s">
        <v>92</v>
      </c>
      <c r="D238" s="35"/>
      <c r="E238" s="35">
        <f t="shared" si="48"/>
        <v>0</v>
      </c>
      <c r="F238" s="35"/>
      <c r="G238" s="35">
        <v>0</v>
      </c>
      <c r="H238" s="35"/>
      <c r="I238" s="35">
        <v>0</v>
      </c>
      <c r="J238" s="35"/>
      <c r="K238" s="35">
        <f t="shared" si="49"/>
        <v>0</v>
      </c>
      <c r="L238" s="35"/>
      <c r="M238" s="35">
        <v>0</v>
      </c>
      <c r="N238" s="35"/>
      <c r="O238" s="35">
        <v>0</v>
      </c>
      <c r="P238" s="35"/>
      <c r="Q238" s="35">
        <v>0</v>
      </c>
      <c r="R238" s="35"/>
      <c r="S238" s="35">
        <v>0</v>
      </c>
      <c r="T238" s="35"/>
      <c r="U238" s="35">
        <v>0</v>
      </c>
      <c r="V238" s="35"/>
      <c r="W238" s="35">
        <f t="shared" si="56"/>
        <v>0</v>
      </c>
      <c r="X238" s="35"/>
      <c r="Y238" s="35" t="s">
        <v>277</v>
      </c>
      <c r="Z238" s="55"/>
      <c r="AA238" s="35" t="s">
        <v>92</v>
      </c>
      <c r="AB238" s="35"/>
      <c r="AC238" s="35">
        <v>0</v>
      </c>
      <c r="AD238" s="35"/>
      <c r="AE238" s="35">
        <v>0</v>
      </c>
      <c r="AF238" s="35"/>
      <c r="AG238" s="35">
        <v>0</v>
      </c>
      <c r="AH238" s="35"/>
      <c r="AI238" s="45">
        <f t="shared" si="58"/>
        <v>0</v>
      </c>
      <c r="AJ238" s="45"/>
      <c r="AK238" s="35">
        <v>0</v>
      </c>
      <c r="AL238" s="35"/>
      <c r="AM238" s="35">
        <v>0</v>
      </c>
      <c r="AN238" s="35"/>
      <c r="AO238" s="35">
        <v>0</v>
      </c>
      <c r="AP238" s="35"/>
      <c r="AQ238" s="35">
        <v>0</v>
      </c>
      <c r="AR238" s="35"/>
      <c r="AS238" s="45">
        <f t="shared" si="52"/>
        <v>0</v>
      </c>
      <c r="AT238" s="45"/>
      <c r="AU238" s="35">
        <v>0</v>
      </c>
      <c r="AV238" s="35"/>
      <c r="AW238" s="35">
        <v>0</v>
      </c>
      <c r="AX238" s="35"/>
      <c r="AY238" s="35">
        <f t="shared" ref="AY238:AY247" si="59">+E238-K238</f>
        <v>0</v>
      </c>
      <c r="AZ238" s="35"/>
      <c r="BA238" s="35" t="s">
        <v>277</v>
      </c>
      <c r="BB238" s="55"/>
      <c r="BC238" s="35" t="s">
        <v>92</v>
      </c>
      <c r="BD238" s="35"/>
      <c r="BE238" s="35"/>
      <c r="BF238" s="35"/>
      <c r="BG238" s="35"/>
      <c r="BH238" s="35"/>
      <c r="BI238" s="35"/>
      <c r="BJ238" s="35"/>
      <c r="BK238" s="35"/>
      <c r="BL238" s="35"/>
      <c r="BM238" s="35">
        <f t="shared" si="57"/>
        <v>0</v>
      </c>
      <c r="BN238" s="54" t="s">
        <v>347</v>
      </c>
    </row>
    <row r="239" spans="1:67" ht="12.75" hidden="1" customHeight="1">
      <c r="A239" s="35" t="s">
        <v>278</v>
      </c>
      <c r="C239" s="35" t="s">
        <v>92</v>
      </c>
      <c r="D239" s="35"/>
      <c r="E239" s="35">
        <f t="shared" si="48"/>
        <v>0</v>
      </c>
      <c r="F239" s="35"/>
      <c r="G239" s="35"/>
      <c r="H239" s="35"/>
      <c r="I239" s="35"/>
      <c r="J239" s="35"/>
      <c r="K239" s="35">
        <f t="shared" si="49"/>
        <v>0</v>
      </c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>
        <f t="shared" si="56"/>
        <v>0</v>
      </c>
      <c r="X239" s="35"/>
      <c r="Y239" s="35" t="s">
        <v>278</v>
      </c>
      <c r="Z239" s="55"/>
      <c r="AA239" s="35" t="s">
        <v>92</v>
      </c>
      <c r="AB239" s="35"/>
      <c r="AC239" s="35"/>
      <c r="AD239" s="35"/>
      <c r="AE239" s="35"/>
      <c r="AF239" s="35"/>
      <c r="AG239" s="35"/>
      <c r="AH239" s="35"/>
      <c r="AI239" s="45">
        <f t="shared" si="58"/>
        <v>0</v>
      </c>
      <c r="AJ239" s="45"/>
      <c r="AK239" s="35"/>
      <c r="AL239" s="35"/>
      <c r="AM239" s="35"/>
      <c r="AN239" s="35"/>
      <c r="AO239" s="35"/>
      <c r="AP239" s="35"/>
      <c r="AQ239" s="35"/>
      <c r="AR239" s="35"/>
      <c r="AS239" s="45">
        <f t="shared" si="52"/>
        <v>0</v>
      </c>
      <c r="AT239" s="45"/>
      <c r="AU239" s="35">
        <v>0</v>
      </c>
      <c r="AV239" s="35"/>
      <c r="AW239" s="35">
        <v>0</v>
      </c>
      <c r="AX239" s="35"/>
      <c r="AY239" s="35">
        <f t="shared" si="59"/>
        <v>0</v>
      </c>
      <c r="AZ239" s="35"/>
      <c r="BA239" s="35" t="s">
        <v>278</v>
      </c>
      <c r="BB239" s="55"/>
      <c r="BC239" s="35" t="s">
        <v>92</v>
      </c>
      <c r="BD239" s="35"/>
      <c r="BE239" s="35"/>
      <c r="BF239" s="35"/>
      <c r="BG239" s="35"/>
      <c r="BH239" s="35"/>
      <c r="BI239" s="35"/>
      <c r="BJ239" s="35"/>
      <c r="BK239" s="35"/>
      <c r="BL239" s="35"/>
      <c r="BM239" s="35">
        <f t="shared" si="57"/>
        <v>0</v>
      </c>
      <c r="BN239" s="54" t="s">
        <v>347</v>
      </c>
    </row>
    <row r="240" spans="1:67" ht="12.75" hidden="1" customHeight="1">
      <c r="A240" s="35" t="s">
        <v>279</v>
      </c>
      <c r="C240" s="35" t="s">
        <v>92</v>
      </c>
      <c r="D240" s="35"/>
      <c r="E240" s="35">
        <f t="shared" si="48"/>
        <v>0</v>
      </c>
      <c r="F240" s="35"/>
      <c r="G240" s="35">
        <v>0</v>
      </c>
      <c r="H240" s="35"/>
      <c r="I240" s="35">
        <v>0</v>
      </c>
      <c r="J240" s="35"/>
      <c r="K240" s="35">
        <f t="shared" si="49"/>
        <v>0</v>
      </c>
      <c r="L240" s="35"/>
      <c r="M240" s="35">
        <v>0</v>
      </c>
      <c r="N240" s="35"/>
      <c r="O240" s="35">
        <v>0</v>
      </c>
      <c r="P240" s="35"/>
      <c r="Q240" s="35">
        <v>0</v>
      </c>
      <c r="R240" s="35"/>
      <c r="S240" s="35">
        <v>0</v>
      </c>
      <c r="T240" s="35"/>
      <c r="U240" s="35">
        <v>0</v>
      </c>
      <c r="V240" s="35"/>
      <c r="W240" s="35">
        <f t="shared" si="56"/>
        <v>0</v>
      </c>
      <c r="X240" s="35"/>
      <c r="Y240" s="35" t="s">
        <v>279</v>
      </c>
      <c r="Z240" s="55"/>
      <c r="AA240" s="35" t="s">
        <v>92</v>
      </c>
      <c r="AB240" s="35"/>
      <c r="AC240" s="35">
        <v>0</v>
      </c>
      <c r="AD240" s="35"/>
      <c r="AE240" s="35">
        <v>0</v>
      </c>
      <c r="AF240" s="35"/>
      <c r="AG240" s="35">
        <v>0</v>
      </c>
      <c r="AH240" s="35"/>
      <c r="AI240" s="45">
        <f t="shared" si="58"/>
        <v>0</v>
      </c>
      <c r="AJ240" s="45"/>
      <c r="AK240" s="35">
        <v>0</v>
      </c>
      <c r="AL240" s="35"/>
      <c r="AM240" s="35">
        <v>0</v>
      </c>
      <c r="AN240" s="35"/>
      <c r="AO240" s="35">
        <v>0</v>
      </c>
      <c r="AP240" s="35"/>
      <c r="AQ240" s="35">
        <v>0</v>
      </c>
      <c r="AR240" s="35"/>
      <c r="AS240" s="45">
        <v>0</v>
      </c>
      <c r="AT240" s="45"/>
      <c r="AU240" s="35">
        <v>0</v>
      </c>
      <c r="AV240" s="35"/>
      <c r="AW240" s="35">
        <v>0</v>
      </c>
      <c r="AX240" s="35"/>
      <c r="AY240" s="35">
        <f t="shared" si="59"/>
        <v>0</v>
      </c>
      <c r="AZ240" s="35"/>
      <c r="BA240" s="35" t="s">
        <v>279</v>
      </c>
      <c r="BB240" s="55"/>
      <c r="BC240" s="35" t="s">
        <v>92</v>
      </c>
      <c r="BD240" s="35"/>
      <c r="BE240" s="35"/>
      <c r="BF240" s="35"/>
      <c r="BG240" s="35"/>
      <c r="BH240" s="35"/>
      <c r="BI240" s="35"/>
      <c r="BJ240" s="35"/>
      <c r="BK240" s="35"/>
      <c r="BL240" s="35"/>
      <c r="BM240" s="35">
        <f t="shared" si="57"/>
        <v>0</v>
      </c>
      <c r="BN240" s="54" t="s">
        <v>347</v>
      </c>
      <c r="BO240" s="55" t="s">
        <v>367</v>
      </c>
    </row>
    <row r="241" spans="1:67" ht="12.75" hidden="1" customHeight="1">
      <c r="A241" s="35" t="s">
        <v>280</v>
      </c>
      <c r="C241" s="35" t="s">
        <v>281</v>
      </c>
      <c r="D241" s="35"/>
      <c r="E241" s="35">
        <f t="shared" si="48"/>
        <v>0</v>
      </c>
      <c r="F241" s="35"/>
      <c r="G241" s="35">
        <v>0</v>
      </c>
      <c r="H241" s="35"/>
      <c r="I241" s="35">
        <v>0</v>
      </c>
      <c r="J241" s="35"/>
      <c r="K241" s="35">
        <f t="shared" si="49"/>
        <v>0</v>
      </c>
      <c r="L241" s="35"/>
      <c r="M241" s="35">
        <v>0</v>
      </c>
      <c r="N241" s="35"/>
      <c r="O241" s="35">
        <v>0</v>
      </c>
      <c r="P241" s="35"/>
      <c r="Q241" s="35">
        <v>0</v>
      </c>
      <c r="R241" s="35"/>
      <c r="S241" s="35">
        <v>0</v>
      </c>
      <c r="T241" s="35"/>
      <c r="U241" s="35">
        <v>0</v>
      </c>
      <c r="V241" s="35"/>
      <c r="W241" s="35">
        <f t="shared" si="56"/>
        <v>0</v>
      </c>
      <c r="X241" s="35"/>
      <c r="Y241" s="35" t="s">
        <v>280</v>
      </c>
      <c r="Z241" s="55"/>
      <c r="AA241" s="35" t="s">
        <v>281</v>
      </c>
      <c r="AB241" s="35"/>
      <c r="AC241" s="35">
        <v>0</v>
      </c>
      <c r="AD241" s="35"/>
      <c r="AE241" s="35">
        <v>0</v>
      </c>
      <c r="AF241" s="35"/>
      <c r="AG241" s="35">
        <v>0</v>
      </c>
      <c r="AH241" s="35"/>
      <c r="AI241" s="45">
        <f t="shared" si="58"/>
        <v>0</v>
      </c>
      <c r="AJ241" s="45"/>
      <c r="AK241" s="35">
        <v>0</v>
      </c>
      <c r="AL241" s="35"/>
      <c r="AM241" s="35">
        <v>0</v>
      </c>
      <c r="AN241" s="35"/>
      <c r="AO241" s="35">
        <v>0</v>
      </c>
      <c r="AP241" s="35"/>
      <c r="AQ241" s="35">
        <v>0</v>
      </c>
      <c r="AR241" s="35"/>
      <c r="AS241" s="45">
        <f t="shared" ref="AS241:AS247" si="60">+AI241+AK241+AM241-AO241+AQ241</f>
        <v>0</v>
      </c>
      <c r="AT241" s="45"/>
      <c r="AU241" s="35">
        <v>0</v>
      </c>
      <c r="AV241" s="35"/>
      <c r="AW241" s="35">
        <v>0</v>
      </c>
      <c r="AX241" s="35"/>
      <c r="AY241" s="35">
        <f t="shared" si="59"/>
        <v>0</v>
      </c>
      <c r="AZ241" s="35"/>
      <c r="BA241" s="35" t="s">
        <v>280</v>
      </c>
      <c r="BB241" s="55"/>
      <c r="BC241" s="35" t="s">
        <v>281</v>
      </c>
      <c r="BD241" s="35"/>
      <c r="BE241" s="35"/>
      <c r="BF241" s="35"/>
      <c r="BG241" s="35"/>
      <c r="BH241" s="35"/>
      <c r="BI241" s="35"/>
      <c r="BJ241" s="35"/>
      <c r="BK241" s="35"/>
      <c r="BL241" s="35"/>
      <c r="BM241" s="35">
        <f t="shared" si="57"/>
        <v>0</v>
      </c>
      <c r="BN241" s="54" t="s">
        <v>347</v>
      </c>
      <c r="BO241" s="55" t="s">
        <v>367</v>
      </c>
    </row>
    <row r="242" spans="1:67" ht="12.75" hidden="1" customHeight="1">
      <c r="A242" s="35" t="s">
        <v>282</v>
      </c>
      <c r="C242" s="35" t="s">
        <v>199</v>
      </c>
      <c r="D242" s="35"/>
      <c r="E242" s="35">
        <f t="shared" si="48"/>
        <v>0</v>
      </c>
      <c r="F242" s="35"/>
      <c r="G242" s="35"/>
      <c r="H242" s="35"/>
      <c r="I242" s="35"/>
      <c r="J242" s="35"/>
      <c r="K242" s="35">
        <f t="shared" si="49"/>
        <v>0</v>
      </c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>
        <f t="shared" si="56"/>
        <v>0</v>
      </c>
      <c r="X242" s="35"/>
      <c r="Y242" s="35" t="s">
        <v>282</v>
      </c>
      <c r="Z242" s="55"/>
      <c r="AA242" s="35" t="s">
        <v>199</v>
      </c>
      <c r="AB242" s="35"/>
      <c r="AC242" s="35"/>
      <c r="AD242" s="35"/>
      <c r="AE242" s="35"/>
      <c r="AF242" s="35"/>
      <c r="AG242" s="35"/>
      <c r="AH242" s="35"/>
      <c r="AI242" s="45">
        <f t="shared" si="58"/>
        <v>0</v>
      </c>
      <c r="AJ242" s="45"/>
      <c r="AK242" s="35"/>
      <c r="AL242" s="35"/>
      <c r="AM242" s="35"/>
      <c r="AN242" s="35"/>
      <c r="AO242" s="35"/>
      <c r="AP242" s="35"/>
      <c r="AQ242" s="35"/>
      <c r="AR242" s="35"/>
      <c r="AS242" s="45">
        <f t="shared" si="60"/>
        <v>0</v>
      </c>
      <c r="AT242" s="45"/>
      <c r="AU242" s="35">
        <v>0</v>
      </c>
      <c r="AV242" s="35"/>
      <c r="AW242" s="35">
        <v>0</v>
      </c>
      <c r="AX242" s="35"/>
      <c r="AY242" s="35">
        <f t="shared" si="59"/>
        <v>0</v>
      </c>
      <c r="AZ242" s="35"/>
      <c r="BA242" s="35" t="s">
        <v>282</v>
      </c>
      <c r="BB242" s="55"/>
      <c r="BC242" s="35" t="s">
        <v>199</v>
      </c>
      <c r="BD242" s="35"/>
      <c r="BE242" s="35"/>
      <c r="BF242" s="35"/>
      <c r="BG242" s="35"/>
      <c r="BH242" s="35"/>
      <c r="BI242" s="35"/>
      <c r="BJ242" s="35"/>
      <c r="BK242" s="35"/>
      <c r="BL242" s="35"/>
      <c r="BM242" s="35">
        <f t="shared" si="57"/>
        <v>0</v>
      </c>
      <c r="BN242" s="54" t="s">
        <v>347</v>
      </c>
    </row>
    <row r="243" spans="1:67" ht="12.75" hidden="1" customHeight="1">
      <c r="A243" s="35" t="s">
        <v>283</v>
      </c>
      <c r="C243" s="35" t="s">
        <v>43</v>
      </c>
      <c r="D243" s="35"/>
      <c r="E243" s="35">
        <f t="shared" si="48"/>
        <v>0</v>
      </c>
      <c r="F243" s="35"/>
      <c r="G243" s="35">
        <v>0</v>
      </c>
      <c r="H243" s="35"/>
      <c r="I243" s="35">
        <v>0</v>
      </c>
      <c r="J243" s="35"/>
      <c r="K243" s="35">
        <f t="shared" si="49"/>
        <v>0</v>
      </c>
      <c r="L243" s="35"/>
      <c r="M243" s="35">
        <v>0</v>
      </c>
      <c r="N243" s="35"/>
      <c r="O243" s="35">
        <v>0</v>
      </c>
      <c r="P243" s="35"/>
      <c r="Q243" s="35">
        <v>0</v>
      </c>
      <c r="R243" s="35"/>
      <c r="S243" s="35">
        <v>0</v>
      </c>
      <c r="T243" s="35"/>
      <c r="U243" s="35">
        <v>0</v>
      </c>
      <c r="V243" s="35"/>
      <c r="W243" s="35">
        <f t="shared" si="56"/>
        <v>0</v>
      </c>
      <c r="X243" s="35"/>
      <c r="Y243" s="35" t="s">
        <v>283</v>
      </c>
      <c r="Z243" s="55"/>
      <c r="AA243" s="35" t="s">
        <v>43</v>
      </c>
      <c r="AB243" s="35"/>
      <c r="AC243" s="35">
        <v>0</v>
      </c>
      <c r="AD243" s="35"/>
      <c r="AE243" s="35">
        <v>0</v>
      </c>
      <c r="AF243" s="35"/>
      <c r="AG243" s="35">
        <v>0</v>
      </c>
      <c r="AH243" s="35"/>
      <c r="AI243" s="45">
        <f t="shared" si="58"/>
        <v>0</v>
      </c>
      <c r="AJ243" s="45"/>
      <c r="AK243" s="35">
        <v>0</v>
      </c>
      <c r="AL243" s="35"/>
      <c r="AM243" s="35">
        <v>0</v>
      </c>
      <c r="AN243" s="35"/>
      <c r="AO243" s="35">
        <v>0</v>
      </c>
      <c r="AP243" s="35"/>
      <c r="AQ243" s="35">
        <v>0</v>
      </c>
      <c r="AR243" s="35"/>
      <c r="AS243" s="45">
        <f t="shared" si="60"/>
        <v>0</v>
      </c>
      <c r="AT243" s="45"/>
      <c r="AU243" s="35">
        <v>0</v>
      </c>
      <c r="AV243" s="35"/>
      <c r="AW243" s="35">
        <v>0</v>
      </c>
      <c r="AX243" s="35"/>
      <c r="AY243" s="35">
        <f t="shared" si="59"/>
        <v>0</v>
      </c>
      <c r="AZ243" s="35"/>
      <c r="BA243" s="35" t="s">
        <v>283</v>
      </c>
      <c r="BB243" s="55"/>
      <c r="BC243" s="35" t="s">
        <v>43</v>
      </c>
      <c r="BD243" s="35"/>
      <c r="BE243" s="35"/>
      <c r="BF243" s="35"/>
      <c r="BG243" s="35"/>
      <c r="BH243" s="35"/>
      <c r="BI243" s="35"/>
      <c r="BJ243" s="35"/>
      <c r="BK243" s="35"/>
      <c r="BL243" s="35"/>
      <c r="BM243" s="35">
        <f t="shared" si="57"/>
        <v>0</v>
      </c>
      <c r="BN243" s="54" t="s">
        <v>347</v>
      </c>
      <c r="BO243" s="55" t="s">
        <v>367</v>
      </c>
    </row>
    <row r="244" spans="1:67" ht="12.75" hidden="1" customHeight="1">
      <c r="A244" s="35" t="s">
        <v>284</v>
      </c>
      <c r="C244" s="35" t="s">
        <v>45</v>
      </c>
      <c r="D244" s="35"/>
      <c r="E244" s="35">
        <f t="shared" si="48"/>
        <v>0</v>
      </c>
      <c r="F244" s="35"/>
      <c r="G244" s="35">
        <v>0</v>
      </c>
      <c r="H244" s="35"/>
      <c r="I244" s="35">
        <v>0</v>
      </c>
      <c r="J244" s="35"/>
      <c r="K244" s="35">
        <f t="shared" si="49"/>
        <v>0</v>
      </c>
      <c r="L244" s="35"/>
      <c r="M244" s="35">
        <v>0</v>
      </c>
      <c r="N244" s="35"/>
      <c r="O244" s="35">
        <v>0</v>
      </c>
      <c r="P244" s="35"/>
      <c r="Q244" s="35">
        <v>0</v>
      </c>
      <c r="R244" s="35"/>
      <c r="S244" s="35">
        <v>0</v>
      </c>
      <c r="T244" s="35"/>
      <c r="U244" s="35">
        <v>0</v>
      </c>
      <c r="V244" s="35"/>
      <c r="W244" s="35">
        <f t="shared" si="56"/>
        <v>0</v>
      </c>
      <c r="X244" s="35"/>
      <c r="Y244" s="35" t="s">
        <v>284</v>
      </c>
      <c r="Z244" s="55"/>
      <c r="AA244" s="35" t="s">
        <v>45</v>
      </c>
      <c r="AB244" s="35"/>
      <c r="AC244" s="35">
        <v>0</v>
      </c>
      <c r="AD244" s="35"/>
      <c r="AE244" s="35">
        <v>0</v>
      </c>
      <c r="AF244" s="35"/>
      <c r="AG244" s="35">
        <v>0</v>
      </c>
      <c r="AH244" s="35"/>
      <c r="AI244" s="45">
        <v>0</v>
      </c>
      <c r="AJ244" s="45"/>
      <c r="AK244" s="35">
        <v>0</v>
      </c>
      <c r="AL244" s="35"/>
      <c r="AM244" s="35">
        <v>0</v>
      </c>
      <c r="AN244" s="35"/>
      <c r="AO244" s="35">
        <v>0</v>
      </c>
      <c r="AP244" s="35"/>
      <c r="AQ244" s="35">
        <v>0</v>
      </c>
      <c r="AR244" s="35"/>
      <c r="AS244" s="45">
        <f t="shared" si="60"/>
        <v>0</v>
      </c>
      <c r="AT244" s="45"/>
      <c r="AU244" s="35">
        <v>0</v>
      </c>
      <c r="AV244" s="35"/>
      <c r="AW244" s="35">
        <v>0</v>
      </c>
      <c r="AX244" s="35"/>
      <c r="AY244" s="35">
        <f t="shared" si="59"/>
        <v>0</v>
      </c>
      <c r="AZ244" s="35"/>
      <c r="BA244" s="35" t="s">
        <v>284</v>
      </c>
      <c r="BB244" s="55"/>
      <c r="BC244" s="35" t="s">
        <v>45</v>
      </c>
      <c r="BD244" s="35"/>
      <c r="BE244" s="35"/>
      <c r="BF244" s="35"/>
      <c r="BG244" s="35"/>
      <c r="BH244" s="35"/>
      <c r="BI244" s="35"/>
      <c r="BJ244" s="35"/>
      <c r="BK244" s="35"/>
      <c r="BL244" s="35"/>
      <c r="BM244" s="35">
        <f t="shared" si="57"/>
        <v>0</v>
      </c>
      <c r="BN244" s="54" t="s">
        <v>347</v>
      </c>
    </row>
    <row r="245" spans="1:67" ht="12.75" hidden="1" customHeight="1">
      <c r="A245" s="35" t="s">
        <v>285</v>
      </c>
      <c r="C245" s="35" t="s">
        <v>30</v>
      </c>
      <c r="D245" s="35"/>
      <c r="E245" s="35">
        <f t="shared" si="48"/>
        <v>0</v>
      </c>
      <c r="F245" s="35"/>
      <c r="G245" s="35">
        <v>0</v>
      </c>
      <c r="H245" s="35"/>
      <c r="I245" s="35">
        <v>0</v>
      </c>
      <c r="J245" s="35"/>
      <c r="K245" s="35">
        <f t="shared" si="49"/>
        <v>0</v>
      </c>
      <c r="L245" s="35"/>
      <c r="M245" s="35">
        <v>0</v>
      </c>
      <c r="N245" s="35"/>
      <c r="O245" s="35">
        <v>0</v>
      </c>
      <c r="P245" s="35"/>
      <c r="Q245" s="35">
        <v>0</v>
      </c>
      <c r="R245" s="35"/>
      <c r="S245" s="35">
        <v>0</v>
      </c>
      <c r="T245" s="35"/>
      <c r="U245" s="35">
        <v>0</v>
      </c>
      <c r="V245" s="35"/>
      <c r="W245" s="35">
        <f t="shared" si="56"/>
        <v>0</v>
      </c>
      <c r="X245" s="35"/>
      <c r="Y245" s="35" t="s">
        <v>285</v>
      </c>
      <c r="Z245" s="55"/>
      <c r="AA245" s="35" t="s">
        <v>30</v>
      </c>
      <c r="AB245" s="35"/>
      <c r="AC245" s="35">
        <v>0</v>
      </c>
      <c r="AD245" s="35"/>
      <c r="AE245" s="35">
        <v>0</v>
      </c>
      <c r="AF245" s="35"/>
      <c r="AG245" s="35">
        <v>0</v>
      </c>
      <c r="AH245" s="35"/>
      <c r="AI245" s="45">
        <f>+AC245-AE245-AG245</f>
        <v>0</v>
      </c>
      <c r="AJ245" s="45"/>
      <c r="AK245" s="35">
        <v>0</v>
      </c>
      <c r="AL245" s="35"/>
      <c r="AM245" s="35">
        <v>0</v>
      </c>
      <c r="AN245" s="35"/>
      <c r="AO245" s="35">
        <v>0</v>
      </c>
      <c r="AP245" s="35"/>
      <c r="AQ245" s="35">
        <v>0</v>
      </c>
      <c r="AR245" s="35"/>
      <c r="AS245" s="45">
        <f t="shared" si="60"/>
        <v>0</v>
      </c>
      <c r="AT245" s="45"/>
      <c r="AU245" s="35">
        <v>0</v>
      </c>
      <c r="AV245" s="35"/>
      <c r="AW245" s="35">
        <v>0</v>
      </c>
      <c r="AX245" s="35"/>
      <c r="AY245" s="35">
        <f t="shared" si="59"/>
        <v>0</v>
      </c>
      <c r="AZ245" s="35"/>
      <c r="BA245" s="35" t="s">
        <v>285</v>
      </c>
      <c r="BB245" s="55"/>
      <c r="BC245" s="35" t="s">
        <v>30</v>
      </c>
      <c r="BD245" s="35"/>
      <c r="BE245" s="35"/>
      <c r="BF245" s="35"/>
      <c r="BG245" s="35"/>
      <c r="BH245" s="35"/>
      <c r="BI245" s="35"/>
      <c r="BJ245" s="35"/>
      <c r="BK245" s="35"/>
      <c r="BL245" s="35"/>
      <c r="BM245" s="35">
        <f t="shared" si="57"/>
        <v>0</v>
      </c>
      <c r="BN245" s="54" t="s">
        <v>347</v>
      </c>
    </row>
    <row r="246" spans="1:67" ht="12.75" hidden="1" customHeight="1">
      <c r="A246" s="35" t="s">
        <v>286</v>
      </c>
      <c r="C246" s="35" t="s">
        <v>61</v>
      </c>
      <c r="D246" s="35"/>
      <c r="E246" s="35">
        <f t="shared" si="48"/>
        <v>0</v>
      </c>
      <c r="F246" s="35"/>
      <c r="G246" s="35"/>
      <c r="H246" s="35"/>
      <c r="I246" s="35"/>
      <c r="J246" s="35"/>
      <c r="K246" s="35">
        <f t="shared" si="49"/>
        <v>0</v>
      </c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>
        <f t="shared" si="56"/>
        <v>0</v>
      </c>
      <c r="X246" s="35"/>
      <c r="Y246" s="35" t="s">
        <v>286</v>
      </c>
      <c r="Z246" s="55"/>
      <c r="AA246" s="35" t="s">
        <v>61</v>
      </c>
      <c r="AB246" s="35"/>
      <c r="AC246" s="35"/>
      <c r="AD246" s="35"/>
      <c r="AE246" s="35"/>
      <c r="AF246" s="35"/>
      <c r="AG246" s="35"/>
      <c r="AH246" s="35"/>
      <c r="AI246" s="45">
        <f>+AC246-AE246-AG246</f>
        <v>0</v>
      </c>
      <c r="AJ246" s="45"/>
      <c r="AK246" s="35"/>
      <c r="AL246" s="35"/>
      <c r="AM246" s="35"/>
      <c r="AN246" s="35"/>
      <c r="AO246" s="35"/>
      <c r="AP246" s="35"/>
      <c r="AQ246" s="35"/>
      <c r="AR246" s="35"/>
      <c r="AS246" s="45">
        <f t="shared" si="60"/>
        <v>0</v>
      </c>
      <c r="AT246" s="45"/>
      <c r="AU246" s="35">
        <v>0</v>
      </c>
      <c r="AV246" s="35"/>
      <c r="AW246" s="35">
        <v>0</v>
      </c>
      <c r="AX246" s="35"/>
      <c r="AY246" s="35">
        <f t="shared" si="59"/>
        <v>0</v>
      </c>
      <c r="AZ246" s="35"/>
      <c r="BA246" s="35" t="s">
        <v>286</v>
      </c>
      <c r="BB246" s="55"/>
      <c r="BC246" s="35" t="s">
        <v>61</v>
      </c>
      <c r="BD246" s="35"/>
      <c r="BE246" s="35"/>
      <c r="BF246" s="35"/>
      <c r="BG246" s="35"/>
      <c r="BH246" s="35"/>
      <c r="BI246" s="35"/>
      <c r="BJ246" s="35"/>
      <c r="BK246" s="35"/>
      <c r="BL246" s="35"/>
      <c r="BM246" s="35">
        <f t="shared" si="57"/>
        <v>0</v>
      </c>
      <c r="BN246" s="54" t="s">
        <v>347</v>
      </c>
    </row>
    <row r="247" spans="1:67" ht="12.75" hidden="1" customHeight="1">
      <c r="A247" s="35" t="s">
        <v>287</v>
      </c>
      <c r="C247" s="35" t="s">
        <v>288</v>
      </c>
      <c r="D247" s="35"/>
      <c r="E247" s="35">
        <f t="shared" si="48"/>
        <v>0</v>
      </c>
      <c r="F247" s="35"/>
      <c r="G247" s="35">
        <v>0</v>
      </c>
      <c r="H247" s="35"/>
      <c r="I247" s="35">
        <v>0</v>
      </c>
      <c r="J247" s="35"/>
      <c r="K247" s="35">
        <f t="shared" si="49"/>
        <v>0</v>
      </c>
      <c r="L247" s="35"/>
      <c r="M247" s="35">
        <v>0</v>
      </c>
      <c r="N247" s="35"/>
      <c r="O247" s="35">
        <v>0</v>
      </c>
      <c r="P247" s="35"/>
      <c r="Q247" s="35">
        <v>0</v>
      </c>
      <c r="R247" s="35"/>
      <c r="S247" s="35">
        <v>0</v>
      </c>
      <c r="T247" s="35"/>
      <c r="U247" s="35">
        <v>0</v>
      </c>
      <c r="V247" s="35"/>
      <c r="W247" s="35">
        <f t="shared" si="56"/>
        <v>0</v>
      </c>
      <c r="X247" s="35"/>
      <c r="Y247" s="35" t="s">
        <v>287</v>
      </c>
      <c r="Z247" s="55"/>
      <c r="AA247" s="35" t="s">
        <v>288</v>
      </c>
      <c r="AB247" s="35"/>
      <c r="AC247" s="35">
        <v>0</v>
      </c>
      <c r="AD247" s="35"/>
      <c r="AE247" s="35">
        <v>0</v>
      </c>
      <c r="AF247" s="35"/>
      <c r="AG247" s="35">
        <v>0</v>
      </c>
      <c r="AH247" s="35"/>
      <c r="AI247" s="45">
        <f>+AC247-AE247-AG247</f>
        <v>0</v>
      </c>
      <c r="AJ247" s="45"/>
      <c r="AK247" s="35">
        <v>0</v>
      </c>
      <c r="AL247" s="35"/>
      <c r="AM247" s="35">
        <v>0</v>
      </c>
      <c r="AN247" s="35"/>
      <c r="AO247" s="35">
        <v>0</v>
      </c>
      <c r="AP247" s="35"/>
      <c r="AQ247" s="35">
        <v>0</v>
      </c>
      <c r="AR247" s="35"/>
      <c r="AS247" s="45">
        <f t="shared" si="60"/>
        <v>0</v>
      </c>
      <c r="AT247" s="45"/>
      <c r="AU247" s="35">
        <v>0</v>
      </c>
      <c r="AV247" s="35"/>
      <c r="AW247" s="35">
        <v>0</v>
      </c>
      <c r="AX247" s="35"/>
      <c r="AY247" s="35">
        <f t="shared" si="59"/>
        <v>0</v>
      </c>
      <c r="AZ247" s="35"/>
      <c r="BA247" s="35" t="s">
        <v>287</v>
      </c>
      <c r="BB247" s="55"/>
      <c r="BC247" s="35" t="s">
        <v>288</v>
      </c>
      <c r="BD247" s="35"/>
      <c r="BE247" s="35"/>
      <c r="BF247" s="35"/>
      <c r="BG247" s="35"/>
      <c r="BH247" s="35"/>
      <c r="BI247" s="35"/>
      <c r="BJ247" s="35"/>
      <c r="BK247" s="35"/>
      <c r="BL247" s="35"/>
      <c r="BM247" s="35">
        <f t="shared" si="57"/>
        <v>0</v>
      </c>
      <c r="BN247" s="54" t="s">
        <v>347</v>
      </c>
    </row>
    <row r="248" spans="1:67" ht="12.75" customHeight="1"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5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B248" s="5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</row>
    <row r="249" spans="1:67" ht="12.75" customHeight="1"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5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B249" s="5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</row>
    <row r="250" spans="1:67" ht="12.75" customHeight="1"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5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B250" s="5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</row>
    <row r="251" spans="1:67" ht="12.75" customHeight="1"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5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B251" s="5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</row>
    <row r="252" spans="1:67" ht="12.75" customHeight="1"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5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B252" s="5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</row>
    <row r="253" spans="1:67" ht="12.75" customHeight="1"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5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B253" s="5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</row>
    <row r="254" spans="1:67" ht="12.75" customHeight="1"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5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B254" s="5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</row>
    <row r="255" spans="1:67" ht="12.75" customHeight="1"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5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B255" s="5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</row>
    <row r="256" spans="1:67" ht="12.75" customHeight="1"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5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B256" s="5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</row>
    <row r="257" spans="5:66" ht="12.75" customHeight="1"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5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B257" s="5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</row>
    <row r="258" spans="5:66" ht="12.75" customHeight="1"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5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B258" s="5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</row>
    <row r="259" spans="5:66" ht="12.75" customHeight="1"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5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B259" s="5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</row>
    <row r="260" spans="5:66" ht="12.75" customHeight="1"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5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B260" s="5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</row>
    <row r="261" spans="5:66" ht="12.75" customHeight="1"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5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B261" s="5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</row>
    <row r="262" spans="5:66" ht="12.75" customHeight="1"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5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B262" s="5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</row>
    <row r="263" spans="5:66" ht="12.75" customHeight="1"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5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B263" s="5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</row>
    <row r="264" spans="5:66" ht="12.75" customHeight="1"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5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B264" s="5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</row>
    <row r="265" spans="5:66" ht="12.75" customHeight="1"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Z265" s="5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B265" s="5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</row>
    <row r="266" spans="5:66" ht="12.75" customHeight="1"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Z266" s="5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B266" s="5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</row>
    <row r="267" spans="5:66" ht="12.75" customHeight="1"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Z267" s="5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B267" s="5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</row>
    <row r="268" spans="5:66" ht="12.75" customHeight="1"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Z268" s="5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B268" s="5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</row>
    <row r="269" spans="5:66" ht="12.75" customHeight="1"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Z269" s="5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B269" s="5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</row>
    <row r="270" spans="5:66" ht="12.75" customHeight="1">
      <c r="Z270" s="55"/>
      <c r="BB270" s="55"/>
      <c r="BE270" s="45"/>
      <c r="BG270" s="45"/>
      <c r="BI270" s="45"/>
      <c r="BK270" s="45"/>
    </row>
    <row r="271" spans="5:66" ht="12.75" customHeight="1">
      <c r="Z271" s="55"/>
      <c r="BB271" s="55"/>
      <c r="BE271" s="45"/>
      <c r="BG271" s="45"/>
      <c r="BI271" s="45"/>
      <c r="BK271" s="45"/>
    </row>
    <row r="272" spans="5:66" ht="12.75" customHeight="1">
      <c r="Z272" s="55"/>
      <c r="BB272" s="55"/>
      <c r="BE272" s="45"/>
      <c r="BG272" s="45"/>
      <c r="BI272" s="45"/>
      <c r="BK272" s="45"/>
    </row>
    <row r="273" spans="26:63" ht="12.75" customHeight="1">
      <c r="Z273" s="55"/>
      <c r="BB273" s="55"/>
      <c r="BE273" s="45"/>
      <c r="BG273" s="45"/>
      <c r="BI273" s="45"/>
      <c r="BK273" s="45"/>
    </row>
    <row r="274" spans="26:63" ht="12.75" customHeight="1">
      <c r="Z274" s="55"/>
      <c r="BB274" s="55"/>
      <c r="BE274" s="45"/>
      <c r="BG274" s="45"/>
      <c r="BI274" s="45"/>
      <c r="BK274" s="45"/>
    </row>
    <row r="275" spans="26:63" ht="12.75" customHeight="1">
      <c r="Z275" s="55"/>
      <c r="BB275" s="55"/>
      <c r="BE275" s="45"/>
      <c r="BG275" s="45"/>
      <c r="BI275" s="45"/>
      <c r="BK275" s="45"/>
    </row>
    <row r="276" spans="26:63" ht="12.75" customHeight="1">
      <c r="Z276" s="55"/>
      <c r="BB276" s="55"/>
      <c r="BE276" s="45"/>
      <c r="BG276" s="45"/>
      <c r="BI276" s="45"/>
      <c r="BK276" s="45"/>
    </row>
    <row r="277" spans="26:63" ht="12.75" customHeight="1">
      <c r="Z277" s="55"/>
      <c r="BB277" s="55"/>
      <c r="BE277" s="45"/>
      <c r="BG277" s="45"/>
      <c r="BI277" s="45"/>
      <c r="BK277" s="45"/>
    </row>
    <row r="278" spans="26:63" ht="12.75" customHeight="1">
      <c r="Z278" s="55"/>
      <c r="BB278" s="55"/>
      <c r="BE278" s="45"/>
      <c r="BG278" s="45"/>
      <c r="BI278" s="45"/>
      <c r="BK278" s="45"/>
    </row>
    <row r="279" spans="26:63" ht="12.75" customHeight="1">
      <c r="Z279" s="55"/>
      <c r="BB279" s="55"/>
      <c r="BE279" s="45"/>
      <c r="BG279" s="45"/>
      <c r="BI279" s="45"/>
      <c r="BK279" s="45"/>
    </row>
    <row r="280" spans="26:63" ht="12.75" customHeight="1">
      <c r="Z280" s="55"/>
      <c r="BB280" s="55"/>
      <c r="BE280" s="45"/>
      <c r="BG280" s="45"/>
      <c r="BI280" s="45"/>
      <c r="BK280" s="45"/>
    </row>
    <row r="281" spans="26:63" ht="12.75" customHeight="1">
      <c r="Z281" s="55"/>
      <c r="BB281" s="55"/>
      <c r="BE281" s="45"/>
      <c r="BG281" s="45"/>
      <c r="BI281" s="45"/>
      <c r="BK281" s="45"/>
    </row>
    <row r="282" spans="26:63" ht="12.75" customHeight="1">
      <c r="Z282" s="55"/>
      <c r="BB282" s="55"/>
      <c r="BE282" s="45"/>
      <c r="BG282" s="45"/>
      <c r="BI282" s="45"/>
      <c r="BK282" s="45"/>
    </row>
    <row r="283" spans="26:63" ht="12.75" customHeight="1">
      <c r="Z283" s="55"/>
      <c r="BB283" s="55"/>
      <c r="BE283" s="45"/>
      <c r="BG283" s="45"/>
      <c r="BI283" s="45"/>
      <c r="BK283" s="45"/>
    </row>
    <row r="284" spans="26:63" ht="12.75" customHeight="1">
      <c r="Z284" s="55"/>
      <c r="BB284" s="55"/>
      <c r="BE284" s="45"/>
      <c r="BG284" s="45"/>
      <c r="BI284" s="45"/>
      <c r="BK284" s="45"/>
    </row>
    <row r="285" spans="26:63" ht="12.75" customHeight="1">
      <c r="Z285" s="55"/>
      <c r="BB285" s="55"/>
      <c r="BE285" s="45"/>
      <c r="BG285" s="45"/>
      <c r="BI285" s="45"/>
      <c r="BK285" s="45"/>
    </row>
    <row r="286" spans="26:63" ht="12.75" customHeight="1">
      <c r="Z286" s="55"/>
      <c r="BB286" s="55"/>
      <c r="BE286" s="45"/>
      <c r="BG286" s="45"/>
      <c r="BI286" s="45"/>
      <c r="BK286" s="45"/>
    </row>
    <row r="287" spans="26:63" ht="12.75" customHeight="1">
      <c r="Z287" s="55"/>
      <c r="BB287" s="55"/>
      <c r="BE287" s="45"/>
      <c r="BG287" s="45"/>
      <c r="BI287" s="45"/>
      <c r="BK287" s="45"/>
    </row>
    <row r="288" spans="26:63" ht="12.75" customHeight="1">
      <c r="Z288" s="55"/>
      <c r="BB288" s="55"/>
      <c r="BE288" s="45"/>
      <c r="BG288" s="45"/>
      <c r="BI288" s="45"/>
      <c r="BK288" s="45"/>
    </row>
    <row r="289" spans="26:63" ht="12.75" customHeight="1">
      <c r="Z289" s="55"/>
      <c r="BB289" s="55"/>
      <c r="BE289" s="45"/>
      <c r="BG289" s="45"/>
      <c r="BI289" s="45"/>
      <c r="BK289" s="45"/>
    </row>
    <row r="290" spans="26:63" ht="12.75" customHeight="1">
      <c r="Z290" s="55"/>
      <c r="BB290" s="55"/>
      <c r="BE290" s="45"/>
      <c r="BG290" s="45"/>
      <c r="BI290" s="45"/>
      <c r="BK290" s="45"/>
    </row>
    <row r="291" spans="26:63" ht="12.75" customHeight="1">
      <c r="Z291" s="55"/>
      <c r="BB291" s="55"/>
      <c r="BE291" s="45"/>
      <c r="BG291" s="45"/>
      <c r="BI291" s="45"/>
      <c r="BK291" s="45"/>
    </row>
    <row r="292" spans="26:63" ht="12.75" customHeight="1">
      <c r="Z292" s="55"/>
      <c r="BB292" s="55"/>
      <c r="BE292" s="45"/>
      <c r="BG292" s="45"/>
      <c r="BI292" s="45"/>
      <c r="BK292" s="45"/>
    </row>
    <row r="293" spans="26:63" ht="12.75" customHeight="1">
      <c r="Z293" s="55"/>
      <c r="BB293" s="55"/>
      <c r="BE293" s="45"/>
      <c r="BG293" s="45"/>
      <c r="BI293" s="45"/>
      <c r="BK293" s="45"/>
    </row>
    <row r="294" spans="26:63" ht="12.75" customHeight="1">
      <c r="Z294" s="55"/>
      <c r="BB294" s="55"/>
      <c r="BE294" s="45"/>
      <c r="BG294" s="45"/>
      <c r="BI294" s="45"/>
      <c r="BK294" s="45"/>
    </row>
    <row r="295" spans="26:63" ht="12.75" customHeight="1">
      <c r="Z295" s="55"/>
      <c r="BB295" s="55"/>
      <c r="BE295" s="45"/>
      <c r="BG295" s="45"/>
      <c r="BI295" s="45"/>
      <c r="BK295" s="45"/>
    </row>
    <row r="296" spans="26:63" ht="12.75" customHeight="1">
      <c r="Z296" s="55"/>
      <c r="BB296" s="55"/>
      <c r="BE296" s="45"/>
      <c r="BG296" s="45"/>
      <c r="BI296" s="45"/>
      <c r="BK296" s="45"/>
    </row>
    <row r="297" spans="26:63" ht="12.75" customHeight="1">
      <c r="Z297" s="55"/>
      <c r="BB297" s="55"/>
      <c r="BE297" s="45"/>
      <c r="BG297" s="45"/>
      <c r="BI297" s="45"/>
      <c r="BK297" s="45"/>
    </row>
    <row r="298" spans="26:63" ht="12.75" customHeight="1">
      <c r="Z298" s="55"/>
      <c r="BB298" s="55"/>
      <c r="BE298" s="45"/>
      <c r="BG298" s="45"/>
      <c r="BI298" s="45"/>
      <c r="BK298" s="45"/>
    </row>
    <row r="299" spans="26:63" ht="12.75" customHeight="1">
      <c r="Z299" s="55"/>
      <c r="BB299" s="55"/>
      <c r="BE299" s="45"/>
      <c r="BG299" s="45"/>
      <c r="BI299" s="45"/>
      <c r="BK299" s="45"/>
    </row>
    <row r="300" spans="26:63" ht="12.75" customHeight="1">
      <c r="Z300" s="55"/>
      <c r="BB300" s="55"/>
      <c r="BE300" s="45"/>
      <c r="BG300" s="45"/>
      <c r="BI300" s="45"/>
      <c r="BK300" s="45"/>
    </row>
    <row r="301" spans="26:63" ht="12.75" customHeight="1">
      <c r="Z301" s="55"/>
      <c r="BB301" s="55"/>
      <c r="BE301" s="45"/>
      <c r="BG301" s="45"/>
      <c r="BI301" s="45"/>
      <c r="BK301" s="45"/>
    </row>
    <row r="302" spans="26:63" ht="12.75" customHeight="1">
      <c r="Z302" s="55"/>
      <c r="BB302" s="55"/>
      <c r="BE302" s="45"/>
      <c r="BG302" s="45"/>
      <c r="BI302" s="45"/>
      <c r="BK302" s="45"/>
    </row>
    <row r="303" spans="26:63" ht="12.75" customHeight="1">
      <c r="Z303" s="55"/>
      <c r="BB303" s="55"/>
      <c r="BE303" s="45"/>
      <c r="BG303" s="45"/>
      <c r="BI303" s="45"/>
      <c r="BK303" s="45"/>
    </row>
    <row r="304" spans="26:63" ht="12.75" customHeight="1">
      <c r="Z304" s="55"/>
      <c r="BB304" s="55"/>
      <c r="BE304" s="45"/>
      <c r="BG304" s="45"/>
      <c r="BI304" s="45"/>
      <c r="BK304" s="45"/>
    </row>
    <row r="305" spans="26:63" ht="12.75" customHeight="1">
      <c r="Z305" s="55"/>
      <c r="BB305" s="55"/>
      <c r="BE305" s="45"/>
      <c r="BG305" s="45"/>
      <c r="BI305" s="45"/>
      <c r="BK305" s="45"/>
    </row>
    <row r="306" spans="26:63" ht="12.75" customHeight="1">
      <c r="Z306" s="55"/>
      <c r="BB306" s="55"/>
      <c r="BE306" s="45"/>
      <c r="BG306" s="45"/>
      <c r="BI306" s="45"/>
      <c r="BK306" s="45"/>
    </row>
    <row r="307" spans="26:63" ht="12.75" customHeight="1">
      <c r="Z307" s="55"/>
      <c r="BB307" s="55"/>
      <c r="BE307" s="45"/>
      <c r="BG307" s="45"/>
      <c r="BI307" s="45"/>
      <c r="BK307" s="45"/>
    </row>
    <row r="308" spans="26:63" ht="12.75" customHeight="1">
      <c r="Z308" s="55"/>
      <c r="BB308" s="55"/>
      <c r="BE308" s="45"/>
      <c r="BG308" s="45"/>
      <c r="BI308" s="45"/>
      <c r="BK308" s="45"/>
    </row>
    <row r="309" spans="26:63" ht="12.75" customHeight="1">
      <c r="Z309" s="55"/>
      <c r="BB309" s="55"/>
      <c r="BE309" s="45"/>
      <c r="BG309" s="45"/>
      <c r="BI309" s="45"/>
      <c r="BK309" s="45"/>
    </row>
    <row r="310" spans="26:63" ht="12.75" customHeight="1">
      <c r="Z310" s="55"/>
      <c r="BB310" s="55"/>
      <c r="BE310" s="45"/>
      <c r="BG310" s="45"/>
      <c r="BI310" s="45"/>
      <c r="BK310" s="45"/>
    </row>
    <row r="311" spans="26:63" ht="12.75" customHeight="1">
      <c r="Z311" s="55"/>
      <c r="BB311" s="55"/>
    </row>
    <row r="312" spans="26:63" ht="12.75" customHeight="1">
      <c r="Z312" s="55"/>
      <c r="BB312" s="55"/>
    </row>
    <row r="313" spans="26:63" ht="12.75" customHeight="1">
      <c r="Z313" s="55"/>
      <c r="BB313" s="55"/>
    </row>
    <row r="314" spans="26:63" ht="12.75" customHeight="1">
      <c r="Z314" s="55"/>
      <c r="BB314" s="55"/>
    </row>
  </sheetData>
  <mergeCells count="1">
    <mergeCell ref="Q6:U6"/>
  </mergeCells>
  <phoneticPr fontId="4" type="noConversion"/>
  <pageMargins left="0.75" right="0.75" top="0.5" bottom="0.5" header="0" footer="0.25"/>
  <pageSetup scale="90" firstPageNumber="108" pageOrder="overThenDown" orientation="portrait" useFirstPageNumber="1" horizontalDpi="1200" verticalDpi="1200" r:id="rId1"/>
  <headerFooter alignWithMargins="0">
    <oddFooter>&amp;C&amp;"Times New Roman,Regular"&amp;11&amp;P</oddFooter>
  </headerFooter>
  <colBreaks count="1" manualBreakCount="1">
    <brk id="12" min="12" max="23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BV309"/>
  <sheetViews>
    <sheetView tabSelected="1" zoomScale="150" zoomScaleNormal="150" workbookViewId="0">
      <pane xSplit="4" ySplit="10" topLeftCell="E253" activePane="bottomRight" state="frozen"/>
      <selection pane="topRight" activeCell="E1" sqref="E1"/>
      <selection pane="bottomLeft" activeCell="A11" sqref="A11"/>
      <selection pane="bottomRight" activeCell="C5" sqref="C5"/>
    </sheetView>
  </sheetViews>
  <sheetFormatPr defaultColWidth="8.44140625" defaultRowHeight="12.75" customHeight="1"/>
  <cols>
    <col min="1" max="1" width="15.33203125" style="55" customWidth="1"/>
    <col min="2" max="2" width="1.6640625" style="51" customWidth="1"/>
    <col min="3" max="3" width="10.5546875" style="55" customWidth="1"/>
    <col min="4" max="4" width="1.6640625" style="55" customWidth="1"/>
    <col min="5" max="5" width="11.6640625" style="55" customWidth="1"/>
    <col min="6" max="6" width="1.6640625" style="55" customWidth="1"/>
    <col min="7" max="7" width="11.6640625" style="55" customWidth="1"/>
    <col min="8" max="8" width="1.6640625" style="55" customWidth="1"/>
    <col min="9" max="9" width="11.6640625" style="55" customWidth="1"/>
    <col min="10" max="10" width="1.6640625" style="55" customWidth="1"/>
    <col min="11" max="11" width="11.6640625" style="55" customWidth="1"/>
    <col min="12" max="12" width="1.6640625" style="55" customWidth="1"/>
    <col min="13" max="13" width="11.6640625" style="55" customWidth="1"/>
    <col min="14" max="14" width="1.6640625" style="55" customWidth="1"/>
    <col min="15" max="15" width="11.6640625" style="55" customWidth="1"/>
    <col min="16" max="16" width="1.6640625" style="55" customWidth="1"/>
    <col min="17" max="17" width="11.6640625" style="55" customWidth="1"/>
    <col min="18" max="18" width="1.88671875" style="55" customWidth="1"/>
    <col min="19" max="19" width="11.6640625" style="55" customWidth="1"/>
    <col min="20" max="20" width="1.6640625" style="55" customWidth="1"/>
    <col min="21" max="21" width="11.6640625" style="55" customWidth="1"/>
    <col min="22" max="22" width="1.6640625" style="55" customWidth="1"/>
    <col min="23" max="23" width="11.6640625" style="55" customWidth="1"/>
    <col min="24" max="24" width="14.5546875" style="55" customWidth="1"/>
    <col min="25" max="25" width="15.33203125" style="55" customWidth="1"/>
    <col min="26" max="26" width="1.6640625" style="47" customWidth="1"/>
    <col min="27" max="27" width="10.5546875" style="55" customWidth="1"/>
    <col min="28" max="28" width="1.6640625" style="55" customWidth="1"/>
    <col min="29" max="29" width="11.6640625" style="55" customWidth="1"/>
    <col min="30" max="30" width="1.6640625" style="55" customWidth="1"/>
    <col min="31" max="31" width="11.6640625" style="55" customWidth="1"/>
    <col min="32" max="32" width="1.6640625" style="55" customWidth="1"/>
    <col min="33" max="33" width="11.6640625" style="55" customWidth="1"/>
    <col min="34" max="34" width="1.6640625" style="55" customWidth="1"/>
    <col min="35" max="35" width="11.6640625" style="55" customWidth="1"/>
    <col min="36" max="36" width="1.6640625" style="55" customWidth="1"/>
    <col min="37" max="37" width="11.6640625" style="45" customWidth="1"/>
    <col min="38" max="38" width="1.6640625" style="45" customWidth="1"/>
    <col min="39" max="39" width="11.6640625" style="45" customWidth="1"/>
    <col min="40" max="40" width="1.6640625" style="45" customWidth="1"/>
    <col min="41" max="41" width="11.6640625" style="45" customWidth="1"/>
    <col min="42" max="42" width="1.6640625" style="45" customWidth="1"/>
    <col min="43" max="43" width="11.6640625" style="45" customWidth="1"/>
    <col min="44" max="44" width="1.6640625" style="45" customWidth="1"/>
    <col min="45" max="45" width="11.6640625" style="55" customWidth="1"/>
    <col min="46" max="46" width="1.6640625" style="55" customWidth="1"/>
    <col min="47" max="47" width="11.6640625" style="55" hidden="1" customWidth="1"/>
    <col min="48" max="48" width="1.6640625" style="55" hidden="1" customWidth="1"/>
    <col min="49" max="49" width="11.6640625" style="55" hidden="1" customWidth="1"/>
    <col min="50" max="50" width="1.6640625" style="55" hidden="1" customWidth="1"/>
    <col min="51" max="52" width="11.6640625" style="55" customWidth="1"/>
    <col min="53" max="53" width="15.33203125" style="55" customWidth="1"/>
    <col min="54" max="54" width="1.6640625" style="47" customWidth="1"/>
    <col min="55" max="55" width="10.5546875" style="55" customWidth="1"/>
    <col min="56" max="56" width="1.6640625" style="55" customWidth="1"/>
    <col min="57" max="57" width="11.6640625" style="55" customWidth="1"/>
    <col min="58" max="58" width="1.6640625" style="55" customWidth="1"/>
    <col min="59" max="59" width="11.6640625" style="55" customWidth="1"/>
    <col min="60" max="60" width="1.6640625" style="55" customWidth="1"/>
    <col min="61" max="61" width="11.6640625" style="55" customWidth="1"/>
    <col min="62" max="62" width="1.6640625" style="55" customWidth="1"/>
    <col min="63" max="63" width="11.6640625" style="55" customWidth="1"/>
    <col min="64" max="64" width="1.6640625" style="55" customWidth="1"/>
    <col min="65" max="65" width="11.6640625" style="55" customWidth="1"/>
    <col min="66" max="66" width="1.6640625" style="55" hidden="1" customWidth="1"/>
    <col min="67" max="67" width="11.6640625" style="55" hidden="1" customWidth="1"/>
    <col min="68" max="68" width="1.6640625" style="55" hidden="1" customWidth="1"/>
    <col min="69" max="69" width="11.6640625" style="55" hidden="1" customWidth="1"/>
    <col min="70" max="70" width="1.6640625" style="55" customWidth="1"/>
    <col min="71" max="71" width="11.6640625" style="55" customWidth="1"/>
    <col min="72" max="72" width="1.6640625" style="55" customWidth="1"/>
    <col min="73" max="73" width="11.6640625" style="55" customWidth="1"/>
    <col min="74" max="74" width="1.6640625" style="55" customWidth="1"/>
    <col min="75" max="75" width="11.6640625" style="55" customWidth="1"/>
    <col min="76" max="76" width="1.6640625" style="55" customWidth="1"/>
    <col min="77" max="77" width="11.6640625" style="55" customWidth="1"/>
    <col min="78" max="78" width="1.6640625" style="55" customWidth="1"/>
    <col min="79" max="79" width="11.6640625" style="55" customWidth="1"/>
    <col min="80" max="80" width="1.6640625" style="55" customWidth="1"/>
    <col min="81" max="81" width="11.6640625" style="55" customWidth="1"/>
    <col min="82" max="82" width="1.6640625" style="55" customWidth="1"/>
    <col min="83" max="83" width="11.6640625" style="55" customWidth="1"/>
    <col min="84" max="84" width="1.6640625" style="55" customWidth="1"/>
    <col min="85" max="85" width="11.6640625" style="55" customWidth="1"/>
    <col min="86" max="86" width="1.6640625" style="55" customWidth="1"/>
    <col min="87" max="16384" width="8.44140625" style="55"/>
  </cols>
  <sheetData>
    <row r="1" spans="1:66" s="85" customFormat="1" ht="12">
      <c r="A1" s="74" t="s">
        <v>496</v>
      </c>
      <c r="C1" s="86"/>
      <c r="D1" s="86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4" t="s">
        <v>496</v>
      </c>
      <c r="AA1" s="86"/>
      <c r="AB1" s="86"/>
      <c r="AC1" s="74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74" t="s">
        <v>497</v>
      </c>
      <c r="BC1" s="86"/>
      <c r="BD1" s="86"/>
      <c r="BE1" s="35"/>
      <c r="BF1" s="35"/>
      <c r="BG1" s="35"/>
      <c r="BH1" s="35"/>
      <c r="BI1" s="35"/>
      <c r="BJ1" s="35"/>
      <c r="BK1" s="35"/>
      <c r="BL1" s="35"/>
      <c r="BM1" s="75"/>
      <c r="BN1" s="75"/>
    </row>
    <row r="2" spans="1:66" s="85" customFormat="1" ht="12">
      <c r="A2" s="92" t="s">
        <v>472</v>
      </c>
      <c r="C2" s="86"/>
      <c r="D2" s="86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92" t="s">
        <v>473</v>
      </c>
      <c r="AA2" s="86"/>
      <c r="AB2" s="86"/>
      <c r="AC2" s="92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76" t="s">
        <v>348</v>
      </c>
      <c r="BC2" s="86"/>
      <c r="BD2" s="86"/>
      <c r="BE2" s="35"/>
      <c r="BF2" s="35"/>
      <c r="BG2" s="35"/>
      <c r="BH2" s="35"/>
      <c r="BI2" s="35"/>
      <c r="BJ2" s="35"/>
      <c r="BK2" s="35"/>
      <c r="BL2" s="35"/>
      <c r="BM2" s="75"/>
      <c r="BN2" s="75"/>
    </row>
    <row r="3" spans="1:66" ht="13.2">
      <c r="A3" s="74" t="s">
        <v>495</v>
      </c>
      <c r="C3" s="87"/>
      <c r="D3" s="87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74" t="s">
        <v>495</v>
      </c>
      <c r="Z3" s="55"/>
      <c r="AA3" s="87"/>
      <c r="AB3" s="87"/>
      <c r="AC3" s="74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74" t="s">
        <v>495</v>
      </c>
      <c r="BB3" s="55"/>
      <c r="BC3" s="87"/>
      <c r="BD3" s="87"/>
      <c r="BE3" s="35"/>
      <c r="BF3" s="35"/>
      <c r="BG3" s="35"/>
      <c r="BH3" s="35"/>
      <c r="BI3" s="35"/>
      <c r="BJ3" s="35"/>
      <c r="BK3" s="35"/>
      <c r="BL3" s="35"/>
      <c r="BM3" s="35"/>
      <c r="BN3" s="35"/>
    </row>
    <row r="4" spans="1:66" ht="13.2">
      <c r="A4" s="88" t="s">
        <v>289</v>
      </c>
      <c r="C4" s="87"/>
      <c r="D4" s="87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88" t="s">
        <v>289</v>
      </c>
      <c r="Z4" s="55"/>
      <c r="AA4" s="87"/>
      <c r="AB4" s="87"/>
      <c r="AC4" s="88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88" t="s">
        <v>289</v>
      </c>
      <c r="BB4" s="55"/>
      <c r="BC4" s="87"/>
      <c r="BD4" s="87"/>
      <c r="BE4" s="35"/>
      <c r="BF4" s="35"/>
      <c r="BG4" s="35"/>
      <c r="BH4" s="35"/>
      <c r="BI4" s="35"/>
      <c r="BJ4" s="35"/>
      <c r="BK4" s="35"/>
      <c r="BL4" s="35"/>
      <c r="BM4" s="35"/>
      <c r="BN4" s="35"/>
    </row>
    <row r="5" spans="1:66" ht="13.2">
      <c r="A5" s="88"/>
      <c r="C5" s="87"/>
      <c r="D5" s="87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V5" s="35"/>
      <c r="W5" s="35"/>
      <c r="X5" s="35"/>
      <c r="Y5" s="88"/>
      <c r="Z5" s="55"/>
      <c r="AA5" s="87"/>
      <c r="AB5" s="87"/>
      <c r="AC5" s="74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88"/>
      <c r="BB5" s="55"/>
      <c r="BC5" s="87"/>
      <c r="BD5" s="87"/>
      <c r="BL5" s="35"/>
      <c r="BM5" s="35"/>
      <c r="BN5" s="35"/>
    </row>
    <row r="6" spans="1:66" ht="13.2">
      <c r="A6" s="89"/>
      <c r="C6" s="89"/>
      <c r="D6" s="89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158" t="s">
        <v>2</v>
      </c>
      <c r="R6" s="158"/>
      <c r="S6" s="158"/>
      <c r="T6" s="158"/>
      <c r="U6" s="158"/>
      <c r="V6" s="93"/>
      <c r="W6" s="93"/>
      <c r="X6" s="77"/>
      <c r="Y6" s="89"/>
      <c r="Z6" s="55"/>
      <c r="AA6" s="89"/>
      <c r="AB6" s="89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8" t="s">
        <v>411</v>
      </c>
      <c r="AV6" s="35"/>
      <c r="AW6" s="8" t="s">
        <v>412</v>
      </c>
      <c r="AX6" s="35"/>
      <c r="AY6" s="35"/>
      <c r="AZ6" s="35"/>
      <c r="BA6" s="89"/>
      <c r="BB6" s="55"/>
      <c r="BC6" s="89"/>
      <c r="BD6" s="89"/>
      <c r="BE6" s="34" t="s">
        <v>348</v>
      </c>
      <c r="BF6" s="34"/>
      <c r="BG6" s="34"/>
      <c r="BH6" s="34"/>
      <c r="BI6" s="34"/>
      <c r="BJ6" s="34"/>
      <c r="BK6" s="34"/>
      <c r="BL6" s="77"/>
      <c r="BM6" s="35"/>
      <c r="BN6" s="35"/>
    </row>
    <row r="7" spans="1:66" s="89" customFormat="1" ht="12"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 t="s">
        <v>7</v>
      </c>
      <c r="AC7" s="8"/>
      <c r="AD7" s="8"/>
      <c r="AE7" s="8"/>
      <c r="AF7" s="8"/>
      <c r="AG7" s="8"/>
      <c r="AH7" s="8"/>
      <c r="AI7" s="8"/>
      <c r="AJ7" s="8"/>
      <c r="AK7" s="8" t="s">
        <v>354</v>
      </c>
      <c r="AL7" s="8"/>
      <c r="AM7" s="8"/>
      <c r="AN7" s="8"/>
      <c r="AO7" s="8"/>
      <c r="AP7" s="8"/>
      <c r="AQ7" s="8"/>
      <c r="AR7" s="8"/>
      <c r="AS7" s="8"/>
      <c r="AT7" s="8"/>
      <c r="AU7" s="8" t="s">
        <v>349</v>
      </c>
      <c r="AV7" s="8"/>
      <c r="AW7" s="8" t="s">
        <v>349</v>
      </c>
      <c r="AX7" s="8"/>
      <c r="AY7" s="8"/>
      <c r="AZ7" s="8"/>
      <c r="BE7" s="8" t="s">
        <v>296</v>
      </c>
      <c r="BF7" s="8"/>
      <c r="BG7" s="8" t="s">
        <v>350</v>
      </c>
      <c r="BH7" s="8"/>
      <c r="BI7" s="8"/>
      <c r="BJ7" s="8"/>
      <c r="BK7" s="8" t="s">
        <v>294</v>
      </c>
      <c r="BL7" s="8"/>
      <c r="BM7" s="8" t="s">
        <v>6</v>
      </c>
      <c r="BN7" s="54"/>
    </row>
    <row r="8" spans="1:66" s="89" customFormat="1" ht="12">
      <c r="E8" s="8" t="s">
        <v>3</v>
      </c>
      <c r="F8" s="8"/>
      <c r="G8" s="8" t="s">
        <v>351</v>
      </c>
      <c r="H8" s="8"/>
      <c r="I8" s="8" t="s">
        <v>6</v>
      </c>
      <c r="J8" s="8"/>
      <c r="K8" s="8" t="s">
        <v>3</v>
      </c>
      <c r="L8" s="8"/>
      <c r="M8" s="8" t="s">
        <v>352</v>
      </c>
      <c r="N8" s="8"/>
      <c r="O8" s="8" t="s">
        <v>6</v>
      </c>
      <c r="P8" s="8"/>
      <c r="Q8" s="89" t="s">
        <v>4</v>
      </c>
      <c r="R8" s="8"/>
      <c r="S8" s="8"/>
      <c r="T8" s="8"/>
      <c r="U8" s="8"/>
      <c r="V8" s="8"/>
      <c r="W8" s="8" t="s">
        <v>6</v>
      </c>
      <c r="X8" s="8"/>
      <c r="AC8" s="8" t="s">
        <v>345</v>
      </c>
      <c r="AD8" s="8"/>
      <c r="AE8" s="8" t="s">
        <v>353</v>
      </c>
      <c r="AF8" s="8"/>
      <c r="AG8" s="8"/>
      <c r="AH8" s="8"/>
      <c r="AI8" s="8" t="s">
        <v>345</v>
      </c>
      <c r="AJ8" s="8"/>
      <c r="AK8" s="89" t="s">
        <v>373</v>
      </c>
      <c r="AL8" s="8"/>
      <c r="AM8" s="8"/>
      <c r="AN8" s="8"/>
      <c r="AO8" s="8"/>
      <c r="AP8" s="8"/>
      <c r="AQ8" s="8" t="s">
        <v>4</v>
      </c>
      <c r="AR8" s="8"/>
      <c r="AS8" s="8" t="s">
        <v>368</v>
      </c>
      <c r="AT8" s="8"/>
      <c r="AU8" s="8" t="s">
        <v>413</v>
      </c>
      <c r="AV8" s="8"/>
      <c r="AW8" s="8" t="s">
        <v>419</v>
      </c>
      <c r="AX8" s="8"/>
      <c r="AY8" s="8" t="s">
        <v>355</v>
      </c>
      <c r="AZ8" s="8"/>
      <c r="BE8" s="8" t="s">
        <v>356</v>
      </c>
      <c r="BF8" s="8"/>
      <c r="BG8" s="8" t="s">
        <v>302</v>
      </c>
      <c r="BH8" s="8"/>
      <c r="BI8" s="8"/>
      <c r="BJ8" s="8"/>
      <c r="BK8" s="8" t="s">
        <v>352</v>
      </c>
      <c r="BL8" s="8"/>
      <c r="BM8" s="8" t="s">
        <v>352</v>
      </c>
      <c r="BN8" s="54"/>
    </row>
    <row r="9" spans="1:66" s="89" customFormat="1" ht="12">
      <c r="A9" s="153" t="s">
        <v>8</v>
      </c>
      <c r="C9" s="153" t="s">
        <v>9</v>
      </c>
      <c r="D9" s="8"/>
      <c r="E9" s="153" t="s">
        <v>0</v>
      </c>
      <c r="F9" s="8"/>
      <c r="G9" s="153" t="s">
        <v>0</v>
      </c>
      <c r="H9" s="8"/>
      <c r="I9" s="153" t="s">
        <v>0</v>
      </c>
      <c r="J9" s="8"/>
      <c r="K9" s="153" t="s">
        <v>1</v>
      </c>
      <c r="L9" s="8"/>
      <c r="M9" s="153" t="s">
        <v>1</v>
      </c>
      <c r="N9" s="153"/>
      <c r="O9" s="153" t="s">
        <v>1</v>
      </c>
      <c r="P9" s="8"/>
      <c r="Q9" s="153" t="s">
        <v>0</v>
      </c>
      <c r="R9" s="8"/>
      <c r="S9" s="153" t="s">
        <v>10</v>
      </c>
      <c r="T9" s="8"/>
      <c r="U9" s="153" t="s">
        <v>11</v>
      </c>
      <c r="V9" s="8"/>
      <c r="W9" s="153" t="s">
        <v>2</v>
      </c>
      <c r="X9" s="8"/>
      <c r="Y9" s="153" t="s">
        <v>8</v>
      </c>
      <c r="AA9" s="153" t="s">
        <v>9</v>
      </c>
      <c r="AB9" s="8"/>
      <c r="AC9" s="78" t="s">
        <v>302</v>
      </c>
      <c r="AD9" s="8"/>
      <c r="AE9" s="78" t="s">
        <v>357</v>
      </c>
      <c r="AF9" s="8"/>
      <c r="AG9" s="78" t="s">
        <v>357</v>
      </c>
      <c r="AH9" s="8"/>
      <c r="AI9" s="78" t="s">
        <v>358</v>
      </c>
      <c r="AJ9" s="8"/>
      <c r="AK9" s="78" t="s">
        <v>374</v>
      </c>
      <c r="AL9" s="8"/>
      <c r="AM9" s="78" t="s">
        <v>359</v>
      </c>
      <c r="AN9" s="8"/>
      <c r="AO9" s="78" t="s">
        <v>360</v>
      </c>
      <c r="AP9" s="8"/>
      <c r="AQ9" s="153" t="s">
        <v>361</v>
      </c>
      <c r="AR9" s="8"/>
      <c r="AS9" s="78" t="s">
        <v>2</v>
      </c>
      <c r="AT9" s="8"/>
      <c r="AU9" s="153" t="s">
        <v>415</v>
      </c>
      <c r="AV9" s="8"/>
      <c r="AW9" s="153" t="s">
        <v>415</v>
      </c>
      <c r="AX9" s="8"/>
      <c r="AY9" s="78" t="s">
        <v>4</v>
      </c>
      <c r="AZ9" s="8"/>
      <c r="BA9" s="153" t="s">
        <v>8</v>
      </c>
      <c r="BC9" s="153" t="s">
        <v>9</v>
      </c>
      <c r="BD9" s="8"/>
      <c r="BE9" s="78" t="s">
        <v>362</v>
      </c>
      <c r="BF9" s="8"/>
      <c r="BG9" s="78" t="s">
        <v>362</v>
      </c>
      <c r="BH9" s="8"/>
      <c r="BI9" s="78" t="s">
        <v>363</v>
      </c>
      <c r="BJ9" s="8"/>
      <c r="BK9" s="78" t="s">
        <v>364</v>
      </c>
      <c r="BL9" s="8"/>
      <c r="BM9" s="153" t="s">
        <v>364</v>
      </c>
      <c r="BN9" s="54"/>
    </row>
    <row r="10" spans="1:66" s="89" customFormat="1" ht="12">
      <c r="A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54"/>
    </row>
    <row r="11" spans="1:66" ht="13.2" hidden="1">
      <c r="A11" s="35" t="s">
        <v>12</v>
      </c>
      <c r="C11" s="35" t="s">
        <v>13</v>
      </c>
      <c r="D11" s="35"/>
      <c r="E11" s="35">
        <f t="shared" ref="E11:E74" si="0">I11-G11</f>
        <v>0</v>
      </c>
      <c r="F11" s="35"/>
      <c r="G11" s="35"/>
      <c r="H11" s="35"/>
      <c r="I11" s="35"/>
      <c r="J11" s="35"/>
      <c r="K11" s="35">
        <f t="shared" ref="K11:K74" si="1">O11-M11</f>
        <v>0</v>
      </c>
      <c r="L11" s="35"/>
      <c r="M11" s="35">
        <f t="shared" ref="M11:M38" si="2">SUM(BM11)</f>
        <v>0</v>
      </c>
      <c r="N11" s="35"/>
      <c r="O11" s="35"/>
      <c r="P11" s="35"/>
      <c r="Q11" s="35"/>
      <c r="R11" s="35"/>
      <c r="S11" s="35"/>
      <c r="T11" s="35"/>
      <c r="U11" s="35"/>
      <c r="V11" s="35"/>
      <c r="W11" s="35">
        <f t="shared" ref="W11:W33" si="3">SUM(Q11:U11)</f>
        <v>0</v>
      </c>
      <c r="X11" s="35"/>
      <c r="Y11" s="35" t="s">
        <v>12</v>
      </c>
      <c r="Z11" s="55"/>
      <c r="AA11" s="35" t="s">
        <v>13</v>
      </c>
      <c r="AB11" s="35"/>
      <c r="AC11" s="35"/>
      <c r="AD11" s="35"/>
      <c r="AE11" s="35"/>
      <c r="AF11" s="35"/>
      <c r="AG11" s="35"/>
      <c r="AH11" s="35"/>
      <c r="AI11" s="45">
        <f>+AC11-AE11-AG11</f>
        <v>0</v>
      </c>
      <c r="AJ11" s="45"/>
      <c r="AK11" s="35"/>
      <c r="AL11" s="35"/>
      <c r="AM11" s="35"/>
      <c r="AN11" s="35"/>
      <c r="AO11" s="35"/>
      <c r="AP11" s="35"/>
      <c r="AQ11" s="35"/>
      <c r="AR11" s="35"/>
      <c r="AS11" s="45">
        <f>+AI11+AK11+AM11-AO11+AQ11</f>
        <v>0</v>
      </c>
      <c r="AT11" s="45"/>
      <c r="AU11" s="35">
        <v>0</v>
      </c>
      <c r="AV11" s="35"/>
      <c r="AW11" s="35">
        <v>0</v>
      </c>
      <c r="AX11" s="35"/>
      <c r="AY11" s="35">
        <f t="shared" ref="AY11:AY74" si="4">+E11-K11</f>
        <v>0</v>
      </c>
      <c r="AZ11" s="35"/>
      <c r="BA11" s="35" t="s">
        <v>12</v>
      </c>
      <c r="BB11" s="55"/>
      <c r="BC11" s="35" t="s">
        <v>13</v>
      </c>
      <c r="BD11" s="35"/>
      <c r="BE11" s="35"/>
      <c r="BF11" s="35"/>
      <c r="BG11" s="35"/>
      <c r="BH11" s="35"/>
      <c r="BI11" s="35"/>
      <c r="BJ11" s="35"/>
      <c r="BK11" s="35"/>
      <c r="BL11" s="35"/>
      <c r="BM11" s="35">
        <f t="shared" ref="BM11:BM27" si="5">SUM(BE11:BK11)</f>
        <v>0</v>
      </c>
      <c r="BN11" s="54" t="s">
        <v>347</v>
      </c>
    </row>
    <row r="12" spans="1:66" ht="13.2" hidden="1">
      <c r="A12" s="35" t="s">
        <v>14</v>
      </c>
      <c r="C12" s="35" t="s">
        <v>15</v>
      </c>
      <c r="D12" s="35"/>
      <c r="E12" s="35">
        <f t="shared" si="0"/>
        <v>0</v>
      </c>
      <c r="F12" s="35"/>
      <c r="G12" s="35">
        <v>0</v>
      </c>
      <c r="H12" s="35"/>
      <c r="I12" s="35">
        <v>0</v>
      </c>
      <c r="J12" s="35"/>
      <c r="K12" s="35">
        <f t="shared" si="1"/>
        <v>0</v>
      </c>
      <c r="L12" s="35"/>
      <c r="M12" s="35">
        <f t="shared" si="2"/>
        <v>0</v>
      </c>
      <c r="N12" s="35"/>
      <c r="O12" s="35">
        <v>0</v>
      </c>
      <c r="P12" s="35"/>
      <c r="Q12" s="35">
        <v>0</v>
      </c>
      <c r="R12" s="35"/>
      <c r="S12" s="35">
        <v>0</v>
      </c>
      <c r="T12" s="35"/>
      <c r="U12" s="35">
        <v>0</v>
      </c>
      <c r="V12" s="35"/>
      <c r="W12" s="35">
        <f t="shared" si="3"/>
        <v>0</v>
      </c>
      <c r="X12" s="35"/>
      <c r="Y12" s="35" t="s">
        <v>14</v>
      </c>
      <c r="Z12" s="55"/>
      <c r="AA12" s="35" t="s">
        <v>15</v>
      </c>
      <c r="AB12" s="35"/>
      <c r="AC12" s="35">
        <v>0</v>
      </c>
      <c r="AD12" s="35"/>
      <c r="AE12" s="35">
        <v>0</v>
      </c>
      <c r="AF12" s="35"/>
      <c r="AG12" s="35">
        <v>0</v>
      </c>
      <c r="AH12" s="35"/>
      <c r="AI12" s="45">
        <v>0</v>
      </c>
      <c r="AJ12" s="45"/>
      <c r="AK12" s="35">
        <v>0</v>
      </c>
      <c r="AL12" s="35"/>
      <c r="AM12" s="35">
        <v>0</v>
      </c>
      <c r="AN12" s="35"/>
      <c r="AO12" s="35">
        <v>0</v>
      </c>
      <c r="AP12" s="35"/>
      <c r="AQ12" s="35">
        <v>0</v>
      </c>
      <c r="AR12" s="35"/>
      <c r="AS12" s="45">
        <v>0</v>
      </c>
      <c r="AT12" s="45"/>
      <c r="AU12" s="35">
        <v>0</v>
      </c>
      <c r="AV12" s="35"/>
      <c r="AW12" s="35">
        <v>0</v>
      </c>
      <c r="AX12" s="35"/>
      <c r="AY12" s="35">
        <f t="shared" si="4"/>
        <v>0</v>
      </c>
      <c r="AZ12" s="35"/>
      <c r="BA12" s="35" t="s">
        <v>14</v>
      </c>
      <c r="BB12" s="55"/>
      <c r="BC12" s="35" t="s">
        <v>15</v>
      </c>
      <c r="BD12" s="35"/>
      <c r="BE12" s="35">
        <v>0</v>
      </c>
      <c r="BF12" s="35"/>
      <c r="BG12" s="35">
        <v>0</v>
      </c>
      <c r="BH12" s="35"/>
      <c r="BI12" s="35">
        <v>0</v>
      </c>
      <c r="BJ12" s="35"/>
      <c r="BK12" s="35">
        <v>0</v>
      </c>
      <c r="BL12" s="35"/>
      <c r="BM12" s="35">
        <f t="shared" si="5"/>
        <v>0</v>
      </c>
      <c r="BN12" s="54" t="s">
        <v>347</v>
      </c>
    </row>
    <row r="13" spans="1:66" s="90" customFormat="1" ht="13.2" hidden="1">
      <c r="A13" s="35" t="s">
        <v>16</v>
      </c>
      <c r="B13" s="51"/>
      <c r="C13" s="35" t="s">
        <v>17</v>
      </c>
      <c r="D13" s="35"/>
      <c r="E13" s="64">
        <f t="shared" si="0"/>
        <v>0</v>
      </c>
      <c r="F13" s="64"/>
      <c r="G13" s="64"/>
      <c r="H13" s="64"/>
      <c r="I13" s="64"/>
      <c r="J13" s="64"/>
      <c r="K13" s="64">
        <f t="shared" si="1"/>
        <v>0</v>
      </c>
      <c r="L13" s="64"/>
      <c r="M13" s="64">
        <v>0</v>
      </c>
      <c r="N13" s="64"/>
      <c r="O13" s="64"/>
      <c r="P13" s="64"/>
      <c r="Q13" s="64"/>
      <c r="R13" s="64"/>
      <c r="S13" s="64">
        <v>0</v>
      </c>
      <c r="T13" s="64"/>
      <c r="U13" s="64"/>
      <c r="V13" s="64"/>
      <c r="W13" s="64">
        <f t="shared" si="3"/>
        <v>0</v>
      </c>
      <c r="X13" s="35"/>
      <c r="Y13" s="35" t="s">
        <v>16</v>
      </c>
      <c r="Z13" s="55"/>
      <c r="AA13" s="35" t="s">
        <v>17</v>
      </c>
      <c r="AB13" s="35"/>
      <c r="AC13" s="64">
        <v>0</v>
      </c>
      <c r="AD13" s="64"/>
      <c r="AE13" s="64">
        <v>0</v>
      </c>
      <c r="AF13" s="64"/>
      <c r="AG13" s="64">
        <v>0</v>
      </c>
      <c r="AH13" s="64"/>
      <c r="AI13" s="94">
        <f>+AC13-AE13-AG13</f>
        <v>0</v>
      </c>
      <c r="AJ13" s="94"/>
      <c r="AK13" s="64"/>
      <c r="AL13" s="64"/>
      <c r="AM13" s="64">
        <v>0</v>
      </c>
      <c r="AN13" s="64"/>
      <c r="AO13" s="64">
        <v>0</v>
      </c>
      <c r="AP13" s="64"/>
      <c r="AQ13" s="64">
        <v>0</v>
      </c>
      <c r="AR13" s="64"/>
      <c r="AS13" s="94">
        <f>+AI13+AK13+AM13-AO13+AQ13</f>
        <v>0</v>
      </c>
      <c r="AT13" s="94"/>
      <c r="AU13" s="64">
        <v>0</v>
      </c>
      <c r="AV13" s="64"/>
      <c r="AW13" s="64">
        <v>0</v>
      </c>
      <c r="AX13" s="64"/>
      <c r="AY13" s="64">
        <f t="shared" si="4"/>
        <v>0</v>
      </c>
      <c r="AZ13" s="35"/>
      <c r="BA13" s="35" t="s">
        <v>16</v>
      </c>
      <c r="BB13" s="55"/>
      <c r="BC13" s="35" t="s">
        <v>17</v>
      </c>
      <c r="BD13" s="35"/>
      <c r="BE13" s="64">
        <v>0</v>
      </c>
      <c r="BF13" s="64"/>
      <c r="BG13" s="64"/>
      <c r="BH13" s="64"/>
      <c r="BI13" s="64"/>
      <c r="BJ13" s="64"/>
      <c r="BK13" s="64"/>
      <c r="BL13" s="64"/>
      <c r="BM13" s="64">
        <f t="shared" si="5"/>
        <v>0</v>
      </c>
      <c r="BN13" s="91" t="s">
        <v>347</v>
      </c>
    </row>
    <row r="14" spans="1:66" s="90" customFormat="1" ht="13.2">
      <c r="A14" s="64" t="s">
        <v>18</v>
      </c>
      <c r="B14" s="66"/>
      <c r="C14" s="64" t="s">
        <v>18</v>
      </c>
      <c r="D14" s="64"/>
      <c r="E14" s="64">
        <f t="shared" si="0"/>
        <v>440829</v>
      </c>
      <c r="F14" s="64"/>
      <c r="G14" s="64">
        <v>397719</v>
      </c>
      <c r="H14" s="64"/>
      <c r="I14" s="64">
        <v>838548</v>
      </c>
      <c r="J14" s="64"/>
      <c r="K14" s="64">
        <f t="shared" si="1"/>
        <v>86759</v>
      </c>
      <c r="L14" s="64"/>
      <c r="M14" s="64">
        <v>32880</v>
      </c>
      <c r="N14" s="64"/>
      <c r="O14" s="64">
        <v>119639</v>
      </c>
      <c r="P14" s="64"/>
      <c r="Q14" s="64">
        <v>397719</v>
      </c>
      <c r="R14" s="64"/>
      <c r="S14" s="64">
        <v>0</v>
      </c>
      <c r="T14" s="64"/>
      <c r="U14" s="64">
        <v>321190</v>
      </c>
      <c r="V14" s="64"/>
      <c r="W14" s="64">
        <f t="shared" si="3"/>
        <v>718909</v>
      </c>
      <c r="X14" s="64"/>
      <c r="Y14" s="64" t="s">
        <v>18</v>
      </c>
      <c r="AA14" s="64" t="s">
        <v>18</v>
      </c>
      <c r="AB14" s="64"/>
      <c r="AC14" s="64">
        <v>1769983</v>
      </c>
      <c r="AD14" s="64"/>
      <c r="AE14" s="64">
        <f>1778469-61305</f>
        <v>1717164</v>
      </c>
      <c r="AF14" s="64"/>
      <c r="AG14" s="64">
        <v>61305</v>
      </c>
      <c r="AH14" s="64"/>
      <c r="AI14" s="94">
        <f>+AC14-AE14-AG14</f>
        <v>-8486</v>
      </c>
      <c r="AJ14" s="94"/>
      <c r="AK14" s="64">
        <v>0</v>
      </c>
      <c r="AL14" s="64"/>
      <c r="AM14" s="64">
        <v>0</v>
      </c>
      <c r="AN14" s="64"/>
      <c r="AO14" s="64">
        <v>0</v>
      </c>
      <c r="AP14" s="64"/>
      <c r="AQ14" s="64">
        <v>0</v>
      </c>
      <c r="AR14" s="64"/>
      <c r="AS14" s="94">
        <f>+AI14+AK14+AM14-AO14+AQ14</f>
        <v>-8486</v>
      </c>
      <c r="AT14" s="94"/>
      <c r="AU14" s="64">
        <v>0</v>
      </c>
      <c r="AV14" s="64"/>
      <c r="AW14" s="64">
        <v>0</v>
      </c>
      <c r="AX14" s="64"/>
      <c r="AY14" s="64">
        <f t="shared" si="4"/>
        <v>354070</v>
      </c>
      <c r="AZ14" s="64"/>
      <c r="BA14" s="64" t="s">
        <v>18</v>
      </c>
      <c r="BC14" s="64" t="s">
        <v>18</v>
      </c>
      <c r="BD14" s="64"/>
      <c r="BE14" s="64">
        <v>0</v>
      </c>
      <c r="BF14" s="64"/>
      <c r="BG14" s="64">
        <v>0</v>
      </c>
      <c r="BH14" s="64"/>
      <c r="BI14" s="64">
        <v>0</v>
      </c>
      <c r="BJ14" s="64"/>
      <c r="BK14" s="64">
        <v>0</v>
      </c>
      <c r="BL14" s="64"/>
      <c r="BM14" s="64">
        <f t="shared" si="5"/>
        <v>0</v>
      </c>
      <c r="BN14" s="91" t="s">
        <v>347</v>
      </c>
    </row>
    <row r="15" spans="1:66" ht="13.2" hidden="1">
      <c r="A15" s="35" t="s">
        <v>19</v>
      </c>
      <c r="C15" s="35" t="s">
        <v>19</v>
      </c>
      <c r="D15" s="35"/>
      <c r="E15" s="35">
        <f t="shared" si="0"/>
        <v>0</v>
      </c>
      <c r="F15" s="35"/>
      <c r="G15" s="35"/>
      <c r="H15" s="35"/>
      <c r="I15" s="35"/>
      <c r="J15" s="35"/>
      <c r="K15" s="35">
        <f t="shared" si="1"/>
        <v>0</v>
      </c>
      <c r="L15" s="35"/>
      <c r="M15" s="35">
        <f t="shared" si="2"/>
        <v>0</v>
      </c>
      <c r="N15" s="35"/>
      <c r="O15" s="35"/>
      <c r="P15" s="35"/>
      <c r="Q15" s="35"/>
      <c r="R15" s="35"/>
      <c r="S15" s="35">
        <v>0</v>
      </c>
      <c r="T15" s="35"/>
      <c r="U15" s="35"/>
      <c r="V15" s="35"/>
      <c r="W15" s="35">
        <f t="shared" si="3"/>
        <v>0</v>
      </c>
      <c r="X15" s="35"/>
      <c r="Y15" s="35" t="s">
        <v>19</v>
      </c>
      <c r="Z15" s="55"/>
      <c r="AA15" s="35" t="s">
        <v>19</v>
      </c>
      <c r="AB15" s="35"/>
      <c r="AC15" s="35">
        <v>0</v>
      </c>
      <c r="AD15" s="35"/>
      <c r="AE15" s="35">
        <v>0</v>
      </c>
      <c r="AF15" s="35"/>
      <c r="AG15" s="35">
        <v>0</v>
      </c>
      <c r="AH15" s="35"/>
      <c r="AI15" s="45">
        <v>0</v>
      </c>
      <c r="AJ15" s="45"/>
      <c r="AK15" s="35"/>
      <c r="AL15" s="35"/>
      <c r="AM15" s="35">
        <v>0</v>
      </c>
      <c r="AN15" s="35"/>
      <c r="AO15" s="35">
        <v>0</v>
      </c>
      <c r="AP15" s="35"/>
      <c r="AQ15" s="35">
        <v>0</v>
      </c>
      <c r="AR15" s="35"/>
      <c r="AS15" s="45">
        <f>+AI15+AK15+AM15-AO15+AQ15</f>
        <v>0</v>
      </c>
      <c r="AT15" s="45"/>
      <c r="AU15" s="35">
        <v>0</v>
      </c>
      <c r="AV15" s="35"/>
      <c r="AW15" s="35">
        <v>0</v>
      </c>
      <c r="AX15" s="35"/>
      <c r="AY15" s="35">
        <f t="shared" si="4"/>
        <v>0</v>
      </c>
      <c r="AZ15" s="35"/>
      <c r="BA15" s="35" t="s">
        <v>19</v>
      </c>
      <c r="BB15" s="55"/>
      <c r="BC15" s="35" t="s">
        <v>19</v>
      </c>
      <c r="BD15" s="35"/>
      <c r="BE15" s="35"/>
      <c r="BF15" s="35"/>
      <c r="BG15" s="35"/>
      <c r="BH15" s="35"/>
      <c r="BI15" s="35"/>
      <c r="BJ15" s="35"/>
      <c r="BK15" s="35"/>
      <c r="BL15" s="35"/>
      <c r="BM15" s="35">
        <f t="shared" si="5"/>
        <v>0</v>
      </c>
      <c r="BN15" s="54" t="s">
        <v>347</v>
      </c>
    </row>
    <row r="16" spans="1:66" ht="13.2" hidden="1">
      <c r="A16" s="35" t="s">
        <v>20</v>
      </c>
      <c r="C16" s="35" t="s">
        <v>20</v>
      </c>
      <c r="D16" s="35"/>
      <c r="E16" s="35">
        <f t="shared" si="0"/>
        <v>0</v>
      </c>
      <c r="F16" s="35"/>
      <c r="G16" s="35"/>
      <c r="H16" s="35"/>
      <c r="I16" s="35"/>
      <c r="J16" s="35"/>
      <c r="K16" s="35">
        <f t="shared" si="1"/>
        <v>0</v>
      </c>
      <c r="L16" s="35"/>
      <c r="M16" s="35">
        <f t="shared" si="2"/>
        <v>0</v>
      </c>
      <c r="N16" s="35"/>
      <c r="O16" s="35"/>
      <c r="P16" s="35"/>
      <c r="Q16" s="35"/>
      <c r="R16" s="35"/>
      <c r="S16" s="35">
        <v>0</v>
      </c>
      <c r="T16" s="35"/>
      <c r="U16" s="35"/>
      <c r="V16" s="35"/>
      <c r="W16" s="35">
        <f t="shared" si="3"/>
        <v>0</v>
      </c>
      <c r="X16" s="35"/>
      <c r="Y16" s="35" t="s">
        <v>20</v>
      </c>
      <c r="Z16" s="55"/>
      <c r="AA16" s="35" t="s">
        <v>20</v>
      </c>
      <c r="AB16" s="35"/>
      <c r="AC16" s="35">
        <v>0</v>
      </c>
      <c r="AD16" s="35"/>
      <c r="AE16" s="35">
        <v>0</v>
      </c>
      <c r="AF16" s="35"/>
      <c r="AG16" s="35">
        <v>0</v>
      </c>
      <c r="AH16" s="35"/>
      <c r="AI16" s="45">
        <v>0</v>
      </c>
      <c r="AJ16" s="45"/>
      <c r="AK16" s="35"/>
      <c r="AL16" s="35"/>
      <c r="AM16" s="35">
        <v>0</v>
      </c>
      <c r="AN16" s="35"/>
      <c r="AO16" s="35">
        <v>0</v>
      </c>
      <c r="AP16" s="35"/>
      <c r="AQ16" s="35">
        <v>0</v>
      </c>
      <c r="AR16" s="35"/>
      <c r="AS16" s="45">
        <f>+AI16+AK16+AM16-AO16+AQ16</f>
        <v>0</v>
      </c>
      <c r="AT16" s="45"/>
      <c r="AU16" s="35">
        <v>0</v>
      </c>
      <c r="AV16" s="35"/>
      <c r="AW16" s="35">
        <v>0</v>
      </c>
      <c r="AX16" s="35"/>
      <c r="AY16" s="35">
        <f t="shared" si="4"/>
        <v>0</v>
      </c>
      <c r="AZ16" s="35"/>
      <c r="BA16" s="35" t="s">
        <v>20</v>
      </c>
      <c r="BB16" s="55"/>
      <c r="BC16" s="35" t="s">
        <v>20</v>
      </c>
      <c r="BD16" s="35"/>
      <c r="BE16" s="35"/>
      <c r="BF16" s="35"/>
      <c r="BG16" s="35"/>
      <c r="BH16" s="35"/>
      <c r="BI16" s="35"/>
      <c r="BJ16" s="35"/>
      <c r="BK16" s="35"/>
      <c r="BL16" s="35"/>
      <c r="BM16" s="35">
        <f t="shared" si="5"/>
        <v>0</v>
      </c>
      <c r="BN16" s="54" t="s">
        <v>347</v>
      </c>
    </row>
    <row r="17" spans="1:67" ht="13.2" hidden="1">
      <c r="A17" s="35" t="s">
        <v>21</v>
      </c>
      <c r="C17" s="35" t="s">
        <v>22</v>
      </c>
      <c r="D17" s="35"/>
      <c r="E17" s="35">
        <f t="shared" si="0"/>
        <v>0</v>
      </c>
      <c r="F17" s="35"/>
      <c r="G17" s="35"/>
      <c r="H17" s="35"/>
      <c r="I17" s="35"/>
      <c r="J17" s="35"/>
      <c r="K17" s="35">
        <f t="shared" si="1"/>
        <v>0</v>
      </c>
      <c r="L17" s="35"/>
      <c r="M17" s="35">
        <f t="shared" si="2"/>
        <v>0</v>
      </c>
      <c r="N17" s="35"/>
      <c r="O17" s="35"/>
      <c r="P17" s="35"/>
      <c r="Q17" s="35"/>
      <c r="R17" s="35"/>
      <c r="S17" s="35">
        <v>0</v>
      </c>
      <c r="T17" s="35"/>
      <c r="U17" s="35"/>
      <c r="V17" s="35"/>
      <c r="W17" s="35">
        <f t="shared" si="3"/>
        <v>0</v>
      </c>
      <c r="X17" s="35"/>
      <c r="Y17" s="35" t="s">
        <v>21</v>
      </c>
      <c r="Z17" s="55"/>
      <c r="AA17" s="35" t="s">
        <v>22</v>
      </c>
      <c r="AB17" s="35"/>
      <c r="AC17" s="35">
        <v>0</v>
      </c>
      <c r="AD17" s="35"/>
      <c r="AE17" s="35">
        <v>0</v>
      </c>
      <c r="AF17" s="35"/>
      <c r="AG17" s="35">
        <v>0</v>
      </c>
      <c r="AH17" s="35"/>
      <c r="AI17" s="45">
        <f t="shared" ref="AI17:AI31" si="6">+AC17-AE17-AG17</f>
        <v>0</v>
      </c>
      <c r="AJ17" s="45"/>
      <c r="AK17" s="35"/>
      <c r="AL17" s="35"/>
      <c r="AM17" s="35">
        <v>0</v>
      </c>
      <c r="AN17" s="35"/>
      <c r="AO17" s="35">
        <v>0</v>
      </c>
      <c r="AP17" s="35"/>
      <c r="AQ17" s="35">
        <v>0</v>
      </c>
      <c r="AR17" s="35"/>
      <c r="AS17" s="45">
        <f>+AI17+AK17+AM17-AO17+AQ17</f>
        <v>0</v>
      </c>
      <c r="AT17" s="45"/>
      <c r="AU17" s="35">
        <v>0</v>
      </c>
      <c r="AV17" s="35"/>
      <c r="AW17" s="35">
        <v>0</v>
      </c>
      <c r="AX17" s="35"/>
      <c r="AY17" s="35">
        <f t="shared" si="4"/>
        <v>0</v>
      </c>
      <c r="AZ17" s="35"/>
      <c r="BA17" s="35" t="s">
        <v>21</v>
      </c>
      <c r="BB17" s="55"/>
      <c r="BC17" s="35" t="s">
        <v>22</v>
      </c>
      <c r="BD17" s="35"/>
      <c r="BE17" s="35"/>
      <c r="BF17" s="35"/>
      <c r="BG17" s="35"/>
      <c r="BH17" s="35"/>
      <c r="BI17" s="35"/>
      <c r="BJ17" s="35"/>
      <c r="BK17" s="35"/>
      <c r="BL17" s="35"/>
      <c r="BM17" s="35">
        <f t="shared" si="5"/>
        <v>0</v>
      </c>
      <c r="BN17" s="54" t="s">
        <v>347</v>
      </c>
    </row>
    <row r="18" spans="1:67" ht="13.2" hidden="1">
      <c r="A18" s="35" t="s">
        <v>23</v>
      </c>
      <c r="C18" s="35" t="s">
        <v>17</v>
      </c>
      <c r="D18" s="35"/>
      <c r="E18" s="35">
        <f t="shared" si="0"/>
        <v>0</v>
      </c>
      <c r="F18" s="35"/>
      <c r="G18" s="35"/>
      <c r="H18" s="35"/>
      <c r="I18" s="35"/>
      <c r="J18" s="35"/>
      <c r="K18" s="35">
        <f t="shared" si="1"/>
        <v>0</v>
      </c>
      <c r="L18" s="35"/>
      <c r="M18" s="35">
        <f t="shared" si="2"/>
        <v>0</v>
      </c>
      <c r="N18" s="35"/>
      <c r="O18" s="35"/>
      <c r="P18" s="35"/>
      <c r="Q18" s="35"/>
      <c r="R18" s="35"/>
      <c r="S18" s="35">
        <v>0</v>
      </c>
      <c r="T18" s="35"/>
      <c r="U18" s="35"/>
      <c r="V18" s="35"/>
      <c r="W18" s="35">
        <f t="shared" si="3"/>
        <v>0</v>
      </c>
      <c r="X18" s="35"/>
      <c r="Y18" s="35" t="s">
        <v>23</v>
      </c>
      <c r="Z18" s="55"/>
      <c r="AA18" s="35" t="s">
        <v>17</v>
      </c>
      <c r="AB18" s="35"/>
      <c r="AC18" s="35">
        <v>0</v>
      </c>
      <c r="AD18" s="35"/>
      <c r="AE18" s="35">
        <v>0</v>
      </c>
      <c r="AF18" s="35"/>
      <c r="AG18" s="35">
        <v>0</v>
      </c>
      <c r="AH18" s="35"/>
      <c r="AI18" s="45">
        <f t="shared" si="6"/>
        <v>0</v>
      </c>
      <c r="AJ18" s="45"/>
      <c r="AK18" s="35"/>
      <c r="AL18" s="35"/>
      <c r="AM18" s="35">
        <v>0</v>
      </c>
      <c r="AN18" s="35"/>
      <c r="AO18" s="35">
        <v>0</v>
      </c>
      <c r="AP18" s="35"/>
      <c r="AQ18" s="35">
        <v>0</v>
      </c>
      <c r="AR18" s="35"/>
      <c r="AS18" s="45">
        <v>0</v>
      </c>
      <c r="AT18" s="45"/>
      <c r="AU18" s="35">
        <v>0</v>
      </c>
      <c r="AV18" s="35"/>
      <c r="AW18" s="35">
        <v>0</v>
      </c>
      <c r="AX18" s="35"/>
      <c r="AY18" s="35">
        <f t="shared" si="4"/>
        <v>0</v>
      </c>
      <c r="AZ18" s="35"/>
      <c r="BA18" s="35" t="s">
        <v>23</v>
      </c>
      <c r="BB18" s="55"/>
      <c r="BC18" s="35" t="s">
        <v>17</v>
      </c>
      <c r="BD18" s="35"/>
      <c r="BE18" s="35"/>
      <c r="BF18" s="35"/>
      <c r="BG18" s="35"/>
      <c r="BH18" s="35"/>
      <c r="BI18" s="35"/>
      <c r="BJ18" s="35"/>
      <c r="BK18" s="35"/>
      <c r="BL18" s="35"/>
      <c r="BM18" s="35">
        <f t="shared" si="5"/>
        <v>0</v>
      </c>
      <c r="BN18" s="54" t="s">
        <v>347</v>
      </c>
    </row>
    <row r="19" spans="1:67" ht="13.2" hidden="1">
      <c r="A19" s="35" t="s">
        <v>24</v>
      </c>
      <c r="C19" s="35" t="s">
        <v>17</v>
      </c>
      <c r="D19" s="35"/>
      <c r="E19" s="35">
        <f t="shared" si="0"/>
        <v>0</v>
      </c>
      <c r="F19" s="35"/>
      <c r="G19" s="35"/>
      <c r="H19" s="35"/>
      <c r="I19" s="35"/>
      <c r="J19" s="35"/>
      <c r="K19" s="35">
        <f t="shared" si="1"/>
        <v>0</v>
      </c>
      <c r="L19" s="35"/>
      <c r="M19" s="35">
        <f t="shared" si="2"/>
        <v>0</v>
      </c>
      <c r="N19" s="35"/>
      <c r="O19" s="35"/>
      <c r="P19" s="35"/>
      <c r="Q19" s="35"/>
      <c r="R19" s="35"/>
      <c r="S19" s="35"/>
      <c r="T19" s="35"/>
      <c r="U19" s="35"/>
      <c r="V19" s="35"/>
      <c r="W19" s="35">
        <f t="shared" si="3"/>
        <v>0</v>
      </c>
      <c r="X19" s="35"/>
      <c r="Y19" s="35" t="s">
        <v>24</v>
      </c>
      <c r="Z19" s="55"/>
      <c r="AA19" s="35" t="s">
        <v>17</v>
      </c>
      <c r="AB19" s="35"/>
      <c r="AC19" s="35"/>
      <c r="AD19" s="35"/>
      <c r="AE19" s="35"/>
      <c r="AF19" s="35"/>
      <c r="AG19" s="35"/>
      <c r="AH19" s="35"/>
      <c r="AI19" s="45">
        <f t="shared" si="6"/>
        <v>0</v>
      </c>
      <c r="AJ19" s="45"/>
      <c r="AK19" s="35"/>
      <c r="AL19" s="35"/>
      <c r="AM19" s="35"/>
      <c r="AN19" s="35"/>
      <c r="AO19" s="35"/>
      <c r="AP19" s="35"/>
      <c r="AQ19" s="35"/>
      <c r="AR19" s="35"/>
      <c r="AS19" s="45">
        <f t="shared" ref="AS19:AS27" si="7">+AI19+AK19+AM19-AO19+AQ19</f>
        <v>0</v>
      </c>
      <c r="AT19" s="45"/>
      <c r="AU19" s="35">
        <v>0</v>
      </c>
      <c r="AV19" s="35"/>
      <c r="AW19" s="35">
        <v>0</v>
      </c>
      <c r="AX19" s="35"/>
      <c r="AY19" s="35">
        <f t="shared" si="4"/>
        <v>0</v>
      </c>
      <c r="AZ19" s="35"/>
      <c r="BA19" s="35" t="s">
        <v>24</v>
      </c>
      <c r="BB19" s="55"/>
      <c r="BC19" s="35" t="s">
        <v>17</v>
      </c>
      <c r="BD19" s="35"/>
      <c r="BE19" s="35"/>
      <c r="BF19" s="35"/>
      <c r="BG19" s="35"/>
      <c r="BH19" s="35"/>
      <c r="BI19" s="35"/>
      <c r="BJ19" s="35"/>
      <c r="BK19" s="35"/>
      <c r="BL19" s="35"/>
      <c r="BM19" s="35">
        <f t="shared" si="5"/>
        <v>0</v>
      </c>
      <c r="BN19" s="54" t="s">
        <v>347</v>
      </c>
    </row>
    <row r="20" spans="1:67" ht="13.2" hidden="1">
      <c r="A20" s="35" t="s">
        <v>25</v>
      </c>
      <c r="C20" s="35" t="s">
        <v>13</v>
      </c>
      <c r="D20" s="35"/>
      <c r="E20" s="35">
        <f t="shared" si="0"/>
        <v>0</v>
      </c>
      <c r="F20" s="35"/>
      <c r="G20" s="35"/>
      <c r="H20" s="35"/>
      <c r="I20" s="35"/>
      <c r="J20" s="35"/>
      <c r="K20" s="35">
        <f t="shared" si="1"/>
        <v>0</v>
      </c>
      <c r="L20" s="35"/>
      <c r="M20" s="35">
        <f t="shared" si="2"/>
        <v>0</v>
      </c>
      <c r="N20" s="35"/>
      <c r="O20" s="35"/>
      <c r="P20" s="35"/>
      <c r="Q20" s="35"/>
      <c r="R20" s="35"/>
      <c r="S20" s="35">
        <v>0</v>
      </c>
      <c r="T20" s="35"/>
      <c r="U20" s="35"/>
      <c r="V20" s="35"/>
      <c r="W20" s="35">
        <f t="shared" si="3"/>
        <v>0</v>
      </c>
      <c r="X20" s="35"/>
      <c r="Y20" s="35" t="s">
        <v>25</v>
      </c>
      <c r="Z20" s="55"/>
      <c r="AA20" s="35" t="s">
        <v>13</v>
      </c>
      <c r="AB20" s="35"/>
      <c r="AC20" s="35">
        <v>0</v>
      </c>
      <c r="AD20" s="35"/>
      <c r="AE20" s="35">
        <v>0</v>
      </c>
      <c r="AF20" s="35"/>
      <c r="AG20" s="35">
        <v>0</v>
      </c>
      <c r="AH20" s="35"/>
      <c r="AI20" s="45">
        <f t="shared" si="6"/>
        <v>0</v>
      </c>
      <c r="AJ20" s="45"/>
      <c r="AK20" s="35"/>
      <c r="AL20" s="35"/>
      <c r="AM20" s="35">
        <v>0</v>
      </c>
      <c r="AN20" s="35"/>
      <c r="AO20" s="35">
        <v>0</v>
      </c>
      <c r="AP20" s="35"/>
      <c r="AQ20" s="35">
        <v>0</v>
      </c>
      <c r="AR20" s="35"/>
      <c r="AS20" s="45">
        <f t="shared" si="7"/>
        <v>0</v>
      </c>
      <c r="AT20" s="45"/>
      <c r="AU20" s="35">
        <v>0</v>
      </c>
      <c r="AV20" s="35"/>
      <c r="AW20" s="35">
        <v>0</v>
      </c>
      <c r="AX20" s="35"/>
      <c r="AY20" s="35">
        <f t="shared" si="4"/>
        <v>0</v>
      </c>
      <c r="AZ20" s="35"/>
      <c r="BA20" s="35" t="s">
        <v>25</v>
      </c>
      <c r="BB20" s="55"/>
      <c r="BC20" s="35" t="s">
        <v>13</v>
      </c>
      <c r="BD20" s="35"/>
      <c r="BE20" s="35"/>
      <c r="BF20" s="35"/>
      <c r="BG20" s="35"/>
      <c r="BH20" s="35"/>
      <c r="BI20" s="35"/>
      <c r="BJ20" s="35"/>
      <c r="BK20" s="35"/>
      <c r="BL20" s="35"/>
      <c r="BM20" s="35">
        <f t="shared" si="5"/>
        <v>0</v>
      </c>
      <c r="BN20" s="54" t="s">
        <v>347</v>
      </c>
    </row>
    <row r="21" spans="1:67" ht="13.2" hidden="1">
      <c r="A21" s="35" t="s">
        <v>26</v>
      </c>
      <c r="C21" s="35" t="s">
        <v>27</v>
      </c>
      <c r="D21" s="35"/>
      <c r="E21" s="35">
        <f t="shared" si="0"/>
        <v>0</v>
      </c>
      <c r="F21" s="35"/>
      <c r="G21" s="35"/>
      <c r="H21" s="35"/>
      <c r="I21" s="35"/>
      <c r="J21" s="35"/>
      <c r="K21" s="35">
        <f t="shared" si="1"/>
        <v>0</v>
      </c>
      <c r="L21" s="35"/>
      <c r="M21" s="35">
        <f t="shared" si="2"/>
        <v>0</v>
      </c>
      <c r="N21" s="35"/>
      <c r="O21" s="35"/>
      <c r="P21" s="35"/>
      <c r="Q21" s="35"/>
      <c r="R21" s="35"/>
      <c r="S21" s="35">
        <v>0</v>
      </c>
      <c r="T21" s="35"/>
      <c r="U21" s="35"/>
      <c r="V21" s="35"/>
      <c r="W21" s="35">
        <f t="shared" si="3"/>
        <v>0</v>
      </c>
      <c r="X21" s="35"/>
      <c r="Y21" s="35" t="s">
        <v>26</v>
      </c>
      <c r="Z21" s="55"/>
      <c r="AA21" s="35" t="s">
        <v>27</v>
      </c>
      <c r="AB21" s="35"/>
      <c r="AC21" s="35">
        <v>0</v>
      </c>
      <c r="AD21" s="35"/>
      <c r="AE21" s="35">
        <v>0</v>
      </c>
      <c r="AF21" s="35"/>
      <c r="AG21" s="35">
        <v>0</v>
      </c>
      <c r="AH21" s="35"/>
      <c r="AI21" s="45">
        <f t="shared" si="6"/>
        <v>0</v>
      </c>
      <c r="AJ21" s="45"/>
      <c r="AK21" s="35"/>
      <c r="AL21" s="35"/>
      <c r="AM21" s="35">
        <v>0</v>
      </c>
      <c r="AN21" s="35"/>
      <c r="AO21" s="35">
        <v>0</v>
      </c>
      <c r="AP21" s="35"/>
      <c r="AQ21" s="35">
        <v>0</v>
      </c>
      <c r="AR21" s="35"/>
      <c r="AS21" s="45">
        <f t="shared" si="7"/>
        <v>0</v>
      </c>
      <c r="AT21" s="45"/>
      <c r="AU21" s="35">
        <v>0</v>
      </c>
      <c r="AV21" s="35"/>
      <c r="AW21" s="35">
        <v>0</v>
      </c>
      <c r="AX21" s="35"/>
      <c r="AY21" s="35">
        <f t="shared" si="4"/>
        <v>0</v>
      </c>
      <c r="AZ21" s="35"/>
      <c r="BA21" s="35" t="s">
        <v>26</v>
      </c>
      <c r="BB21" s="55"/>
      <c r="BC21" s="35" t="s">
        <v>27</v>
      </c>
      <c r="BD21" s="35"/>
      <c r="BE21" s="35"/>
      <c r="BF21" s="35"/>
      <c r="BG21" s="35"/>
      <c r="BH21" s="35"/>
      <c r="BI21" s="35"/>
      <c r="BJ21" s="35"/>
      <c r="BK21" s="35"/>
      <c r="BL21" s="35"/>
      <c r="BM21" s="35">
        <f t="shared" si="5"/>
        <v>0</v>
      </c>
      <c r="BN21" s="54" t="s">
        <v>347</v>
      </c>
    </row>
    <row r="22" spans="1:67" ht="13.2" hidden="1">
      <c r="A22" s="35" t="s">
        <v>28</v>
      </c>
      <c r="C22" s="35" t="s">
        <v>27</v>
      </c>
      <c r="D22" s="35"/>
      <c r="E22" s="35">
        <f t="shared" si="0"/>
        <v>0</v>
      </c>
      <c r="F22" s="35"/>
      <c r="G22" s="35"/>
      <c r="H22" s="35"/>
      <c r="I22" s="35"/>
      <c r="J22" s="35"/>
      <c r="K22" s="35">
        <f t="shared" si="1"/>
        <v>0</v>
      </c>
      <c r="L22" s="35"/>
      <c r="M22" s="35">
        <f t="shared" si="2"/>
        <v>0</v>
      </c>
      <c r="N22" s="35"/>
      <c r="O22" s="35"/>
      <c r="P22" s="35"/>
      <c r="Q22" s="35"/>
      <c r="R22" s="35"/>
      <c r="S22" s="35">
        <v>0</v>
      </c>
      <c r="T22" s="35"/>
      <c r="U22" s="35"/>
      <c r="V22" s="35"/>
      <c r="W22" s="35">
        <f t="shared" si="3"/>
        <v>0</v>
      </c>
      <c r="X22" s="35"/>
      <c r="Y22" s="35" t="s">
        <v>28</v>
      </c>
      <c r="Z22" s="55"/>
      <c r="AA22" s="35" t="s">
        <v>27</v>
      </c>
      <c r="AB22" s="35"/>
      <c r="AC22" s="35">
        <v>0</v>
      </c>
      <c r="AD22" s="35"/>
      <c r="AE22" s="35">
        <v>0</v>
      </c>
      <c r="AF22" s="35"/>
      <c r="AG22" s="35">
        <v>0</v>
      </c>
      <c r="AH22" s="35"/>
      <c r="AI22" s="45">
        <f t="shared" si="6"/>
        <v>0</v>
      </c>
      <c r="AJ22" s="45"/>
      <c r="AK22" s="35"/>
      <c r="AL22" s="35"/>
      <c r="AM22" s="35">
        <v>0</v>
      </c>
      <c r="AN22" s="35"/>
      <c r="AO22" s="35">
        <v>0</v>
      </c>
      <c r="AP22" s="35"/>
      <c r="AQ22" s="35">
        <v>0</v>
      </c>
      <c r="AR22" s="35"/>
      <c r="AS22" s="45">
        <f t="shared" si="7"/>
        <v>0</v>
      </c>
      <c r="AT22" s="45"/>
      <c r="AU22" s="35">
        <v>0</v>
      </c>
      <c r="AV22" s="35"/>
      <c r="AW22" s="35">
        <v>0</v>
      </c>
      <c r="AX22" s="35"/>
      <c r="AY22" s="35">
        <f t="shared" si="4"/>
        <v>0</v>
      </c>
      <c r="AZ22" s="35"/>
      <c r="BA22" s="35" t="s">
        <v>28</v>
      </c>
      <c r="BB22" s="55"/>
      <c r="BC22" s="35" t="s">
        <v>27</v>
      </c>
      <c r="BD22" s="35"/>
      <c r="BE22" s="35"/>
      <c r="BF22" s="35"/>
      <c r="BG22" s="35"/>
      <c r="BH22" s="35"/>
      <c r="BI22" s="35"/>
      <c r="BJ22" s="35"/>
      <c r="BK22" s="35"/>
      <c r="BL22" s="35"/>
      <c r="BM22" s="35">
        <f t="shared" si="5"/>
        <v>0</v>
      </c>
      <c r="BN22" s="54" t="s">
        <v>347</v>
      </c>
    </row>
    <row r="23" spans="1:67" ht="13.2" hidden="1">
      <c r="A23" s="35" t="s">
        <v>29</v>
      </c>
      <c r="C23" s="35" t="s">
        <v>30</v>
      </c>
      <c r="D23" s="35"/>
      <c r="E23" s="35">
        <f t="shared" si="0"/>
        <v>0</v>
      </c>
      <c r="F23" s="35"/>
      <c r="G23" s="35"/>
      <c r="H23" s="35"/>
      <c r="I23" s="35"/>
      <c r="J23" s="35"/>
      <c r="K23" s="35">
        <f t="shared" si="1"/>
        <v>0</v>
      </c>
      <c r="L23" s="35"/>
      <c r="M23" s="35">
        <f t="shared" si="2"/>
        <v>0</v>
      </c>
      <c r="N23" s="35"/>
      <c r="O23" s="35"/>
      <c r="P23" s="35"/>
      <c r="Q23" s="35"/>
      <c r="R23" s="35"/>
      <c r="S23" s="35"/>
      <c r="T23" s="35"/>
      <c r="U23" s="35"/>
      <c r="V23" s="35"/>
      <c r="W23" s="35">
        <f t="shared" si="3"/>
        <v>0</v>
      </c>
      <c r="X23" s="35"/>
      <c r="Y23" s="35" t="s">
        <v>29</v>
      </c>
      <c r="Z23" s="55"/>
      <c r="AA23" s="35" t="s">
        <v>30</v>
      </c>
      <c r="AB23" s="35"/>
      <c r="AC23" s="35"/>
      <c r="AD23" s="35"/>
      <c r="AE23" s="35"/>
      <c r="AF23" s="35"/>
      <c r="AG23" s="35"/>
      <c r="AH23" s="35"/>
      <c r="AI23" s="45">
        <f t="shared" si="6"/>
        <v>0</v>
      </c>
      <c r="AJ23" s="45"/>
      <c r="AK23" s="35"/>
      <c r="AL23" s="35"/>
      <c r="AM23" s="35"/>
      <c r="AN23" s="35"/>
      <c r="AO23" s="35"/>
      <c r="AP23" s="35"/>
      <c r="AQ23" s="35"/>
      <c r="AR23" s="35"/>
      <c r="AS23" s="45">
        <f t="shared" si="7"/>
        <v>0</v>
      </c>
      <c r="AT23" s="45"/>
      <c r="AU23" s="35">
        <v>0</v>
      </c>
      <c r="AV23" s="35"/>
      <c r="AW23" s="35">
        <v>0</v>
      </c>
      <c r="AX23" s="35"/>
      <c r="AY23" s="35">
        <f t="shared" si="4"/>
        <v>0</v>
      </c>
      <c r="AZ23" s="35"/>
      <c r="BA23" s="35" t="s">
        <v>29</v>
      </c>
      <c r="BB23" s="55"/>
      <c r="BC23" s="35" t="s">
        <v>30</v>
      </c>
      <c r="BD23" s="35"/>
      <c r="BE23" s="35"/>
      <c r="BF23" s="35"/>
      <c r="BG23" s="35"/>
      <c r="BH23" s="35"/>
      <c r="BI23" s="35"/>
      <c r="BJ23" s="35"/>
      <c r="BK23" s="35"/>
      <c r="BL23" s="35"/>
      <c r="BM23" s="35">
        <f t="shared" si="5"/>
        <v>0</v>
      </c>
      <c r="BN23" s="54" t="s">
        <v>347</v>
      </c>
    </row>
    <row r="24" spans="1:67" ht="13.2" hidden="1">
      <c r="A24" s="35" t="s">
        <v>31</v>
      </c>
      <c r="C24" s="35" t="s">
        <v>27</v>
      </c>
      <c r="D24" s="35"/>
      <c r="E24" s="35">
        <f t="shared" si="0"/>
        <v>0</v>
      </c>
      <c r="F24" s="35"/>
      <c r="G24" s="35"/>
      <c r="H24" s="35"/>
      <c r="I24" s="35"/>
      <c r="J24" s="35"/>
      <c r="K24" s="35">
        <f t="shared" si="1"/>
        <v>0</v>
      </c>
      <c r="L24" s="35"/>
      <c r="M24" s="35">
        <f t="shared" si="2"/>
        <v>0</v>
      </c>
      <c r="N24" s="35"/>
      <c r="O24" s="35"/>
      <c r="P24" s="35"/>
      <c r="Q24" s="35"/>
      <c r="R24" s="35"/>
      <c r="S24" s="35">
        <v>0</v>
      </c>
      <c r="T24" s="35"/>
      <c r="U24" s="35"/>
      <c r="V24" s="35"/>
      <c r="W24" s="35">
        <f t="shared" si="3"/>
        <v>0</v>
      </c>
      <c r="X24" s="35"/>
      <c r="Y24" s="35" t="s">
        <v>31</v>
      </c>
      <c r="Z24" s="55"/>
      <c r="AA24" s="35" t="s">
        <v>27</v>
      </c>
      <c r="AB24" s="35"/>
      <c r="AC24" s="35">
        <v>0</v>
      </c>
      <c r="AD24" s="35"/>
      <c r="AE24" s="35">
        <v>0</v>
      </c>
      <c r="AF24" s="35"/>
      <c r="AG24" s="35">
        <v>0</v>
      </c>
      <c r="AH24" s="35"/>
      <c r="AI24" s="45">
        <f t="shared" si="6"/>
        <v>0</v>
      </c>
      <c r="AJ24" s="45"/>
      <c r="AK24" s="35"/>
      <c r="AL24" s="35"/>
      <c r="AM24" s="35">
        <v>0</v>
      </c>
      <c r="AN24" s="35"/>
      <c r="AO24" s="35">
        <v>0</v>
      </c>
      <c r="AP24" s="35"/>
      <c r="AQ24" s="35">
        <v>0</v>
      </c>
      <c r="AR24" s="35"/>
      <c r="AS24" s="45">
        <f t="shared" si="7"/>
        <v>0</v>
      </c>
      <c r="AT24" s="45"/>
      <c r="AU24" s="35">
        <v>0</v>
      </c>
      <c r="AV24" s="35"/>
      <c r="AW24" s="35">
        <v>0</v>
      </c>
      <c r="AX24" s="35"/>
      <c r="AY24" s="35">
        <f t="shared" si="4"/>
        <v>0</v>
      </c>
      <c r="AZ24" s="35"/>
      <c r="BA24" s="35" t="s">
        <v>31</v>
      </c>
      <c r="BB24" s="55"/>
      <c r="BC24" s="35" t="s">
        <v>27</v>
      </c>
      <c r="BD24" s="35"/>
      <c r="BE24" s="35"/>
      <c r="BF24" s="35"/>
      <c r="BG24" s="35"/>
      <c r="BH24" s="35"/>
      <c r="BI24" s="35"/>
      <c r="BJ24" s="35"/>
      <c r="BK24" s="35"/>
      <c r="BL24" s="35"/>
      <c r="BM24" s="35">
        <f t="shared" si="5"/>
        <v>0</v>
      </c>
      <c r="BN24" s="54" t="s">
        <v>347</v>
      </c>
      <c r="BO24" s="55" t="s">
        <v>371</v>
      </c>
    </row>
    <row r="25" spans="1:67" ht="13.2" hidden="1">
      <c r="A25" s="35" t="s">
        <v>32</v>
      </c>
      <c r="C25" s="35" t="s">
        <v>27</v>
      </c>
      <c r="D25" s="35"/>
      <c r="E25" s="35">
        <f t="shared" si="0"/>
        <v>0</v>
      </c>
      <c r="F25" s="35"/>
      <c r="G25" s="35"/>
      <c r="H25" s="35"/>
      <c r="I25" s="35"/>
      <c r="J25" s="35"/>
      <c r="K25" s="35">
        <f t="shared" si="1"/>
        <v>0</v>
      </c>
      <c r="L25" s="35"/>
      <c r="M25" s="35">
        <f t="shared" si="2"/>
        <v>0</v>
      </c>
      <c r="N25" s="35"/>
      <c r="O25" s="35"/>
      <c r="P25" s="35"/>
      <c r="Q25" s="35"/>
      <c r="R25" s="35"/>
      <c r="S25" s="35">
        <v>0</v>
      </c>
      <c r="T25" s="35"/>
      <c r="U25" s="35"/>
      <c r="V25" s="35"/>
      <c r="W25" s="35">
        <f t="shared" si="3"/>
        <v>0</v>
      </c>
      <c r="X25" s="35"/>
      <c r="Y25" s="35" t="s">
        <v>32</v>
      </c>
      <c r="Z25" s="55"/>
      <c r="AA25" s="35" t="s">
        <v>27</v>
      </c>
      <c r="AB25" s="35"/>
      <c r="AC25" s="35">
        <v>0</v>
      </c>
      <c r="AD25" s="35"/>
      <c r="AE25" s="35">
        <v>0</v>
      </c>
      <c r="AF25" s="35"/>
      <c r="AG25" s="35">
        <v>0</v>
      </c>
      <c r="AH25" s="35"/>
      <c r="AI25" s="45">
        <f t="shared" si="6"/>
        <v>0</v>
      </c>
      <c r="AJ25" s="45"/>
      <c r="AK25" s="35"/>
      <c r="AL25" s="35"/>
      <c r="AM25" s="35">
        <v>0</v>
      </c>
      <c r="AN25" s="35"/>
      <c r="AO25" s="35">
        <v>0</v>
      </c>
      <c r="AP25" s="35"/>
      <c r="AQ25" s="35">
        <v>0</v>
      </c>
      <c r="AR25" s="35"/>
      <c r="AS25" s="45">
        <f t="shared" si="7"/>
        <v>0</v>
      </c>
      <c r="AT25" s="45"/>
      <c r="AU25" s="35">
        <v>0</v>
      </c>
      <c r="AV25" s="35"/>
      <c r="AW25" s="35">
        <v>0</v>
      </c>
      <c r="AX25" s="35"/>
      <c r="AY25" s="35">
        <f t="shared" si="4"/>
        <v>0</v>
      </c>
      <c r="AZ25" s="35"/>
      <c r="BA25" s="35" t="s">
        <v>32</v>
      </c>
      <c r="BB25" s="55"/>
      <c r="BC25" s="35" t="s">
        <v>27</v>
      </c>
      <c r="BD25" s="35"/>
      <c r="BE25" s="35"/>
      <c r="BF25" s="35"/>
      <c r="BG25" s="35"/>
      <c r="BH25" s="35"/>
      <c r="BI25" s="35"/>
      <c r="BJ25" s="35"/>
      <c r="BK25" s="35"/>
      <c r="BL25" s="35"/>
      <c r="BM25" s="35">
        <f t="shared" si="5"/>
        <v>0</v>
      </c>
      <c r="BN25" s="54" t="s">
        <v>347</v>
      </c>
    </row>
    <row r="26" spans="1:67" ht="13.2" hidden="1">
      <c r="A26" s="35" t="s">
        <v>34</v>
      </c>
      <c r="C26" s="35" t="s">
        <v>30</v>
      </c>
      <c r="D26" s="35"/>
      <c r="E26" s="35">
        <f t="shared" si="0"/>
        <v>0</v>
      </c>
      <c r="F26" s="35"/>
      <c r="G26" s="35"/>
      <c r="H26" s="35"/>
      <c r="I26" s="35"/>
      <c r="J26" s="35"/>
      <c r="K26" s="35">
        <f t="shared" si="1"/>
        <v>0</v>
      </c>
      <c r="L26" s="35"/>
      <c r="M26" s="35">
        <f t="shared" si="2"/>
        <v>0</v>
      </c>
      <c r="N26" s="35"/>
      <c r="O26" s="35"/>
      <c r="P26" s="35"/>
      <c r="Q26" s="35"/>
      <c r="R26" s="35"/>
      <c r="S26" s="35">
        <v>0</v>
      </c>
      <c r="T26" s="35"/>
      <c r="U26" s="35"/>
      <c r="V26" s="35"/>
      <c r="W26" s="35">
        <f t="shared" si="3"/>
        <v>0</v>
      </c>
      <c r="X26" s="35"/>
      <c r="Y26" s="35" t="s">
        <v>34</v>
      </c>
      <c r="Z26" s="55"/>
      <c r="AA26" s="35" t="s">
        <v>30</v>
      </c>
      <c r="AB26" s="35"/>
      <c r="AC26" s="35">
        <v>0</v>
      </c>
      <c r="AD26" s="35"/>
      <c r="AE26" s="35">
        <v>0</v>
      </c>
      <c r="AF26" s="35"/>
      <c r="AG26" s="35">
        <v>0</v>
      </c>
      <c r="AH26" s="35"/>
      <c r="AI26" s="45">
        <f t="shared" si="6"/>
        <v>0</v>
      </c>
      <c r="AJ26" s="45"/>
      <c r="AK26" s="35"/>
      <c r="AL26" s="35"/>
      <c r="AM26" s="35">
        <v>0</v>
      </c>
      <c r="AN26" s="35"/>
      <c r="AO26" s="35">
        <v>0</v>
      </c>
      <c r="AP26" s="35"/>
      <c r="AQ26" s="35">
        <v>0</v>
      </c>
      <c r="AR26" s="35"/>
      <c r="AS26" s="45">
        <f t="shared" si="7"/>
        <v>0</v>
      </c>
      <c r="AT26" s="45"/>
      <c r="AU26" s="35">
        <v>0</v>
      </c>
      <c r="AV26" s="35"/>
      <c r="AW26" s="35">
        <v>0</v>
      </c>
      <c r="AX26" s="35"/>
      <c r="AY26" s="35">
        <f t="shared" si="4"/>
        <v>0</v>
      </c>
      <c r="AZ26" s="35"/>
      <c r="BA26" s="35" t="s">
        <v>34</v>
      </c>
      <c r="BB26" s="55"/>
      <c r="BC26" s="35" t="s">
        <v>30</v>
      </c>
      <c r="BD26" s="35"/>
      <c r="BE26" s="35"/>
      <c r="BF26" s="35"/>
      <c r="BG26" s="35"/>
      <c r="BH26" s="35"/>
      <c r="BI26" s="35"/>
      <c r="BJ26" s="35"/>
      <c r="BK26" s="35"/>
      <c r="BL26" s="35"/>
      <c r="BM26" s="35">
        <f t="shared" si="5"/>
        <v>0</v>
      </c>
      <c r="BN26" s="54" t="s">
        <v>347</v>
      </c>
    </row>
    <row r="27" spans="1:67" ht="13.2" hidden="1">
      <c r="A27" s="35" t="s">
        <v>35</v>
      </c>
      <c r="C27" s="35" t="s">
        <v>36</v>
      </c>
      <c r="D27" s="35"/>
      <c r="E27" s="35">
        <f t="shared" si="0"/>
        <v>0</v>
      </c>
      <c r="F27" s="35"/>
      <c r="G27" s="35"/>
      <c r="H27" s="35"/>
      <c r="I27" s="35"/>
      <c r="J27" s="35"/>
      <c r="K27" s="35">
        <f t="shared" si="1"/>
        <v>0</v>
      </c>
      <c r="L27" s="35"/>
      <c r="M27" s="35">
        <f t="shared" si="2"/>
        <v>0</v>
      </c>
      <c r="N27" s="35"/>
      <c r="O27" s="35"/>
      <c r="P27" s="35"/>
      <c r="Q27" s="35"/>
      <c r="R27" s="35"/>
      <c r="S27" s="35">
        <v>0</v>
      </c>
      <c r="T27" s="35"/>
      <c r="U27" s="35"/>
      <c r="V27" s="35"/>
      <c r="W27" s="35">
        <f t="shared" si="3"/>
        <v>0</v>
      </c>
      <c r="X27" s="35"/>
      <c r="Y27" s="35" t="s">
        <v>35</v>
      </c>
      <c r="Z27" s="55"/>
      <c r="AA27" s="35" t="s">
        <v>36</v>
      </c>
      <c r="AB27" s="35"/>
      <c r="AC27" s="35">
        <v>0</v>
      </c>
      <c r="AD27" s="35"/>
      <c r="AE27" s="35">
        <v>0</v>
      </c>
      <c r="AF27" s="35"/>
      <c r="AG27" s="35">
        <v>0</v>
      </c>
      <c r="AH27" s="35"/>
      <c r="AI27" s="45">
        <f t="shared" si="6"/>
        <v>0</v>
      </c>
      <c r="AJ27" s="45"/>
      <c r="AK27" s="35"/>
      <c r="AL27" s="35"/>
      <c r="AM27" s="35">
        <v>0</v>
      </c>
      <c r="AN27" s="35"/>
      <c r="AO27" s="35">
        <v>0</v>
      </c>
      <c r="AP27" s="35"/>
      <c r="AQ27" s="35">
        <v>0</v>
      </c>
      <c r="AR27" s="35"/>
      <c r="AS27" s="45">
        <f t="shared" si="7"/>
        <v>0</v>
      </c>
      <c r="AT27" s="45"/>
      <c r="AU27" s="35">
        <v>0</v>
      </c>
      <c r="AV27" s="35"/>
      <c r="AW27" s="35">
        <v>0</v>
      </c>
      <c r="AX27" s="35"/>
      <c r="AY27" s="35">
        <f t="shared" si="4"/>
        <v>0</v>
      </c>
      <c r="AZ27" s="35"/>
      <c r="BA27" s="35" t="s">
        <v>35</v>
      </c>
      <c r="BB27" s="55"/>
      <c r="BC27" s="35" t="s">
        <v>36</v>
      </c>
      <c r="BD27" s="35"/>
      <c r="BE27" s="35"/>
      <c r="BF27" s="35"/>
      <c r="BG27" s="35"/>
      <c r="BH27" s="35"/>
      <c r="BI27" s="35"/>
      <c r="BJ27" s="35"/>
      <c r="BK27" s="35"/>
      <c r="BL27" s="35"/>
      <c r="BM27" s="35">
        <f t="shared" si="5"/>
        <v>0</v>
      </c>
      <c r="BN27" s="54" t="s">
        <v>347</v>
      </c>
    </row>
    <row r="28" spans="1:67" ht="13.2" hidden="1">
      <c r="A28" s="35" t="s">
        <v>37</v>
      </c>
      <c r="C28" s="35" t="s">
        <v>38</v>
      </c>
      <c r="D28" s="35"/>
      <c r="E28" s="35">
        <f t="shared" si="0"/>
        <v>0</v>
      </c>
      <c r="F28" s="35"/>
      <c r="G28" s="35"/>
      <c r="H28" s="35"/>
      <c r="I28" s="35"/>
      <c r="J28" s="35"/>
      <c r="K28" s="35">
        <f t="shared" si="1"/>
        <v>0</v>
      </c>
      <c r="L28" s="35"/>
      <c r="M28" s="35">
        <f t="shared" si="2"/>
        <v>0</v>
      </c>
      <c r="N28" s="35"/>
      <c r="O28" s="35"/>
      <c r="P28" s="35"/>
      <c r="Q28" s="35"/>
      <c r="R28" s="35"/>
      <c r="S28" s="35">
        <v>0</v>
      </c>
      <c r="T28" s="35"/>
      <c r="U28" s="35"/>
      <c r="V28" s="35"/>
      <c r="W28" s="35">
        <f t="shared" si="3"/>
        <v>0</v>
      </c>
      <c r="X28" s="35"/>
      <c r="Y28" s="35" t="s">
        <v>37</v>
      </c>
      <c r="Z28" s="55"/>
      <c r="AA28" s="35" t="s">
        <v>38</v>
      </c>
      <c r="AB28" s="35"/>
      <c r="AC28" s="35">
        <v>0</v>
      </c>
      <c r="AD28" s="35"/>
      <c r="AE28" s="35">
        <v>0</v>
      </c>
      <c r="AF28" s="35"/>
      <c r="AG28" s="35">
        <v>0</v>
      </c>
      <c r="AH28" s="35"/>
      <c r="AI28" s="45">
        <f t="shared" si="6"/>
        <v>0</v>
      </c>
      <c r="AJ28" s="45"/>
      <c r="AK28" s="35"/>
      <c r="AL28" s="35"/>
      <c r="AM28" s="35">
        <v>0</v>
      </c>
      <c r="AN28" s="35"/>
      <c r="AO28" s="35">
        <v>0</v>
      </c>
      <c r="AP28" s="35"/>
      <c r="AQ28" s="35">
        <v>0</v>
      </c>
      <c r="AR28" s="35"/>
      <c r="AS28" s="45">
        <v>0</v>
      </c>
      <c r="AT28" s="45"/>
      <c r="AU28" s="35">
        <v>0</v>
      </c>
      <c r="AV28" s="35"/>
      <c r="AW28" s="35">
        <v>0</v>
      </c>
      <c r="AX28" s="35"/>
      <c r="AY28" s="35">
        <f t="shared" si="4"/>
        <v>0</v>
      </c>
      <c r="AZ28" s="35"/>
      <c r="BA28" s="35" t="s">
        <v>37</v>
      </c>
      <c r="BB28" s="55"/>
      <c r="BC28" s="35" t="s">
        <v>38</v>
      </c>
      <c r="BD28" s="35"/>
      <c r="BE28" s="35"/>
      <c r="BF28" s="35"/>
      <c r="BG28" s="35"/>
      <c r="BH28" s="35"/>
      <c r="BI28" s="35"/>
      <c r="BJ28" s="35"/>
      <c r="BK28" s="35"/>
      <c r="BL28" s="35"/>
      <c r="BM28" s="35">
        <v>0</v>
      </c>
      <c r="BN28" s="54" t="s">
        <v>347</v>
      </c>
    </row>
    <row r="29" spans="1:67" ht="13.2">
      <c r="A29" s="35" t="s">
        <v>39</v>
      </c>
      <c r="C29" s="35" t="s">
        <v>40</v>
      </c>
      <c r="D29" s="35"/>
      <c r="E29" s="35">
        <f t="shared" si="0"/>
        <v>432938</v>
      </c>
      <c r="F29" s="35"/>
      <c r="G29" s="35">
        <v>0</v>
      </c>
      <c r="H29" s="35"/>
      <c r="I29" s="35">
        <v>432938</v>
      </c>
      <c r="J29" s="35"/>
      <c r="K29" s="35">
        <f t="shared" si="1"/>
        <v>90400</v>
      </c>
      <c r="L29" s="35"/>
      <c r="M29" s="35">
        <v>223</v>
      </c>
      <c r="N29" s="35"/>
      <c r="O29" s="35">
        <v>90623</v>
      </c>
      <c r="P29" s="35"/>
      <c r="Q29" s="35">
        <v>0</v>
      </c>
      <c r="R29" s="35"/>
      <c r="S29" s="35">
        <v>0</v>
      </c>
      <c r="T29" s="35"/>
      <c r="U29" s="35">
        <v>342092</v>
      </c>
      <c r="V29" s="35"/>
      <c r="W29" s="35">
        <f t="shared" si="3"/>
        <v>342092</v>
      </c>
      <c r="X29" s="35"/>
      <c r="Y29" s="35" t="s">
        <v>39</v>
      </c>
      <c r="Z29" s="55"/>
      <c r="AA29" s="35" t="s">
        <v>40</v>
      </c>
      <c r="AB29" s="35"/>
      <c r="AC29" s="35">
        <v>735576</v>
      </c>
      <c r="AD29" s="35"/>
      <c r="AE29" s="35">
        <f>791430-0</f>
        <v>791430</v>
      </c>
      <c r="AF29" s="35"/>
      <c r="AG29" s="35">
        <v>0</v>
      </c>
      <c r="AH29" s="35"/>
      <c r="AI29" s="45">
        <f t="shared" si="6"/>
        <v>-55854</v>
      </c>
      <c r="AJ29" s="45"/>
      <c r="AK29" s="35">
        <v>0</v>
      </c>
      <c r="AL29" s="35"/>
      <c r="AM29" s="35">
        <v>0</v>
      </c>
      <c r="AN29" s="35"/>
      <c r="AO29" s="35">
        <v>0</v>
      </c>
      <c r="AP29" s="35"/>
      <c r="AQ29" s="35">
        <v>0</v>
      </c>
      <c r="AR29" s="35"/>
      <c r="AS29" s="45">
        <f t="shared" ref="AS29" si="8">+AI29+AK29+AM29-AO29+AQ29</f>
        <v>-55854</v>
      </c>
      <c r="AT29" s="45"/>
      <c r="AU29" s="35">
        <v>0</v>
      </c>
      <c r="AV29" s="35"/>
      <c r="AW29" s="35">
        <v>0</v>
      </c>
      <c r="AX29" s="35"/>
      <c r="AY29" s="35">
        <f t="shared" si="4"/>
        <v>342538</v>
      </c>
      <c r="AZ29" s="35"/>
      <c r="BA29" s="35" t="s">
        <v>39</v>
      </c>
      <c r="BB29" s="55"/>
      <c r="BC29" s="35" t="s">
        <v>40</v>
      </c>
      <c r="BD29" s="35"/>
      <c r="BE29" s="35">
        <v>0</v>
      </c>
      <c r="BF29" s="35"/>
      <c r="BG29" s="35">
        <v>0</v>
      </c>
      <c r="BH29" s="35"/>
      <c r="BI29" s="35">
        <v>0</v>
      </c>
      <c r="BJ29" s="35"/>
      <c r="BK29" s="35">
        <v>0</v>
      </c>
      <c r="BL29" s="35"/>
      <c r="BM29" s="35">
        <f>SUM(BE29:BK29)</f>
        <v>0</v>
      </c>
      <c r="BN29" s="54" t="s">
        <v>347</v>
      </c>
    </row>
    <row r="30" spans="1:67" ht="13.2" hidden="1">
      <c r="A30" s="35" t="s">
        <v>41</v>
      </c>
      <c r="C30" s="35" t="s">
        <v>27</v>
      </c>
      <c r="D30" s="35"/>
      <c r="E30" s="35">
        <f t="shared" si="0"/>
        <v>0</v>
      </c>
      <c r="F30" s="35"/>
      <c r="G30" s="35"/>
      <c r="H30" s="35"/>
      <c r="I30" s="35"/>
      <c r="J30" s="35"/>
      <c r="K30" s="35">
        <f t="shared" si="1"/>
        <v>0</v>
      </c>
      <c r="L30" s="35"/>
      <c r="M30" s="35">
        <f t="shared" si="2"/>
        <v>0</v>
      </c>
      <c r="N30" s="35"/>
      <c r="O30" s="35"/>
      <c r="P30" s="35"/>
      <c r="Q30" s="35"/>
      <c r="R30" s="35"/>
      <c r="S30" s="35">
        <v>0</v>
      </c>
      <c r="T30" s="35"/>
      <c r="U30" s="35"/>
      <c r="V30" s="35"/>
      <c r="W30" s="35">
        <f t="shared" si="3"/>
        <v>0</v>
      </c>
      <c r="X30" s="35"/>
      <c r="Y30" s="35" t="s">
        <v>41</v>
      </c>
      <c r="Z30" s="55"/>
      <c r="AA30" s="35" t="s">
        <v>27</v>
      </c>
      <c r="AB30" s="35"/>
      <c r="AC30" s="35">
        <v>0</v>
      </c>
      <c r="AD30" s="35"/>
      <c r="AE30" s="35">
        <v>0</v>
      </c>
      <c r="AF30" s="35"/>
      <c r="AG30" s="35">
        <v>0</v>
      </c>
      <c r="AH30" s="35"/>
      <c r="AI30" s="45">
        <f t="shared" si="6"/>
        <v>0</v>
      </c>
      <c r="AJ30" s="45"/>
      <c r="AK30" s="35"/>
      <c r="AL30" s="35"/>
      <c r="AM30" s="35">
        <v>0</v>
      </c>
      <c r="AN30" s="35"/>
      <c r="AO30" s="35">
        <v>0</v>
      </c>
      <c r="AP30" s="35"/>
      <c r="AQ30" s="35">
        <v>0</v>
      </c>
      <c r="AR30" s="35"/>
      <c r="AS30" s="45">
        <f t="shared" ref="AS30:AS34" si="9">+AI30+AK30+AM30-AO30+AQ30</f>
        <v>0</v>
      </c>
      <c r="AT30" s="45"/>
      <c r="AU30" s="35">
        <v>0</v>
      </c>
      <c r="AV30" s="35"/>
      <c r="AW30" s="35">
        <v>0</v>
      </c>
      <c r="AX30" s="35"/>
      <c r="AY30" s="35">
        <f t="shared" si="4"/>
        <v>0</v>
      </c>
      <c r="AZ30" s="35"/>
      <c r="BA30" s="35" t="s">
        <v>41</v>
      </c>
      <c r="BB30" s="55"/>
      <c r="BC30" s="35" t="s">
        <v>27</v>
      </c>
      <c r="BD30" s="35"/>
      <c r="BE30" s="35"/>
      <c r="BF30" s="35"/>
      <c r="BG30" s="35"/>
      <c r="BH30" s="35"/>
      <c r="BI30" s="35"/>
      <c r="BJ30" s="35"/>
      <c r="BK30" s="35"/>
      <c r="BL30" s="35"/>
      <c r="BM30" s="35">
        <f>SUM(BE30:BK30)</f>
        <v>0</v>
      </c>
      <c r="BN30" s="54" t="s">
        <v>347</v>
      </c>
    </row>
    <row r="31" spans="1:67" ht="13.2" hidden="1">
      <c r="A31" s="35" t="s">
        <v>42</v>
      </c>
      <c r="C31" s="35" t="s">
        <v>43</v>
      </c>
      <c r="D31" s="35"/>
      <c r="E31" s="35">
        <f t="shared" si="0"/>
        <v>0</v>
      </c>
      <c r="F31" s="35"/>
      <c r="G31" s="35"/>
      <c r="H31" s="35"/>
      <c r="I31" s="35"/>
      <c r="J31" s="35"/>
      <c r="K31" s="35">
        <f t="shared" si="1"/>
        <v>0</v>
      </c>
      <c r="L31" s="35"/>
      <c r="M31" s="35">
        <f t="shared" si="2"/>
        <v>0</v>
      </c>
      <c r="N31" s="35"/>
      <c r="O31" s="35"/>
      <c r="P31" s="35"/>
      <c r="Q31" s="35"/>
      <c r="R31" s="35"/>
      <c r="S31" s="35"/>
      <c r="T31" s="35"/>
      <c r="U31" s="35"/>
      <c r="V31" s="35"/>
      <c r="W31" s="35">
        <f t="shared" si="3"/>
        <v>0</v>
      </c>
      <c r="X31" s="35"/>
      <c r="Y31" s="35" t="s">
        <v>42</v>
      </c>
      <c r="Z31" s="55"/>
      <c r="AA31" s="35" t="s">
        <v>43</v>
      </c>
      <c r="AB31" s="35"/>
      <c r="AC31" s="35"/>
      <c r="AD31" s="35"/>
      <c r="AE31" s="35"/>
      <c r="AF31" s="35"/>
      <c r="AG31" s="35"/>
      <c r="AH31" s="35"/>
      <c r="AI31" s="45">
        <f t="shared" si="6"/>
        <v>0</v>
      </c>
      <c r="AJ31" s="45"/>
      <c r="AK31" s="35"/>
      <c r="AL31" s="35"/>
      <c r="AM31" s="35"/>
      <c r="AN31" s="35"/>
      <c r="AO31" s="35"/>
      <c r="AP31" s="35"/>
      <c r="AQ31" s="35"/>
      <c r="AR31" s="35"/>
      <c r="AS31" s="45">
        <f t="shared" si="9"/>
        <v>0</v>
      </c>
      <c r="AT31" s="45"/>
      <c r="AU31" s="35">
        <v>0</v>
      </c>
      <c r="AV31" s="35"/>
      <c r="AW31" s="35">
        <v>0</v>
      </c>
      <c r="AX31" s="35"/>
      <c r="AY31" s="35">
        <f t="shared" si="4"/>
        <v>0</v>
      </c>
      <c r="AZ31" s="35"/>
      <c r="BA31" s="35" t="s">
        <v>42</v>
      </c>
      <c r="BB31" s="55"/>
      <c r="BC31" s="35" t="s">
        <v>43</v>
      </c>
      <c r="BD31" s="35"/>
      <c r="BE31" s="35"/>
      <c r="BF31" s="35"/>
      <c r="BG31" s="35"/>
      <c r="BH31" s="35"/>
      <c r="BI31" s="35"/>
      <c r="BJ31" s="35"/>
      <c r="BK31" s="35"/>
      <c r="BL31" s="35"/>
      <c r="BM31" s="35">
        <f>SUM(BE31:BK31)</f>
        <v>0</v>
      </c>
      <c r="BN31" s="54" t="s">
        <v>347</v>
      </c>
    </row>
    <row r="32" spans="1:67" ht="13.2" hidden="1">
      <c r="A32" s="35" t="s">
        <v>44</v>
      </c>
      <c r="C32" s="35" t="s">
        <v>45</v>
      </c>
      <c r="D32" s="35"/>
      <c r="E32" s="35">
        <f t="shared" si="0"/>
        <v>0</v>
      </c>
      <c r="F32" s="35"/>
      <c r="G32" s="35"/>
      <c r="H32" s="35"/>
      <c r="I32" s="35"/>
      <c r="J32" s="35"/>
      <c r="K32" s="35">
        <f t="shared" si="1"/>
        <v>0</v>
      </c>
      <c r="L32" s="35"/>
      <c r="M32" s="35">
        <f t="shared" si="2"/>
        <v>0</v>
      </c>
      <c r="N32" s="35"/>
      <c r="O32" s="35"/>
      <c r="P32" s="35"/>
      <c r="Q32" s="35"/>
      <c r="R32" s="35"/>
      <c r="S32" s="35">
        <v>0</v>
      </c>
      <c r="T32" s="35"/>
      <c r="U32" s="35"/>
      <c r="V32" s="35"/>
      <c r="W32" s="35">
        <f t="shared" si="3"/>
        <v>0</v>
      </c>
      <c r="X32" s="35"/>
      <c r="Y32" s="35" t="s">
        <v>44</v>
      </c>
      <c r="Z32" s="55"/>
      <c r="AA32" s="35" t="s">
        <v>45</v>
      </c>
      <c r="AB32" s="35"/>
      <c r="AC32" s="35">
        <v>0</v>
      </c>
      <c r="AD32" s="35"/>
      <c r="AE32" s="35">
        <v>0</v>
      </c>
      <c r="AF32" s="35"/>
      <c r="AG32" s="35">
        <v>0</v>
      </c>
      <c r="AH32" s="35"/>
      <c r="AI32" s="45">
        <v>0</v>
      </c>
      <c r="AJ32" s="45"/>
      <c r="AK32" s="35"/>
      <c r="AL32" s="35"/>
      <c r="AM32" s="35">
        <v>0</v>
      </c>
      <c r="AN32" s="35"/>
      <c r="AO32" s="35">
        <v>0</v>
      </c>
      <c r="AP32" s="35"/>
      <c r="AQ32" s="35">
        <v>0</v>
      </c>
      <c r="AR32" s="35"/>
      <c r="AS32" s="45">
        <f t="shared" si="9"/>
        <v>0</v>
      </c>
      <c r="AT32" s="45"/>
      <c r="AU32" s="35">
        <v>0</v>
      </c>
      <c r="AV32" s="35"/>
      <c r="AW32" s="35">
        <v>0</v>
      </c>
      <c r="AX32" s="35"/>
      <c r="AY32" s="35">
        <f t="shared" si="4"/>
        <v>0</v>
      </c>
      <c r="AZ32" s="35"/>
      <c r="BA32" s="35" t="s">
        <v>44</v>
      </c>
      <c r="BB32" s="55"/>
      <c r="BC32" s="35" t="s">
        <v>45</v>
      </c>
      <c r="BD32" s="35"/>
      <c r="BE32" s="35"/>
      <c r="BF32" s="35"/>
      <c r="BG32" s="35"/>
      <c r="BH32" s="35"/>
      <c r="BI32" s="35"/>
      <c r="BJ32" s="35"/>
      <c r="BK32" s="35"/>
      <c r="BL32" s="35"/>
      <c r="BM32" s="35">
        <v>0</v>
      </c>
      <c r="BN32" s="54" t="s">
        <v>347</v>
      </c>
    </row>
    <row r="33" spans="1:67" ht="13.2" hidden="1">
      <c r="A33" s="35" t="s">
        <v>46</v>
      </c>
      <c r="B33" s="65"/>
      <c r="C33" s="35" t="s">
        <v>47</v>
      </c>
      <c r="D33" s="35"/>
      <c r="E33" s="35">
        <f t="shared" si="0"/>
        <v>0</v>
      </c>
      <c r="F33" s="35"/>
      <c r="G33" s="35"/>
      <c r="H33" s="35"/>
      <c r="I33" s="35"/>
      <c r="J33" s="35"/>
      <c r="K33" s="35">
        <f t="shared" si="1"/>
        <v>0</v>
      </c>
      <c r="L33" s="35"/>
      <c r="M33" s="35">
        <v>0</v>
      </c>
      <c r="N33" s="35"/>
      <c r="O33" s="35"/>
      <c r="P33" s="35"/>
      <c r="Q33" s="35"/>
      <c r="R33" s="35"/>
      <c r="S33" s="35">
        <v>0</v>
      </c>
      <c r="T33" s="35"/>
      <c r="U33" s="35"/>
      <c r="V33" s="35"/>
      <c r="W33" s="35">
        <f t="shared" si="3"/>
        <v>0</v>
      </c>
      <c r="X33" s="35"/>
      <c r="Y33" s="35" t="s">
        <v>46</v>
      </c>
      <c r="Z33" s="55"/>
      <c r="AA33" s="35" t="s">
        <v>47</v>
      </c>
      <c r="AB33" s="35"/>
      <c r="AC33" s="35">
        <v>0</v>
      </c>
      <c r="AD33" s="35"/>
      <c r="AE33" s="35">
        <v>0</v>
      </c>
      <c r="AF33" s="35"/>
      <c r="AG33" s="35">
        <v>0</v>
      </c>
      <c r="AH33" s="35"/>
      <c r="AI33" s="45">
        <f>+AC33-AE33-AG33</f>
        <v>0</v>
      </c>
      <c r="AJ33" s="45"/>
      <c r="AK33" s="35"/>
      <c r="AL33" s="35"/>
      <c r="AM33" s="35">
        <v>0</v>
      </c>
      <c r="AN33" s="35"/>
      <c r="AO33" s="35">
        <v>0</v>
      </c>
      <c r="AP33" s="35"/>
      <c r="AQ33" s="35">
        <v>0</v>
      </c>
      <c r="AR33" s="35"/>
      <c r="AS33" s="45">
        <f t="shared" si="9"/>
        <v>0</v>
      </c>
      <c r="AT33" s="45"/>
      <c r="AU33" s="35">
        <v>0</v>
      </c>
      <c r="AV33" s="35"/>
      <c r="AW33" s="35">
        <v>0</v>
      </c>
      <c r="AX33" s="35"/>
      <c r="AY33" s="35">
        <f t="shared" si="4"/>
        <v>0</v>
      </c>
      <c r="AZ33" s="35"/>
      <c r="BA33" s="35" t="s">
        <v>46</v>
      </c>
      <c r="BB33" s="55"/>
      <c r="BC33" s="35" t="s">
        <v>47</v>
      </c>
      <c r="BD33" s="35"/>
      <c r="BE33" s="35"/>
      <c r="BF33" s="35"/>
      <c r="BG33" s="35"/>
      <c r="BH33" s="35"/>
      <c r="BI33" s="35"/>
      <c r="BJ33" s="35"/>
      <c r="BK33" s="35"/>
      <c r="BL33" s="35"/>
      <c r="BM33" s="35">
        <f>SUM(BE33:BK33)</f>
        <v>0</v>
      </c>
      <c r="BN33" s="54" t="s">
        <v>347</v>
      </c>
    </row>
    <row r="34" spans="1:67" ht="13.2" hidden="1">
      <c r="A34" s="35" t="s">
        <v>48</v>
      </c>
      <c r="C34" s="35" t="s">
        <v>27</v>
      </c>
      <c r="D34" s="35"/>
      <c r="E34" s="35">
        <f t="shared" si="0"/>
        <v>0</v>
      </c>
      <c r="F34" s="35"/>
      <c r="G34" s="35"/>
      <c r="H34" s="35"/>
      <c r="I34" s="35"/>
      <c r="J34" s="35"/>
      <c r="K34" s="35">
        <f t="shared" si="1"/>
        <v>0</v>
      </c>
      <c r="L34" s="35"/>
      <c r="M34" s="35">
        <f t="shared" si="2"/>
        <v>0</v>
      </c>
      <c r="N34" s="35"/>
      <c r="O34" s="35"/>
      <c r="P34" s="35"/>
      <c r="Q34" s="35"/>
      <c r="R34" s="35"/>
      <c r="S34" s="35">
        <v>0</v>
      </c>
      <c r="T34" s="35"/>
      <c r="U34" s="35"/>
      <c r="V34" s="35"/>
      <c r="W34" s="35">
        <v>0</v>
      </c>
      <c r="X34" s="35"/>
      <c r="Y34" s="35" t="s">
        <v>48</v>
      </c>
      <c r="Z34" s="55"/>
      <c r="AA34" s="35" t="s">
        <v>27</v>
      </c>
      <c r="AB34" s="35"/>
      <c r="AC34" s="35">
        <v>0</v>
      </c>
      <c r="AD34" s="35"/>
      <c r="AE34" s="35">
        <v>0</v>
      </c>
      <c r="AF34" s="35"/>
      <c r="AG34" s="35">
        <v>0</v>
      </c>
      <c r="AH34" s="35"/>
      <c r="AI34" s="45">
        <f t="shared" ref="AI34:AI51" si="10">+AC34-AE34-AG34</f>
        <v>0</v>
      </c>
      <c r="AJ34" s="45"/>
      <c r="AK34" s="35"/>
      <c r="AL34" s="35"/>
      <c r="AM34" s="35">
        <v>0</v>
      </c>
      <c r="AN34" s="35"/>
      <c r="AO34" s="35">
        <v>0</v>
      </c>
      <c r="AP34" s="35"/>
      <c r="AQ34" s="35">
        <v>0</v>
      </c>
      <c r="AR34" s="35"/>
      <c r="AS34" s="45">
        <f t="shared" si="9"/>
        <v>0</v>
      </c>
      <c r="AT34" s="45"/>
      <c r="AU34" s="35">
        <v>0</v>
      </c>
      <c r="AV34" s="35"/>
      <c r="AW34" s="35">
        <v>0</v>
      </c>
      <c r="AX34" s="35"/>
      <c r="AY34" s="35">
        <f t="shared" si="4"/>
        <v>0</v>
      </c>
      <c r="AZ34" s="35"/>
      <c r="BA34" s="35" t="s">
        <v>48</v>
      </c>
      <c r="BB34" s="55"/>
      <c r="BC34" s="35" t="s">
        <v>27</v>
      </c>
      <c r="BD34" s="35"/>
      <c r="BE34" s="35"/>
      <c r="BF34" s="35"/>
      <c r="BG34" s="35"/>
      <c r="BH34" s="35"/>
      <c r="BI34" s="35"/>
      <c r="BJ34" s="35"/>
      <c r="BK34" s="35"/>
      <c r="BL34" s="35"/>
      <c r="BM34" s="35">
        <f t="shared" ref="BM34:BM97" si="11">SUM(BE34:BK34)</f>
        <v>0</v>
      </c>
      <c r="BN34" s="54" t="s">
        <v>347</v>
      </c>
    </row>
    <row r="35" spans="1:67" ht="13.2" hidden="1">
      <c r="A35" s="35" t="s">
        <v>49</v>
      </c>
      <c r="C35" s="35" t="s">
        <v>27</v>
      </c>
      <c r="D35" s="35"/>
      <c r="E35" s="35">
        <f t="shared" si="0"/>
        <v>0</v>
      </c>
      <c r="F35" s="35"/>
      <c r="G35" s="35"/>
      <c r="H35" s="35"/>
      <c r="I35" s="35"/>
      <c r="J35" s="35"/>
      <c r="K35" s="35">
        <f t="shared" si="1"/>
        <v>0</v>
      </c>
      <c r="L35" s="35"/>
      <c r="M35" s="35">
        <f t="shared" si="2"/>
        <v>0</v>
      </c>
      <c r="N35" s="35"/>
      <c r="O35" s="35"/>
      <c r="P35" s="35"/>
      <c r="Q35" s="35"/>
      <c r="R35" s="35"/>
      <c r="S35" s="35">
        <v>0</v>
      </c>
      <c r="T35" s="35"/>
      <c r="U35" s="35"/>
      <c r="V35" s="35"/>
      <c r="W35" s="35">
        <f t="shared" ref="W35:W73" si="12">SUM(Q35:U35)</f>
        <v>0</v>
      </c>
      <c r="X35" s="35"/>
      <c r="Y35" s="35" t="s">
        <v>49</v>
      </c>
      <c r="Z35" s="55"/>
      <c r="AA35" s="35" t="s">
        <v>27</v>
      </c>
      <c r="AB35" s="35"/>
      <c r="AC35" s="35">
        <v>0</v>
      </c>
      <c r="AD35" s="35"/>
      <c r="AE35" s="35">
        <v>0</v>
      </c>
      <c r="AF35" s="35"/>
      <c r="AG35" s="35">
        <v>0</v>
      </c>
      <c r="AH35" s="35"/>
      <c r="AI35" s="45">
        <f t="shared" si="10"/>
        <v>0</v>
      </c>
      <c r="AJ35" s="45"/>
      <c r="AK35" s="35"/>
      <c r="AL35" s="35"/>
      <c r="AM35" s="35">
        <v>0</v>
      </c>
      <c r="AN35" s="35"/>
      <c r="AO35" s="35">
        <v>0</v>
      </c>
      <c r="AP35" s="35"/>
      <c r="AQ35" s="35">
        <v>0</v>
      </c>
      <c r="AR35" s="35"/>
      <c r="AS35" s="45">
        <v>0</v>
      </c>
      <c r="AT35" s="45"/>
      <c r="AU35" s="35">
        <v>0</v>
      </c>
      <c r="AV35" s="35"/>
      <c r="AW35" s="35">
        <v>0</v>
      </c>
      <c r="AX35" s="35"/>
      <c r="AY35" s="35">
        <f t="shared" si="4"/>
        <v>0</v>
      </c>
      <c r="AZ35" s="35"/>
      <c r="BA35" s="35" t="s">
        <v>49</v>
      </c>
      <c r="BB35" s="55"/>
      <c r="BC35" s="35" t="s">
        <v>27</v>
      </c>
      <c r="BD35" s="35"/>
      <c r="BE35" s="35"/>
      <c r="BF35" s="35"/>
      <c r="BG35" s="35"/>
      <c r="BH35" s="35"/>
      <c r="BI35" s="35"/>
      <c r="BJ35" s="35"/>
      <c r="BK35" s="35"/>
      <c r="BL35" s="35"/>
      <c r="BM35" s="35">
        <f t="shared" si="11"/>
        <v>0</v>
      </c>
      <c r="BN35" s="54" t="s">
        <v>347</v>
      </c>
      <c r="BO35" s="55" t="s">
        <v>371</v>
      </c>
    </row>
    <row r="36" spans="1:67" ht="13.2" hidden="1">
      <c r="A36" s="35" t="s">
        <v>50</v>
      </c>
      <c r="C36" s="35" t="s">
        <v>27</v>
      </c>
      <c r="D36" s="35"/>
      <c r="E36" s="35">
        <f t="shared" si="0"/>
        <v>0</v>
      </c>
      <c r="F36" s="35"/>
      <c r="G36" s="35"/>
      <c r="H36" s="35"/>
      <c r="I36" s="35"/>
      <c r="J36" s="35"/>
      <c r="K36" s="35">
        <f t="shared" si="1"/>
        <v>0</v>
      </c>
      <c r="L36" s="35"/>
      <c r="M36" s="35">
        <f t="shared" si="2"/>
        <v>0</v>
      </c>
      <c r="N36" s="35"/>
      <c r="O36" s="35"/>
      <c r="P36" s="35"/>
      <c r="Q36" s="35"/>
      <c r="R36" s="35"/>
      <c r="S36" s="35">
        <v>0</v>
      </c>
      <c r="T36" s="35"/>
      <c r="U36" s="35"/>
      <c r="V36" s="35"/>
      <c r="W36" s="35">
        <f t="shared" si="12"/>
        <v>0</v>
      </c>
      <c r="X36" s="35"/>
      <c r="Y36" s="35" t="s">
        <v>50</v>
      </c>
      <c r="Z36" s="55"/>
      <c r="AA36" s="35" t="s">
        <v>27</v>
      </c>
      <c r="AB36" s="35"/>
      <c r="AC36" s="35">
        <v>0</v>
      </c>
      <c r="AD36" s="35"/>
      <c r="AE36" s="35">
        <v>0</v>
      </c>
      <c r="AF36" s="35"/>
      <c r="AG36" s="35">
        <v>0</v>
      </c>
      <c r="AH36" s="35"/>
      <c r="AI36" s="45">
        <f t="shared" si="10"/>
        <v>0</v>
      </c>
      <c r="AJ36" s="45"/>
      <c r="AK36" s="35"/>
      <c r="AL36" s="35"/>
      <c r="AM36" s="35">
        <v>0</v>
      </c>
      <c r="AN36" s="35"/>
      <c r="AO36" s="35">
        <v>0</v>
      </c>
      <c r="AP36" s="35"/>
      <c r="AQ36" s="35">
        <v>0</v>
      </c>
      <c r="AR36" s="35"/>
      <c r="AS36" s="45">
        <f>+AI36+AK36+AM36-AO36+AQ36</f>
        <v>0</v>
      </c>
      <c r="AT36" s="45"/>
      <c r="AU36" s="35">
        <v>0</v>
      </c>
      <c r="AV36" s="35"/>
      <c r="AW36" s="35">
        <v>0</v>
      </c>
      <c r="AX36" s="35"/>
      <c r="AY36" s="35">
        <f t="shared" si="4"/>
        <v>0</v>
      </c>
      <c r="AZ36" s="35"/>
      <c r="BA36" s="35" t="s">
        <v>50</v>
      </c>
      <c r="BB36" s="55"/>
      <c r="BC36" s="35" t="s">
        <v>27</v>
      </c>
      <c r="BD36" s="35"/>
      <c r="BE36" s="35"/>
      <c r="BF36" s="35"/>
      <c r="BG36" s="35"/>
      <c r="BH36" s="35"/>
      <c r="BI36" s="35"/>
      <c r="BJ36" s="35"/>
      <c r="BK36" s="35"/>
      <c r="BL36" s="35"/>
      <c r="BM36" s="35">
        <f t="shared" si="11"/>
        <v>0</v>
      </c>
      <c r="BN36" s="54" t="s">
        <v>347</v>
      </c>
    </row>
    <row r="37" spans="1:67" ht="13.2" hidden="1">
      <c r="A37" s="35" t="s">
        <v>51</v>
      </c>
      <c r="C37" s="35" t="s">
        <v>27</v>
      </c>
      <c r="D37" s="35"/>
      <c r="E37" s="35">
        <f t="shared" si="0"/>
        <v>0</v>
      </c>
      <c r="F37" s="35"/>
      <c r="G37" s="35"/>
      <c r="H37" s="35"/>
      <c r="I37" s="35"/>
      <c r="J37" s="35"/>
      <c r="K37" s="35">
        <f t="shared" si="1"/>
        <v>0</v>
      </c>
      <c r="L37" s="35"/>
      <c r="M37" s="35">
        <f t="shared" si="2"/>
        <v>0</v>
      </c>
      <c r="N37" s="35"/>
      <c r="O37" s="35"/>
      <c r="P37" s="35"/>
      <c r="Q37" s="35"/>
      <c r="R37" s="35"/>
      <c r="S37" s="35">
        <v>0</v>
      </c>
      <c r="T37" s="35"/>
      <c r="U37" s="35"/>
      <c r="V37" s="35"/>
      <c r="W37" s="35">
        <f t="shared" si="12"/>
        <v>0</v>
      </c>
      <c r="X37" s="35"/>
      <c r="Y37" s="35" t="s">
        <v>51</v>
      </c>
      <c r="Z37" s="55"/>
      <c r="AA37" s="35" t="s">
        <v>27</v>
      </c>
      <c r="AB37" s="35"/>
      <c r="AC37" s="35">
        <v>0</v>
      </c>
      <c r="AD37" s="35"/>
      <c r="AE37" s="35">
        <v>0</v>
      </c>
      <c r="AF37" s="35"/>
      <c r="AG37" s="35">
        <v>0</v>
      </c>
      <c r="AH37" s="35"/>
      <c r="AI37" s="45">
        <f t="shared" si="10"/>
        <v>0</v>
      </c>
      <c r="AJ37" s="45"/>
      <c r="AK37" s="35"/>
      <c r="AL37" s="35"/>
      <c r="AM37" s="35">
        <v>0</v>
      </c>
      <c r="AN37" s="35"/>
      <c r="AO37" s="35">
        <v>0</v>
      </c>
      <c r="AP37" s="35"/>
      <c r="AQ37" s="35">
        <v>0</v>
      </c>
      <c r="AR37" s="35"/>
      <c r="AS37" s="45">
        <v>0</v>
      </c>
      <c r="AT37" s="45"/>
      <c r="AU37" s="35">
        <v>0</v>
      </c>
      <c r="AV37" s="35"/>
      <c r="AW37" s="35">
        <v>0</v>
      </c>
      <c r="AX37" s="35"/>
      <c r="AY37" s="35">
        <f t="shared" si="4"/>
        <v>0</v>
      </c>
      <c r="AZ37" s="35"/>
      <c r="BA37" s="35" t="s">
        <v>51</v>
      </c>
      <c r="BB37" s="55"/>
      <c r="BC37" s="35" t="s">
        <v>27</v>
      </c>
      <c r="BD37" s="35"/>
      <c r="BE37" s="35"/>
      <c r="BF37" s="35"/>
      <c r="BG37" s="35"/>
      <c r="BH37" s="35"/>
      <c r="BI37" s="35"/>
      <c r="BJ37" s="35"/>
      <c r="BK37" s="35"/>
      <c r="BL37" s="35"/>
      <c r="BM37" s="35">
        <f t="shared" si="11"/>
        <v>0</v>
      </c>
      <c r="BN37" s="54" t="s">
        <v>347</v>
      </c>
    </row>
    <row r="38" spans="1:67" ht="13.2" hidden="1">
      <c r="A38" s="35" t="s">
        <v>52</v>
      </c>
      <c r="C38" s="35" t="s">
        <v>53</v>
      </c>
      <c r="D38" s="35"/>
      <c r="E38" s="35">
        <f t="shared" si="0"/>
        <v>0</v>
      </c>
      <c r="F38" s="35"/>
      <c r="G38" s="35"/>
      <c r="H38" s="35"/>
      <c r="I38" s="35"/>
      <c r="J38" s="35"/>
      <c r="K38" s="35">
        <f t="shared" si="1"/>
        <v>0</v>
      </c>
      <c r="L38" s="35"/>
      <c r="M38" s="35">
        <f t="shared" si="2"/>
        <v>0</v>
      </c>
      <c r="N38" s="35"/>
      <c r="O38" s="35"/>
      <c r="P38" s="35"/>
      <c r="Q38" s="35"/>
      <c r="R38" s="35"/>
      <c r="S38" s="35">
        <v>0</v>
      </c>
      <c r="T38" s="35"/>
      <c r="U38" s="35"/>
      <c r="V38" s="35"/>
      <c r="W38" s="35">
        <f t="shared" si="12"/>
        <v>0</v>
      </c>
      <c r="X38" s="35"/>
      <c r="Y38" s="35" t="s">
        <v>52</v>
      </c>
      <c r="Z38" s="55"/>
      <c r="AA38" s="35" t="s">
        <v>53</v>
      </c>
      <c r="AB38" s="35"/>
      <c r="AC38" s="35">
        <v>0</v>
      </c>
      <c r="AD38" s="35"/>
      <c r="AE38" s="35">
        <v>0</v>
      </c>
      <c r="AF38" s="35"/>
      <c r="AG38" s="35">
        <v>0</v>
      </c>
      <c r="AH38" s="35"/>
      <c r="AI38" s="45">
        <f t="shared" si="10"/>
        <v>0</v>
      </c>
      <c r="AJ38" s="45"/>
      <c r="AK38" s="35"/>
      <c r="AL38" s="35"/>
      <c r="AM38" s="35">
        <v>0</v>
      </c>
      <c r="AN38" s="35"/>
      <c r="AO38" s="35">
        <v>0</v>
      </c>
      <c r="AP38" s="35"/>
      <c r="AQ38" s="35">
        <v>0</v>
      </c>
      <c r="AR38" s="35"/>
      <c r="AS38" s="45">
        <f t="shared" ref="AS38:AS101" si="13">+AI38+AK38+AM38-AO38+AQ38</f>
        <v>0</v>
      </c>
      <c r="AT38" s="45"/>
      <c r="AU38" s="35">
        <v>0</v>
      </c>
      <c r="AV38" s="35"/>
      <c r="AW38" s="35">
        <v>0</v>
      </c>
      <c r="AX38" s="35"/>
      <c r="AY38" s="35">
        <f t="shared" si="4"/>
        <v>0</v>
      </c>
      <c r="AZ38" s="35"/>
      <c r="BA38" s="35" t="s">
        <v>52</v>
      </c>
      <c r="BB38" s="55"/>
      <c r="BC38" s="35" t="s">
        <v>53</v>
      </c>
      <c r="BD38" s="35"/>
      <c r="BE38" s="35"/>
      <c r="BF38" s="35"/>
      <c r="BG38" s="35"/>
      <c r="BH38" s="35"/>
      <c r="BI38" s="35"/>
      <c r="BJ38" s="35"/>
      <c r="BK38" s="35"/>
      <c r="BL38" s="35"/>
      <c r="BM38" s="35">
        <f t="shared" si="11"/>
        <v>0</v>
      </c>
      <c r="BN38" s="54" t="s">
        <v>347</v>
      </c>
    </row>
    <row r="39" spans="1:67" ht="13.2" hidden="1">
      <c r="A39" s="35" t="s">
        <v>54</v>
      </c>
      <c r="C39" s="35" t="s">
        <v>55</v>
      </c>
      <c r="D39" s="35"/>
      <c r="E39" s="64">
        <f t="shared" si="0"/>
        <v>0</v>
      </c>
      <c r="F39" s="64"/>
      <c r="G39" s="64"/>
      <c r="H39" s="64"/>
      <c r="I39" s="64"/>
      <c r="J39" s="64"/>
      <c r="K39" s="64">
        <f t="shared" si="1"/>
        <v>0</v>
      </c>
      <c r="L39" s="64"/>
      <c r="M39" s="64">
        <v>0</v>
      </c>
      <c r="N39" s="64"/>
      <c r="O39" s="64"/>
      <c r="P39" s="64"/>
      <c r="Q39" s="64"/>
      <c r="R39" s="64"/>
      <c r="S39" s="64">
        <v>0</v>
      </c>
      <c r="T39" s="64"/>
      <c r="U39" s="64"/>
      <c r="V39" s="64"/>
      <c r="W39" s="64">
        <f t="shared" si="12"/>
        <v>0</v>
      </c>
      <c r="X39" s="35"/>
      <c r="Y39" s="35" t="s">
        <v>54</v>
      </c>
      <c r="Z39" s="55"/>
      <c r="AA39" s="35" t="s">
        <v>55</v>
      </c>
      <c r="AB39" s="35"/>
      <c r="AC39" s="64">
        <v>0</v>
      </c>
      <c r="AD39" s="64"/>
      <c r="AE39" s="64">
        <v>0</v>
      </c>
      <c r="AF39" s="64"/>
      <c r="AG39" s="64">
        <v>0</v>
      </c>
      <c r="AH39" s="64"/>
      <c r="AI39" s="94">
        <f t="shared" si="10"/>
        <v>0</v>
      </c>
      <c r="AJ39" s="94"/>
      <c r="AK39" s="64"/>
      <c r="AL39" s="64"/>
      <c r="AM39" s="64">
        <v>0</v>
      </c>
      <c r="AN39" s="64"/>
      <c r="AO39" s="64">
        <v>0</v>
      </c>
      <c r="AP39" s="64"/>
      <c r="AQ39" s="64">
        <v>0</v>
      </c>
      <c r="AR39" s="64"/>
      <c r="AS39" s="94">
        <f t="shared" si="13"/>
        <v>0</v>
      </c>
      <c r="AT39" s="94"/>
      <c r="AU39" s="64">
        <v>0</v>
      </c>
      <c r="AV39" s="64"/>
      <c r="AW39" s="64">
        <v>0</v>
      </c>
      <c r="AX39" s="64"/>
      <c r="AY39" s="64">
        <f t="shared" si="4"/>
        <v>0</v>
      </c>
      <c r="AZ39" s="35"/>
      <c r="BA39" s="35" t="s">
        <v>54</v>
      </c>
      <c r="BB39" s="55"/>
      <c r="BC39" s="35" t="s">
        <v>55</v>
      </c>
      <c r="BD39" s="35"/>
      <c r="BE39" s="64"/>
      <c r="BF39" s="64"/>
      <c r="BG39" s="64"/>
      <c r="BH39" s="64"/>
      <c r="BI39" s="64"/>
      <c r="BJ39" s="64"/>
      <c r="BK39" s="64"/>
      <c r="BL39" s="64"/>
      <c r="BM39" s="64">
        <f t="shared" si="11"/>
        <v>0</v>
      </c>
      <c r="BN39" s="54" t="s">
        <v>347</v>
      </c>
    </row>
    <row r="40" spans="1:67" ht="13.2" hidden="1">
      <c r="A40" s="35" t="s">
        <v>56</v>
      </c>
      <c r="C40" s="35" t="s">
        <v>57</v>
      </c>
      <c r="D40" s="35"/>
      <c r="E40" s="35">
        <f t="shared" si="0"/>
        <v>0</v>
      </c>
      <c r="F40" s="35"/>
      <c r="G40" s="35"/>
      <c r="H40" s="35"/>
      <c r="I40" s="35"/>
      <c r="J40" s="35"/>
      <c r="K40" s="35">
        <f t="shared" si="1"/>
        <v>0</v>
      </c>
      <c r="L40" s="35"/>
      <c r="M40" s="35">
        <v>0</v>
      </c>
      <c r="N40" s="35"/>
      <c r="O40" s="35"/>
      <c r="P40" s="35"/>
      <c r="Q40" s="35"/>
      <c r="R40" s="35"/>
      <c r="S40" s="35">
        <v>0</v>
      </c>
      <c r="T40" s="35"/>
      <c r="U40" s="35"/>
      <c r="V40" s="35"/>
      <c r="W40" s="35">
        <f t="shared" si="12"/>
        <v>0</v>
      </c>
      <c r="X40" s="35"/>
      <c r="Y40" s="35" t="s">
        <v>56</v>
      </c>
      <c r="Z40" s="55"/>
      <c r="AA40" s="35" t="s">
        <v>57</v>
      </c>
      <c r="AB40" s="35"/>
      <c r="AC40" s="35">
        <v>0</v>
      </c>
      <c r="AD40" s="35"/>
      <c r="AE40" s="35">
        <v>0</v>
      </c>
      <c r="AF40" s="35"/>
      <c r="AG40" s="35">
        <v>0</v>
      </c>
      <c r="AH40" s="35"/>
      <c r="AI40" s="45">
        <f t="shared" si="10"/>
        <v>0</v>
      </c>
      <c r="AJ40" s="45"/>
      <c r="AK40" s="35"/>
      <c r="AL40" s="35"/>
      <c r="AM40" s="35">
        <v>0</v>
      </c>
      <c r="AN40" s="35"/>
      <c r="AO40" s="35">
        <v>0</v>
      </c>
      <c r="AP40" s="35"/>
      <c r="AQ40" s="35">
        <v>0</v>
      </c>
      <c r="AR40" s="35"/>
      <c r="AS40" s="45">
        <f t="shared" si="13"/>
        <v>0</v>
      </c>
      <c r="AT40" s="45"/>
      <c r="AU40" s="35">
        <v>0</v>
      </c>
      <c r="AV40" s="35"/>
      <c r="AW40" s="35">
        <v>0</v>
      </c>
      <c r="AX40" s="35"/>
      <c r="AY40" s="35">
        <f t="shared" si="4"/>
        <v>0</v>
      </c>
      <c r="AZ40" s="35"/>
      <c r="BA40" s="35" t="s">
        <v>56</v>
      </c>
      <c r="BB40" s="55"/>
      <c r="BC40" s="35" t="s">
        <v>57</v>
      </c>
      <c r="BD40" s="35"/>
      <c r="BE40" s="35"/>
      <c r="BF40" s="35"/>
      <c r="BG40" s="35"/>
      <c r="BH40" s="35"/>
      <c r="BI40" s="35"/>
      <c r="BJ40" s="35"/>
      <c r="BK40" s="35"/>
      <c r="BL40" s="35"/>
      <c r="BM40" s="35">
        <f t="shared" si="11"/>
        <v>0</v>
      </c>
      <c r="BN40" s="54" t="s">
        <v>347</v>
      </c>
    </row>
    <row r="41" spans="1:67" ht="13.2" hidden="1">
      <c r="A41" s="35" t="s">
        <v>58</v>
      </c>
      <c r="C41" s="35" t="s">
        <v>59</v>
      </c>
      <c r="D41" s="35"/>
      <c r="E41" s="35">
        <f t="shared" si="0"/>
        <v>0</v>
      </c>
      <c r="F41" s="35"/>
      <c r="G41" s="35"/>
      <c r="H41" s="35"/>
      <c r="I41" s="35"/>
      <c r="J41" s="35"/>
      <c r="K41" s="35">
        <f t="shared" si="1"/>
        <v>0</v>
      </c>
      <c r="L41" s="35"/>
      <c r="M41" s="35">
        <v>0</v>
      </c>
      <c r="N41" s="35"/>
      <c r="O41" s="35"/>
      <c r="P41" s="35"/>
      <c r="Q41" s="35"/>
      <c r="R41" s="35"/>
      <c r="S41" s="35">
        <v>0</v>
      </c>
      <c r="T41" s="35"/>
      <c r="U41" s="35"/>
      <c r="V41" s="35"/>
      <c r="W41" s="35">
        <f t="shared" si="12"/>
        <v>0</v>
      </c>
      <c r="X41" s="35"/>
      <c r="Y41" s="35" t="s">
        <v>58</v>
      </c>
      <c r="Z41" s="55"/>
      <c r="AA41" s="35" t="s">
        <v>59</v>
      </c>
      <c r="AB41" s="35"/>
      <c r="AC41" s="35">
        <v>0</v>
      </c>
      <c r="AD41" s="35"/>
      <c r="AE41" s="35">
        <v>0</v>
      </c>
      <c r="AF41" s="35"/>
      <c r="AG41" s="35">
        <v>0</v>
      </c>
      <c r="AH41" s="35"/>
      <c r="AI41" s="45">
        <f t="shared" si="10"/>
        <v>0</v>
      </c>
      <c r="AJ41" s="45"/>
      <c r="AK41" s="35"/>
      <c r="AL41" s="35"/>
      <c r="AM41" s="35">
        <v>0</v>
      </c>
      <c r="AN41" s="35"/>
      <c r="AO41" s="35">
        <v>0</v>
      </c>
      <c r="AP41" s="35"/>
      <c r="AQ41" s="35">
        <v>0</v>
      </c>
      <c r="AR41" s="35"/>
      <c r="AS41" s="45">
        <f t="shared" si="13"/>
        <v>0</v>
      </c>
      <c r="AT41" s="45"/>
      <c r="AU41" s="35">
        <v>0</v>
      </c>
      <c r="AV41" s="35"/>
      <c r="AW41" s="35">
        <v>0</v>
      </c>
      <c r="AX41" s="35"/>
      <c r="AY41" s="35">
        <f t="shared" si="4"/>
        <v>0</v>
      </c>
      <c r="AZ41" s="35"/>
      <c r="BA41" s="35" t="s">
        <v>58</v>
      </c>
      <c r="BB41" s="55"/>
      <c r="BC41" s="35" t="s">
        <v>59</v>
      </c>
      <c r="BD41" s="35"/>
      <c r="BE41" s="35"/>
      <c r="BF41" s="35"/>
      <c r="BG41" s="35"/>
      <c r="BH41" s="35"/>
      <c r="BI41" s="35"/>
      <c r="BJ41" s="35"/>
      <c r="BK41" s="35"/>
      <c r="BL41" s="35"/>
      <c r="BM41" s="35">
        <f t="shared" si="11"/>
        <v>0</v>
      </c>
      <c r="BN41" s="54" t="s">
        <v>347</v>
      </c>
    </row>
    <row r="42" spans="1:67" ht="13.2" hidden="1">
      <c r="A42" s="44" t="s">
        <v>476</v>
      </c>
      <c r="C42" s="35" t="s">
        <v>15</v>
      </c>
      <c r="D42" s="35"/>
      <c r="E42" s="35">
        <f t="shared" si="0"/>
        <v>0</v>
      </c>
      <c r="F42" s="35"/>
      <c r="G42" s="35"/>
      <c r="H42" s="35"/>
      <c r="I42" s="35"/>
      <c r="J42" s="35"/>
      <c r="K42" s="35">
        <f t="shared" si="1"/>
        <v>0</v>
      </c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>
        <f t="shared" si="12"/>
        <v>0</v>
      </c>
      <c r="X42" s="35"/>
      <c r="Y42" s="44" t="s">
        <v>62</v>
      </c>
      <c r="Z42" s="55"/>
      <c r="AA42" s="35" t="s">
        <v>15</v>
      </c>
      <c r="AB42" s="35"/>
      <c r="AC42" s="35"/>
      <c r="AD42" s="35"/>
      <c r="AE42" s="35"/>
      <c r="AF42" s="35"/>
      <c r="AG42" s="35"/>
      <c r="AH42" s="35"/>
      <c r="AI42" s="45">
        <f t="shared" si="10"/>
        <v>0</v>
      </c>
      <c r="AJ42" s="45"/>
      <c r="AK42" s="35"/>
      <c r="AL42" s="35"/>
      <c r="AM42" s="35"/>
      <c r="AN42" s="35"/>
      <c r="AO42" s="35"/>
      <c r="AP42" s="35"/>
      <c r="AQ42" s="35"/>
      <c r="AR42" s="35"/>
      <c r="AS42" s="45">
        <f t="shared" si="13"/>
        <v>0</v>
      </c>
      <c r="AT42" s="45"/>
      <c r="AU42" s="35">
        <v>0</v>
      </c>
      <c r="AV42" s="35"/>
      <c r="AW42" s="35">
        <v>0</v>
      </c>
      <c r="AX42" s="35"/>
      <c r="AY42" s="35">
        <f t="shared" si="4"/>
        <v>0</v>
      </c>
      <c r="AZ42" s="35"/>
      <c r="BA42" s="44" t="s">
        <v>62</v>
      </c>
      <c r="BB42" s="55"/>
      <c r="BC42" s="35" t="s">
        <v>15</v>
      </c>
      <c r="BD42" s="35"/>
      <c r="BE42" s="35"/>
      <c r="BF42" s="35"/>
      <c r="BG42" s="35"/>
      <c r="BH42" s="35"/>
      <c r="BI42" s="35"/>
      <c r="BJ42" s="35"/>
      <c r="BK42" s="35"/>
      <c r="BL42" s="35"/>
      <c r="BM42" s="35">
        <f t="shared" si="11"/>
        <v>0</v>
      </c>
      <c r="BN42" s="54" t="s">
        <v>347</v>
      </c>
    </row>
    <row r="43" spans="1:67" ht="13.2" hidden="1">
      <c r="A43" s="35" t="s">
        <v>60</v>
      </c>
      <c r="C43" s="35" t="s">
        <v>61</v>
      </c>
      <c r="D43" s="35"/>
      <c r="E43" s="35">
        <f t="shared" si="0"/>
        <v>0</v>
      </c>
      <c r="F43" s="35"/>
      <c r="G43" s="35"/>
      <c r="H43" s="35"/>
      <c r="I43" s="35"/>
      <c r="J43" s="35"/>
      <c r="K43" s="35">
        <f t="shared" si="1"/>
        <v>0</v>
      </c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>
        <f t="shared" si="12"/>
        <v>0</v>
      </c>
      <c r="X43" s="35"/>
      <c r="Y43" s="35" t="s">
        <v>60</v>
      </c>
      <c r="Z43" s="55"/>
      <c r="AA43" s="35" t="s">
        <v>61</v>
      </c>
      <c r="AB43" s="35"/>
      <c r="AC43" s="35"/>
      <c r="AD43" s="35"/>
      <c r="AE43" s="35"/>
      <c r="AF43" s="35"/>
      <c r="AG43" s="35"/>
      <c r="AH43" s="35"/>
      <c r="AI43" s="45">
        <f t="shared" si="10"/>
        <v>0</v>
      </c>
      <c r="AJ43" s="45"/>
      <c r="AK43" s="35"/>
      <c r="AL43" s="35"/>
      <c r="AM43" s="35"/>
      <c r="AN43" s="35"/>
      <c r="AO43" s="35"/>
      <c r="AP43" s="35"/>
      <c r="AQ43" s="35"/>
      <c r="AR43" s="35"/>
      <c r="AS43" s="45">
        <f t="shared" si="13"/>
        <v>0</v>
      </c>
      <c r="AT43" s="45"/>
      <c r="AU43" s="35">
        <v>0</v>
      </c>
      <c r="AV43" s="35"/>
      <c r="AW43" s="35">
        <v>0</v>
      </c>
      <c r="AX43" s="35"/>
      <c r="AY43" s="35">
        <f t="shared" si="4"/>
        <v>0</v>
      </c>
      <c r="AZ43" s="35"/>
      <c r="BA43" s="35" t="s">
        <v>60</v>
      </c>
      <c r="BB43" s="55"/>
      <c r="BC43" s="35" t="s">
        <v>61</v>
      </c>
      <c r="BD43" s="35"/>
      <c r="BE43" s="35"/>
      <c r="BF43" s="35"/>
      <c r="BG43" s="35"/>
      <c r="BH43" s="35"/>
      <c r="BI43" s="35"/>
      <c r="BJ43" s="35"/>
      <c r="BK43" s="35"/>
      <c r="BL43" s="35"/>
      <c r="BM43" s="35">
        <f t="shared" si="11"/>
        <v>0</v>
      </c>
      <c r="BN43" s="54" t="s">
        <v>347</v>
      </c>
    </row>
    <row r="44" spans="1:67" ht="13.2" hidden="1">
      <c r="A44" s="44" t="s">
        <v>62</v>
      </c>
      <c r="C44" s="35" t="s">
        <v>15</v>
      </c>
      <c r="D44" s="35"/>
      <c r="E44" s="35">
        <f t="shared" si="0"/>
        <v>0</v>
      </c>
      <c r="F44" s="35"/>
      <c r="G44" s="35"/>
      <c r="H44" s="35"/>
      <c r="I44" s="35"/>
      <c r="J44" s="35"/>
      <c r="K44" s="35">
        <f t="shared" si="1"/>
        <v>0</v>
      </c>
      <c r="L44" s="35"/>
      <c r="M44" s="35">
        <v>0</v>
      </c>
      <c r="N44" s="35"/>
      <c r="O44" s="35"/>
      <c r="P44" s="35"/>
      <c r="Q44" s="35"/>
      <c r="R44" s="35"/>
      <c r="S44" s="35">
        <v>0</v>
      </c>
      <c r="T44" s="35"/>
      <c r="U44" s="35"/>
      <c r="V44" s="35"/>
      <c r="W44" s="35">
        <f t="shared" si="12"/>
        <v>0</v>
      </c>
      <c r="X44" s="35"/>
      <c r="Y44" s="44" t="s">
        <v>62</v>
      </c>
      <c r="Z44" s="55"/>
      <c r="AA44" s="35" t="s">
        <v>15</v>
      </c>
      <c r="AB44" s="35"/>
      <c r="AC44" s="35">
        <v>0</v>
      </c>
      <c r="AD44" s="35"/>
      <c r="AE44" s="35">
        <v>0</v>
      </c>
      <c r="AF44" s="35"/>
      <c r="AG44" s="35">
        <v>0</v>
      </c>
      <c r="AH44" s="35"/>
      <c r="AI44" s="45">
        <f t="shared" si="10"/>
        <v>0</v>
      </c>
      <c r="AJ44" s="45"/>
      <c r="AK44" s="35"/>
      <c r="AL44" s="35"/>
      <c r="AM44" s="35">
        <v>0</v>
      </c>
      <c r="AN44" s="35"/>
      <c r="AO44" s="35">
        <v>0</v>
      </c>
      <c r="AP44" s="35"/>
      <c r="AQ44" s="35">
        <v>0</v>
      </c>
      <c r="AR44" s="35"/>
      <c r="AS44" s="45">
        <f t="shared" si="13"/>
        <v>0</v>
      </c>
      <c r="AT44" s="45"/>
      <c r="AU44" s="35">
        <v>0</v>
      </c>
      <c r="AV44" s="35"/>
      <c r="AW44" s="35">
        <v>0</v>
      </c>
      <c r="AX44" s="35"/>
      <c r="AY44" s="35">
        <f t="shared" si="4"/>
        <v>0</v>
      </c>
      <c r="AZ44" s="35"/>
      <c r="BA44" s="44" t="s">
        <v>62</v>
      </c>
      <c r="BB44" s="55"/>
      <c r="BC44" s="35" t="s">
        <v>15</v>
      </c>
      <c r="BD44" s="35"/>
      <c r="BE44" s="35"/>
      <c r="BF44" s="35"/>
      <c r="BG44" s="35"/>
      <c r="BH44" s="35"/>
      <c r="BI44" s="35"/>
      <c r="BJ44" s="35"/>
      <c r="BK44" s="35"/>
      <c r="BL44" s="35"/>
      <c r="BM44" s="35">
        <f t="shared" si="11"/>
        <v>0</v>
      </c>
      <c r="BN44" s="54" t="s">
        <v>347</v>
      </c>
    </row>
    <row r="45" spans="1:67" ht="13.2" hidden="1">
      <c r="A45" s="35" t="s">
        <v>485</v>
      </c>
      <c r="C45" s="35" t="s">
        <v>111</v>
      </c>
      <c r="D45" s="35"/>
      <c r="E45" s="35">
        <f t="shared" si="0"/>
        <v>0</v>
      </c>
      <c r="F45" s="35"/>
      <c r="G45" s="35"/>
      <c r="H45" s="35"/>
      <c r="I45" s="35"/>
      <c r="J45" s="35"/>
      <c r="K45" s="35">
        <f t="shared" si="1"/>
        <v>0</v>
      </c>
      <c r="L45" s="35"/>
      <c r="M45" s="35">
        <v>0</v>
      </c>
      <c r="N45" s="35"/>
      <c r="O45" s="35"/>
      <c r="P45" s="35"/>
      <c r="Q45" s="35"/>
      <c r="R45" s="35"/>
      <c r="S45" s="35">
        <v>0</v>
      </c>
      <c r="T45" s="35"/>
      <c r="U45" s="35"/>
      <c r="V45" s="35"/>
      <c r="W45" s="35">
        <f t="shared" si="12"/>
        <v>0</v>
      </c>
      <c r="X45" s="35"/>
      <c r="Y45" s="35" t="s">
        <v>485</v>
      </c>
      <c r="Z45" s="55"/>
      <c r="AA45" s="35" t="s">
        <v>111</v>
      </c>
      <c r="AB45" s="35"/>
      <c r="AC45" s="35">
        <v>0</v>
      </c>
      <c r="AD45" s="35"/>
      <c r="AE45" s="35">
        <v>0</v>
      </c>
      <c r="AF45" s="35"/>
      <c r="AG45" s="35">
        <v>0</v>
      </c>
      <c r="AH45" s="35"/>
      <c r="AI45" s="45">
        <f t="shared" si="10"/>
        <v>0</v>
      </c>
      <c r="AJ45" s="45"/>
      <c r="AK45" s="35"/>
      <c r="AL45" s="35"/>
      <c r="AM45" s="35">
        <v>0</v>
      </c>
      <c r="AN45" s="35"/>
      <c r="AO45" s="35">
        <v>0</v>
      </c>
      <c r="AP45" s="35"/>
      <c r="AQ45" s="35">
        <v>0</v>
      </c>
      <c r="AR45" s="35"/>
      <c r="AS45" s="45">
        <f t="shared" si="13"/>
        <v>0</v>
      </c>
      <c r="AT45" s="45"/>
      <c r="AU45" s="35">
        <v>0</v>
      </c>
      <c r="AV45" s="35"/>
      <c r="AW45" s="35">
        <v>0</v>
      </c>
      <c r="AX45" s="35"/>
      <c r="AY45" s="35">
        <f t="shared" si="4"/>
        <v>0</v>
      </c>
      <c r="AZ45" s="35"/>
      <c r="BA45" s="35" t="s">
        <v>485</v>
      </c>
      <c r="BB45" s="55"/>
      <c r="BC45" s="35" t="s">
        <v>111</v>
      </c>
      <c r="BD45" s="35"/>
      <c r="BE45" s="35"/>
      <c r="BF45" s="35"/>
      <c r="BG45" s="35"/>
      <c r="BH45" s="35"/>
      <c r="BI45" s="35"/>
      <c r="BJ45" s="35"/>
      <c r="BK45" s="35"/>
      <c r="BL45" s="35"/>
      <c r="BM45" s="35">
        <f t="shared" si="11"/>
        <v>0</v>
      </c>
      <c r="BN45" s="54" t="s">
        <v>347</v>
      </c>
    </row>
    <row r="46" spans="1:67" ht="13.2" hidden="1">
      <c r="A46" s="35" t="s">
        <v>63</v>
      </c>
      <c r="C46" s="35" t="s">
        <v>64</v>
      </c>
      <c r="D46" s="35"/>
      <c r="E46" s="35">
        <f t="shared" si="0"/>
        <v>0</v>
      </c>
      <c r="F46" s="35"/>
      <c r="G46" s="35"/>
      <c r="H46" s="35"/>
      <c r="I46" s="35"/>
      <c r="J46" s="35"/>
      <c r="K46" s="35">
        <f t="shared" si="1"/>
        <v>0</v>
      </c>
      <c r="L46" s="35"/>
      <c r="M46" s="35">
        <v>0</v>
      </c>
      <c r="N46" s="35"/>
      <c r="O46" s="35"/>
      <c r="P46" s="35"/>
      <c r="Q46" s="35"/>
      <c r="R46" s="35"/>
      <c r="S46" s="35">
        <v>0</v>
      </c>
      <c r="T46" s="35"/>
      <c r="U46" s="35"/>
      <c r="V46" s="35"/>
      <c r="W46" s="35">
        <f t="shared" si="12"/>
        <v>0</v>
      </c>
      <c r="X46" s="35"/>
      <c r="Y46" s="35" t="s">
        <v>63</v>
      </c>
      <c r="Z46" s="55"/>
      <c r="AA46" s="35" t="s">
        <v>64</v>
      </c>
      <c r="AB46" s="35"/>
      <c r="AC46" s="35">
        <v>0</v>
      </c>
      <c r="AD46" s="35"/>
      <c r="AE46" s="35">
        <v>0</v>
      </c>
      <c r="AF46" s="35"/>
      <c r="AG46" s="35">
        <v>0</v>
      </c>
      <c r="AH46" s="35"/>
      <c r="AI46" s="45">
        <f t="shared" si="10"/>
        <v>0</v>
      </c>
      <c r="AJ46" s="45"/>
      <c r="AK46" s="35"/>
      <c r="AL46" s="35"/>
      <c r="AM46" s="35">
        <v>0</v>
      </c>
      <c r="AN46" s="35"/>
      <c r="AO46" s="35">
        <v>0</v>
      </c>
      <c r="AP46" s="35"/>
      <c r="AQ46" s="35">
        <v>0</v>
      </c>
      <c r="AR46" s="35"/>
      <c r="AS46" s="45">
        <f t="shared" si="13"/>
        <v>0</v>
      </c>
      <c r="AT46" s="45"/>
      <c r="AU46" s="35">
        <v>0</v>
      </c>
      <c r="AV46" s="35"/>
      <c r="AW46" s="35">
        <v>0</v>
      </c>
      <c r="AX46" s="35"/>
      <c r="AY46" s="35">
        <f t="shared" si="4"/>
        <v>0</v>
      </c>
      <c r="AZ46" s="35"/>
      <c r="BA46" s="35" t="s">
        <v>63</v>
      </c>
      <c r="BB46" s="55"/>
      <c r="BC46" s="35" t="s">
        <v>64</v>
      </c>
      <c r="BD46" s="35"/>
      <c r="BE46" s="35"/>
      <c r="BF46" s="35"/>
      <c r="BG46" s="35"/>
      <c r="BH46" s="35"/>
      <c r="BI46" s="35"/>
      <c r="BJ46" s="35"/>
      <c r="BK46" s="35"/>
      <c r="BL46" s="35"/>
      <c r="BM46" s="35">
        <f t="shared" si="11"/>
        <v>0</v>
      </c>
      <c r="BN46" s="54" t="s">
        <v>347</v>
      </c>
      <c r="BO46" s="55" t="s">
        <v>315</v>
      </c>
    </row>
    <row r="47" spans="1:67" ht="13.2" hidden="1">
      <c r="A47" s="35" t="s">
        <v>65</v>
      </c>
      <c r="C47" s="35" t="s">
        <v>66</v>
      </c>
      <c r="D47" s="35"/>
      <c r="E47" s="35">
        <f t="shared" si="0"/>
        <v>0</v>
      </c>
      <c r="F47" s="35"/>
      <c r="G47" s="35"/>
      <c r="H47" s="35"/>
      <c r="I47" s="35"/>
      <c r="J47" s="35"/>
      <c r="K47" s="35">
        <f t="shared" si="1"/>
        <v>0</v>
      </c>
      <c r="L47" s="35"/>
      <c r="M47" s="35">
        <v>0</v>
      </c>
      <c r="N47" s="35"/>
      <c r="O47" s="35"/>
      <c r="P47" s="35"/>
      <c r="Q47" s="35"/>
      <c r="R47" s="35"/>
      <c r="S47" s="35">
        <v>0</v>
      </c>
      <c r="T47" s="35"/>
      <c r="U47" s="35"/>
      <c r="V47" s="35"/>
      <c r="W47" s="35">
        <f t="shared" si="12"/>
        <v>0</v>
      </c>
      <c r="X47" s="35"/>
      <c r="Y47" s="35" t="s">
        <v>65</v>
      </c>
      <c r="Z47" s="55"/>
      <c r="AA47" s="35" t="s">
        <v>66</v>
      </c>
      <c r="AB47" s="35"/>
      <c r="AC47" s="35">
        <v>0</v>
      </c>
      <c r="AD47" s="35"/>
      <c r="AE47" s="35">
        <v>0</v>
      </c>
      <c r="AF47" s="35"/>
      <c r="AG47" s="35">
        <v>0</v>
      </c>
      <c r="AH47" s="35"/>
      <c r="AI47" s="45">
        <f t="shared" si="10"/>
        <v>0</v>
      </c>
      <c r="AJ47" s="45"/>
      <c r="AK47" s="35"/>
      <c r="AL47" s="35"/>
      <c r="AM47" s="35">
        <v>0</v>
      </c>
      <c r="AN47" s="35"/>
      <c r="AO47" s="35">
        <v>0</v>
      </c>
      <c r="AP47" s="35"/>
      <c r="AQ47" s="35">
        <v>0</v>
      </c>
      <c r="AR47" s="35"/>
      <c r="AS47" s="45">
        <f t="shared" si="13"/>
        <v>0</v>
      </c>
      <c r="AT47" s="45"/>
      <c r="AU47" s="35">
        <v>0</v>
      </c>
      <c r="AV47" s="35"/>
      <c r="AW47" s="35">
        <v>0</v>
      </c>
      <c r="AX47" s="35"/>
      <c r="AY47" s="35">
        <f t="shared" si="4"/>
        <v>0</v>
      </c>
      <c r="AZ47" s="35"/>
      <c r="BA47" s="35" t="s">
        <v>65</v>
      </c>
      <c r="BB47" s="55"/>
      <c r="BC47" s="35" t="s">
        <v>66</v>
      </c>
      <c r="BD47" s="35"/>
      <c r="BE47" s="35"/>
      <c r="BF47" s="35"/>
      <c r="BG47" s="35"/>
      <c r="BH47" s="35"/>
      <c r="BI47" s="35"/>
      <c r="BJ47" s="35"/>
      <c r="BK47" s="35"/>
      <c r="BL47" s="35"/>
      <c r="BM47" s="35">
        <f t="shared" si="11"/>
        <v>0</v>
      </c>
      <c r="BN47" s="54" t="s">
        <v>347</v>
      </c>
    </row>
    <row r="48" spans="1:67" ht="13.2" hidden="1">
      <c r="A48" s="35" t="s">
        <v>67</v>
      </c>
      <c r="C48" s="35" t="s">
        <v>375</v>
      </c>
      <c r="D48" s="35"/>
      <c r="E48" s="35">
        <f t="shared" si="0"/>
        <v>0</v>
      </c>
      <c r="F48" s="35"/>
      <c r="G48" s="35"/>
      <c r="H48" s="35"/>
      <c r="I48" s="35"/>
      <c r="J48" s="35"/>
      <c r="K48" s="35">
        <f t="shared" si="1"/>
        <v>0</v>
      </c>
      <c r="L48" s="35"/>
      <c r="M48" s="35">
        <v>0</v>
      </c>
      <c r="N48" s="35"/>
      <c r="O48" s="35"/>
      <c r="P48" s="35"/>
      <c r="Q48" s="35"/>
      <c r="R48" s="35"/>
      <c r="S48" s="35">
        <v>0</v>
      </c>
      <c r="T48" s="35"/>
      <c r="U48" s="35"/>
      <c r="V48" s="35"/>
      <c r="W48" s="35">
        <f t="shared" si="12"/>
        <v>0</v>
      </c>
      <c r="X48" s="35"/>
      <c r="Y48" s="35" t="s">
        <v>67</v>
      </c>
      <c r="Z48" s="55"/>
      <c r="AA48" s="35" t="s">
        <v>375</v>
      </c>
      <c r="AB48" s="35"/>
      <c r="AC48" s="35">
        <v>0</v>
      </c>
      <c r="AD48" s="35"/>
      <c r="AE48" s="35">
        <v>0</v>
      </c>
      <c r="AF48" s="35"/>
      <c r="AG48" s="35">
        <v>0</v>
      </c>
      <c r="AH48" s="35"/>
      <c r="AI48" s="45">
        <f t="shared" si="10"/>
        <v>0</v>
      </c>
      <c r="AJ48" s="45"/>
      <c r="AK48" s="35"/>
      <c r="AL48" s="35"/>
      <c r="AM48" s="35">
        <v>0</v>
      </c>
      <c r="AN48" s="35"/>
      <c r="AO48" s="35">
        <v>0</v>
      </c>
      <c r="AP48" s="35"/>
      <c r="AQ48" s="35">
        <v>0</v>
      </c>
      <c r="AR48" s="35"/>
      <c r="AS48" s="45">
        <f t="shared" si="13"/>
        <v>0</v>
      </c>
      <c r="AT48" s="45"/>
      <c r="AU48" s="35">
        <v>0</v>
      </c>
      <c r="AV48" s="35"/>
      <c r="AW48" s="35">
        <v>0</v>
      </c>
      <c r="AX48" s="35"/>
      <c r="AY48" s="35">
        <f t="shared" si="4"/>
        <v>0</v>
      </c>
      <c r="AZ48" s="35"/>
      <c r="BA48" s="35" t="s">
        <v>67</v>
      </c>
      <c r="BB48" s="55"/>
      <c r="BC48" s="35" t="s">
        <v>375</v>
      </c>
      <c r="BD48" s="35"/>
      <c r="BE48" s="35"/>
      <c r="BF48" s="35"/>
      <c r="BG48" s="35"/>
      <c r="BH48" s="35"/>
      <c r="BI48" s="35"/>
      <c r="BJ48" s="35"/>
      <c r="BK48" s="35"/>
      <c r="BL48" s="35"/>
      <c r="BM48" s="35">
        <f t="shared" si="11"/>
        <v>0</v>
      </c>
      <c r="BN48" s="54" t="s">
        <v>347</v>
      </c>
    </row>
    <row r="49" spans="1:67" ht="13.2" hidden="1">
      <c r="A49" s="35" t="s">
        <v>68</v>
      </c>
      <c r="C49" s="35" t="s">
        <v>45</v>
      </c>
      <c r="D49" s="35"/>
      <c r="E49" s="35">
        <f t="shared" si="0"/>
        <v>0</v>
      </c>
      <c r="F49" s="35"/>
      <c r="G49" s="35"/>
      <c r="H49" s="35"/>
      <c r="I49" s="35"/>
      <c r="J49" s="35"/>
      <c r="K49" s="35">
        <f t="shared" si="1"/>
        <v>0</v>
      </c>
      <c r="L49" s="35"/>
      <c r="M49" s="35">
        <v>0</v>
      </c>
      <c r="N49" s="35"/>
      <c r="O49" s="35"/>
      <c r="P49" s="35"/>
      <c r="Q49" s="35"/>
      <c r="R49" s="35"/>
      <c r="S49" s="35">
        <v>0</v>
      </c>
      <c r="T49" s="35"/>
      <c r="U49" s="35"/>
      <c r="V49" s="35"/>
      <c r="W49" s="35">
        <f t="shared" si="12"/>
        <v>0</v>
      </c>
      <c r="X49" s="35"/>
      <c r="Y49" s="35" t="s">
        <v>68</v>
      </c>
      <c r="Z49" s="55"/>
      <c r="AA49" s="35" t="s">
        <v>45</v>
      </c>
      <c r="AB49" s="35"/>
      <c r="AC49" s="35">
        <v>0</v>
      </c>
      <c r="AD49" s="35"/>
      <c r="AE49" s="35">
        <v>0</v>
      </c>
      <c r="AF49" s="35"/>
      <c r="AG49" s="35">
        <v>0</v>
      </c>
      <c r="AH49" s="35"/>
      <c r="AI49" s="45">
        <f t="shared" si="10"/>
        <v>0</v>
      </c>
      <c r="AJ49" s="45"/>
      <c r="AK49" s="35"/>
      <c r="AL49" s="35"/>
      <c r="AM49" s="35">
        <v>0</v>
      </c>
      <c r="AN49" s="35"/>
      <c r="AO49" s="35">
        <v>0</v>
      </c>
      <c r="AP49" s="35"/>
      <c r="AQ49" s="35">
        <v>0</v>
      </c>
      <c r="AR49" s="35"/>
      <c r="AS49" s="45">
        <f t="shared" si="13"/>
        <v>0</v>
      </c>
      <c r="AT49" s="45"/>
      <c r="AU49" s="35">
        <v>0</v>
      </c>
      <c r="AV49" s="35"/>
      <c r="AW49" s="35">
        <v>0</v>
      </c>
      <c r="AX49" s="35"/>
      <c r="AY49" s="35">
        <f t="shared" si="4"/>
        <v>0</v>
      </c>
      <c r="AZ49" s="35"/>
      <c r="BA49" s="35" t="s">
        <v>68</v>
      </c>
      <c r="BB49" s="55"/>
      <c r="BC49" s="35" t="s">
        <v>45</v>
      </c>
      <c r="BD49" s="35"/>
      <c r="BE49" s="35"/>
      <c r="BF49" s="35"/>
      <c r="BG49" s="35"/>
      <c r="BH49" s="35"/>
      <c r="BI49" s="35"/>
      <c r="BJ49" s="35"/>
      <c r="BK49" s="35"/>
      <c r="BL49" s="35"/>
      <c r="BM49" s="35">
        <f t="shared" si="11"/>
        <v>0</v>
      </c>
      <c r="BN49" s="54" t="s">
        <v>347</v>
      </c>
    </row>
    <row r="50" spans="1:67" ht="13.2" hidden="1">
      <c r="A50" s="35" t="s">
        <v>69</v>
      </c>
      <c r="C50" s="35" t="s">
        <v>70</v>
      </c>
      <c r="D50" s="35"/>
      <c r="E50" s="35">
        <f t="shared" si="0"/>
        <v>0</v>
      </c>
      <c r="F50" s="35"/>
      <c r="G50" s="35"/>
      <c r="H50" s="35"/>
      <c r="I50" s="35"/>
      <c r="J50" s="35"/>
      <c r="K50" s="35">
        <f t="shared" si="1"/>
        <v>0</v>
      </c>
      <c r="L50" s="35"/>
      <c r="M50" s="35">
        <v>0</v>
      </c>
      <c r="N50" s="35"/>
      <c r="O50" s="35"/>
      <c r="P50" s="35"/>
      <c r="Q50" s="35"/>
      <c r="R50" s="35"/>
      <c r="S50" s="35">
        <v>0</v>
      </c>
      <c r="T50" s="35"/>
      <c r="U50" s="35"/>
      <c r="V50" s="35"/>
      <c r="W50" s="35">
        <f t="shared" si="12"/>
        <v>0</v>
      </c>
      <c r="X50" s="35"/>
      <c r="Y50" s="35" t="s">
        <v>69</v>
      </c>
      <c r="Z50" s="55"/>
      <c r="AA50" s="35" t="s">
        <v>70</v>
      </c>
      <c r="AB50" s="35"/>
      <c r="AC50" s="35">
        <v>0</v>
      </c>
      <c r="AD50" s="35"/>
      <c r="AE50" s="35">
        <v>0</v>
      </c>
      <c r="AF50" s="35"/>
      <c r="AG50" s="35">
        <v>0</v>
      </c>
      <c r="AH50" s="35"/>
      <c r="AI50" s="45">
        <f t="shared" si="10"/>
        <v>0</v>
      </c>
      <c r="AJ50" s="45"/>
      <c r="AK50" s="35"/>
      <c r="AL50" s="35"/>
      <c r="AM50" s="35">
        <v>0</v>
      </c>
      <c r="AN50" s="35"/>
      <c r="AO50" s="35">
        <v>0</v>
      </c>
      <c r="AP50" s="35"/>
      <c r="AQ50" s="35">
        <v>0</v>
      </c>
      <c r="AR50" s="35"/>
      <c r="AS50" s="45">
        <f t="shared" si="13"/>
        <v>0</v>
      </c>
      <c r="AT50" s="45"/>
      <c r="AU50" s="35">
        <v>0</v>
      </c>
      <c r="AV50" s="35"/>
      <c r="AW50" s="35">
        <v>0</v>
      </c>
      <c r="AX50" s="35"/>
      <c r="AY50" s="35">
        <f t="shared" si="4"/>
        <v>0</v>
      </c>
      <c r="AZ50" s="35"/>
      <c r="BA50" s="35" t="s">
        <v>69</v>
      </c>
      <c r="BB50" s="55"/>
      <c r="BC50" s="35" t="s">
        <v>70</v>
      </c>
      <c r="BD50" s="35"/>
      <c r="BE50" s="35"/>
      <c r="BF50" s="35"/>
      <c r="BG50" s="35"/>
      <c r="BH50" s="35"/>
      <c r="BI50" s="35"/>
      <c r="BJ50" s="35"/>
      <c r="BK50" s="35"/>
      <c r="BL50" s="35"/>
      <c r="BM50" s="35">
        <f t="shared" si="11"/>
        <v>0</v>
      </c>
      <c r="BN50" s="54" t="s">
        <v>347</v>
      </c>
    </row>
    <row r="51" spans="1:67" ht="13.2" hidden="1">
      <c r="A51" s="35" t="s">
        <v>71</v>
      </c>
      <c r="C51" s="35" t="s">
        <v>45</v>
      </c>
      <c r="D51" s="35"/>
      <c r="E51" s="35">
        <f t="shared" si="0"/>
        <v>0</v>
      </c>
      <c r="F51" s="35"/>
      <c r="G51" s="35"/>
      <c r="H51" s="35"/>
      <c r="I51" s="35"/>
      <c r="J51" s="35"/>
      <c r="K51" s="35">
        <f t="shared" si="1"/>
        <v>0</v>
      </c>
      <c r="L51" s="35"/>
      <c r="M51" s="35">
        <v>0</v>
      </c>
      <c r="N51" s="35"/>
      <c r="O51" s="35"/>
      <c r="P51" s="35"/>
      <c r="Q51" s="35"/>
      <c r="R51" s="35"/>
      <c r="S51" s="35">
        <v>0</v>
      </c>
      <c r="T51" s="35"/>
      <c r="U51" s="35"/>
      <c r="V51" s="35"/>
      <c r="W51" s="35">
        <f t="shared" si="12"/>
        <v>0</v>
      </c>
      <c r="X51" s="35"/>
      <c r="Y51" s="35" t="s">
        <v>71</v>
      </c>
      <c r="Z51" s="55"/>
      <c r="AA51" s="35" t="s">
        <v>45</v>
      </c>
      <c r="AB51" s="35"/>
      <c r="AC51" s="35">
        <v>0</v>
      </c>
      <c r="AD51" s="35"/>
      <c r="AE51" s="35">
        <v>0</v>
      </c>
      <c r="AF51" s="35"/>
      <c r="AG51" s="35">
        <v>0</v>
      </c>
      <c r="AH51" s="35"/>
      <c r="AI51" s="45">
        <f t="shared" si="10"/>
        <v>0</v>
      </c>
      <c r="AJ51" s="45"/>
      <c r="AK51" s="35"/>
      <c r="AL51" s="35"/>
      <c r="AM51" s="35">
        <v>0</v>
      </c>
      <c r="AN51" s="35"/>
      <c r="AO51" s="35">
        <v>0</v>
      </c>
      <c r="AP51" s="35"/>
      <c r="AQ51" s="35">
        <v>0</v>
      </c>
      <c r="AR51" s="35"/>
      <c r="AS51" s="45">
        <f t="shared" si="13"/>
        <v>0</v>
      </c>
      <c r="AT51" s="45"/>
      <c r="AU51" s="35">
        <v>0</v>
      </c>
      <c r="AV51" s="35"/>
      <c r="AW51" s="35">
        <v>0</v>
      </c>
      <c r="AX51" s="35"/>
      <c r="AY51" s="35">
        <f t="shared" si="4"/>
        <v>0</v>
      </c>
      <c r="AZ51" s="35"/>
      <c r="BA51" s="35" t="s">
        <v>71</v>
      </c>
      <c r="BB51" s="55"/>
      <c r="BC51" s="35" t="s">
        <v>45</v>
      </c>
      <c r="BD51" s="35"/>
      <c r="BE51" s="35"/>
      <c r="BF51" s="35"/>
      <c r="BG51" s="35"/>
      <c r="BH51" s="35"/>
      <c r="BI51" s="35"/>
      <c r="BJ51" s="35"/>
      <c r="BK51" s="35"/>
      <c r="BL51" s="35"/>
      <c r="BM51" s="35">
        <f t="shared" si="11"/>
        <v>0</v>
      </c>
      <c r="BN51" s="54" t="s">
        <v>347</v>
      </c>
    </row>
    <row r="52" spans="1:67" ht="13.2" hidden="1">
      <c r="A52" s="35" t="s">
        <v>72</v>
      </c>
      <c r="C52" s="35" t="s">
        <v>66</v>
      </c>
      <c r="D52" s="35"/>
      <c r="E52" s="35">
        <f t="shared" si="0"/>
        <v>0</v>
      </c>
      <c r="F52" s="35"/>
      <c r="G52" s="35"/>
      <c r="H52" s="35"/>
      <c r="I52" s="35"/>
      <c r="J52" s="35"/>
      <c r="K52" s="35">
        <f t="shared" si="1"/>
        <v>0</v>
      </c>
      <c r="L52" s="35"/>
      <c r="M52" s="35">
        <v>0</v>
      </c>
      <c r="N52" s="35"/>
      <c r="O52" s="35"/>
      <c r="P52" s="35"/>
      <c r="Q52" s="35"/>
      <c r="R52" s="35"/>
      <c r="S52" s="35">
        <v>0</v>
      </c>
      <c r="T52" s="35"/>
      <c r="U52" s="35"/>
      <c r="V52" s="35"/>
      <c r="W52" s="35">
        <f t="shared" si="12"/>
        <v>0</v>
      </c>
      <c r="X52" s="35"/>
      <c r="Y52" s="35" t="s">
        <v>72</v>
      </c>
      <c r="Z52" s="55"/>
      <c r="AA52" s="35" t="s">
        <v>66</v>
      </c>
      <c r="AB52" s="35"/>
      <c r="AC52" s="35">
        <v>0</v>
      </c>
      <c r="AD52" s="35"/>
      <c r="AE52" s="35">
        <v>0</v>
      </c>
      <c r="AF52" s="35"/>
      <c r="AG52" s="35">
        <v>0</v>
      </c>
      <c r="AH52" s="35"/>
      <c r="AI52" s="45">
        <v>0</v>
      </c>
      <c r="AJ52" s="45"/>
      <c r="AK52" s="35"/>
      <c r="AL52" s="35"/>
      <c r="AM52" s="35">
        <v>0</v>
      </c>
      <c r="AN52" s="35"/>
      <c r="AO52" s="35">
        <v>0</v>
      </c>
      <c r="AP52" s="35"/>
      <c r="AQ52" s="35">
        <v>0</v>
      </c>
      <c r="AR52" s="35"/>
      <c r="AS52" s="45">
        <f t="shared" si="13"/>
        <v>0</v>
      </c>
      <c r="AT52" s="45"/>
      <c r="AU52" s="35">
        <v>0</v>
      </c>
      <c r="AV52" s="35"/>
      <c r="AW52" s="35">
        <v>0</v>
      </c>
      <c r="AX52" s="35"/>
      <c r="AY52" s="35">
        <f t="shared" si="4"/>
        <v>0</v>
      </c>
      <c r="AZ52" s="35"/>
      <c r="BA52" s="35" t="s">
        <v>72</v>
      </c>
      <c r="BB52" s="55"/>
      <c r="BC52" s="35" t="s">
        <v>66</v>
      </c>
      <c r="BD52" s="35"/>
      <c r="BE52" s="35"/>
      <c r="BF52" s="35"/>
      <c r="BG52" s="35"/>
      <c r="BH52" s="35"/>
      <c r="BI52" s="35"/>
      <c r="BJ52" s="35"/>
      <c r="BK52" s="35"/>
      <c r="BL52" s="35"/>
      <c r="BM52" s="35">
        <f t="shared" si="11"/>
        <v>0</v>
      </c>
      <c r="BN52" s="54" t="s">
        <v>347</v>
      </c>
    </row>
    <row r="53" spans="1:67" ht="12" hidden="1">
      <c r="A53" s="35" t="s">
        <v>73</v>
      </c>
      <c r="B53" s="55"/>
      <c r="C53" s="35" t="s">
        <v>27</v>
      </c>
      <c r="D53" s="35"/>
      <c r="E53" s="35">
        <f t="shared" si="0"/>
        <v>0</v>
      </c>
      <c r="F53" s="35"/>
      <c r="G53" s="35"/>
      <c r="H53" s="35"/>
      <c r="I53" s="35"/>
      <c r="J53" s="35"/>
      <c r="K53" s="35">
        <f t="shared" si="1"/>
        <v>0</v>
      </c>
      <c r="L53" s="35"/>
      <c r="M53" s="35">
        <v>0</v>
      </c>
      <c r="N53" s="35"/>
      <c r="O53" s="35"/>
      <c r="P53" s="35"/>
      <c r="Q53" s="35"/>
      <c r="R53" s="35"/>
      <c r="S53" s="35">
        <v>0</v>
      </c>
      <c r="T53" s="35"/>
      <c r="U53" s="35"/>
      <c r="V53" s="35"/>
      <c r="W53" s="35">
        <f t="shared" si="12"/>
        <v>0</v>
      </c>
      <c r="X53" s="35"/>
      <c r="Y53" s="35" t="s">
        <v>73</v>
      </c>
      <c r="Z53" s="55"/>
      <c r="AA53" s="35" t="s">
        <v>27</v>
      </c>
      <c r="AB53" s="35"/>
      <c r="AC53" s="35">
        <v>0</v>
      </c>
      <c r="AD53" s="35"/>
      <c r="AE53" s="35">
        <v>0</v>
      </c>
      <c r="AF53" s="35"/>
      <c r="AG53" s="35">
        <v>0</v>
      </c>
      <c r="AH53" s="35"/>
      <c r="AI53" s="45">
        <f t="shared" ref="AI53:AI65" si="14">+AC53-AE53-AG53</f>
        <v>0</v>
      </c>
      <c r="AJ53" s="45"/>
      <c r="AK53" s="35"/>
      <c r="AL53" s="35"/>
      <c r="AM53" s="35">
        <v>0</v>
      </c>
      <c r="AN53" s="35"/>
      <c r="AO53" s="35">
        <v>0</v>
      </c>
      <c r="AP53" s="35"/>
      <c r="AQ53" s="35">
        <v>0</v>
      </c>
      <c r="AR53" s="35"/>
      <c r="AS53" s="45">
        <f t="shared" si="13"/>
        <v>0</v>
      </c>
      <c r="AT53" s="45"/>
      <c r="AU53" s="35">
        <v>0</v>
      </c>
      <c r="AV53" s="35"/>
      <c r="AW53" s="35">
        <v>0</v>
      </c>
      <c r="AX53" s="35"/>
      <c r="AY53" s="35">
        <f t="shared" si="4"/>
        <v>0</v>
      </c>
      <c r="AZ53" s="35"/>
      <c r="BA53" s="35" t="s">
        <v>73</v>
      </c>
      <c r="BB53" s="55"/>
      <c r="BC53" s="35" t="s">
        <v>27</v>
      </c>
      <c r="BD53" s="35"/>
      <c r="BE53" s="35"/>
      <c r="BF53" s="35"/>
      <c r="BG53" s="35"/>
      <c r="BH53" s="35"/>
      <c r="BI53" s="35"/>
      <c r="BJ53" s="35"/>
      <c r="BK53" s="35"/>
      <c r="BL53" s="35"/>
      <c r="BM53" s="35">
        <f t="shared" si="11"/>
        <v>0</v>
      </c>
      <c r="BN53" s="54" t="s">
        <v>347</v>
      </c>
    </row>
    <row r="54" spans="1:67" ht="13.2" hidden="1">
      <c r="A54" s="35" t="s">
        <v>74</v>
      </c>
      <c r="C54" s="35" t="s">
        <v>27</v>
      </c>
      <c r="D54" s="35"/>
      <c r="E54" s="35">
        <f t="shared" si="0"/>
        <v>0</v>
      </c>
      <c r="F54" s="35"/>
      <c r="G54" s="35"/>
      <c r="H54" s="35"/>
      <c r="I54" s="35"/>
      <c r="J54" s="35"/>
      <c r="K54" s="35">
        <f t="shared" si="1"/>
        <v>0</v>
      </c>
      <c r="L54" s="35"/>
      <c r="M54" s="35">
        <v>0</v>
      </c>
      <c r="N54" s="35"/>
      <c r="O54" s="35"/>
      <c r="P54" s="35"/>
      <c r="Q54" s="35"/>
      <c r="R54" s="35"/>
      <c r="S54" s="35">
        <v>0</v>
      </c>
      <c r="T54" s="35"/>
      <c r="U54" s="35"/>
      <c r="V54" s="35"/>
      <c r="W54" s="35">
        <f t="shared" si="12"/>
        <v>0</v>
      </c>
      <c r="X54" s="35"/>
      <c r="Y54" s="35" t="s">
        <v>74</v>
      </c>
      <c r="Z54" s="55"/>
      <c r="AA54" s="35" t="s">
        <v>27</v>
      </c>
      <c r="AB54" s="35"/>
      <c r="AC54" s="35">
        <v>0</v>
      </c>
      <c r="AD54" s="35"/>
      <c r="AE54" s="35">
        <v>0</v>
      </c>
      <c r="AF54" s="35"/>
      <c r="AG54" s="35">
        <v>0</v>
      </c>
      <c r="AH54" s="35"/>
      <c r="AI54" s="45">
        <f t="shared" si="14"/>
        <v>0</v>
      </c>
      <c r="AJ54" s="45"/>
      <c r="AK54" s="35"/>
      <c r="AL54" s="35"/>
      <c r="AM54" s="35">
        <v>0</v>
      </c>
      <c r="AN54" s="35"/>
      <c r="AO54" s="35">
        <v>0</v>
      </c>
      <c r="AP54" s="35"/>
      <c r="AQ54" s="35">
        <v>0</v>
      </c>
      <c r="AR54" s="35"/>
      <c r="AS54" s="45">
        <f t="shared" si="13"/>
        <v>0</v>
      </c>
      <c r="AT54" s="45"/>
      <c r="AU54" s="35">
        <v>0</v>
      </c>
      <c r="AV54" s="35"/>
      <c r="AW54" s="35">
        <v>0</v>
      </c>
      <c r="AX54" s="35"/>
      <c r="AY54" s="35">
        <f t="shared" si="4"/>
        <v>0</v>
      </c>
      <c r="AZ54" s="35"/>
      <c r="BA54" s="35" t="s">
        <v>74</v>
      </c>
      <c r="BB54" s="55"/>
      <c r="BC54" s="35" t="s">
        <v>27</v>
      </c>
      <c r="BD54" s="35"/>
      <c r="BE54" s="35"/>
      <c r="BF54" s="35"/>
      <c r="BG54" s="35"/>
      <c r="BH54" s="35"/>
      <c r="BI54" s="35"/>
      <c r="BJ54" s="35"/>
      <c r="BK54" s="35"/>
      <c r="BL54" s="35"/>
      <c r="BM54" s="35">
        <f t="shared" si="11"/>
        <v>0</v>
      </c>
      <c r="BN54" s="54" t="s">
        <v>347</v>
      </c>
    </row>
    <row r="55" spans="1:67" ht="13.2" hidden="1">
      <c r="A55" s="35" t="s">
        <v>75</v>
      </c>
      <c r="C55" s="35" t="s">
        <v>76</v>
      </c>
      <c r="D55" s="35"/>
      <c r="E55" s="35">
        <f t="shared" si="0"/>
        <v>0</v>
      </c>
      <c r="F55" s="35"/>
      <c r="G55" s="35"/>
      <c r="H55" s="35"/>
      <c r="I55" s="35"/>
      <c r="J55" s="35"/>
      <c r="K55" s="35">
        <f t="shared" si="1"/>
        <v>0</v>
      </c>
      <c r="L55" s="35"/>
      <c r="M55" s="35">
        <v>0</v>
      </c>
      <c r="N55" s="35"/>
      <c r="O55" s="35"/>
      <c r="P55" s="35"/>
      <c r="Q55" s="35"/>
      <c r="R55" s="35"/>
      <c r="S55" s="35">
        <v>0</v>
      </c>
      <c r="T55" s="35"/>
      <c r="U55" s="35"/>
      <c r="V55" s="35"/>
      <c r="W55" s="35">
        <f t="shared" si="12"/>
        <v>0</v>
      </c>
      <c r="X55" s="35"/>
      <c r="Y55" s="35" t="s">
        <v>75</v>
      </c>
      <c r="Z55" s="55"/>
      <c r="AA55" s="35" t="s">
        <v>76</v>
      </c>
      <c r="AB55" s="35"/>
      <c r="AC55" s="35">
        <v>0</v>
      </c>
      <c r="AD55" s="35"/>
      <c r="AE55" s="35">
        <v>0</v>
      </c>
      <c r="AF55" s="35"/>
      <c r="AG55" s="35">
        <v>0</v>
      </c>
      <c r="AH55" s="35"/>
      <c r="AI55" s="45">
        <f t="shared" si="14"/>
        <v>0</v>
      </c>
      <c r="AJ55" s="45"/>
      <c r="AK55" s="35"/>
      <c r="AL55" s="35"/>
      <c r="AM55" s="35">
        <v>0</v>
      </c>
      <c r="AN55" s="35"/>
      <c r="AO55" s="35">
        <v>0</v>
      </c>
      <c r="AP55" s="35"/>
      <c r="AQ55" s="35">
        <v>0</v>
      </c>
      <c r="AR55" s="35"/>
      <c r="AS55" s="45">
        <f t="shared" si="13"/>
        <v>0</v>
      </c>
      <c r="AT55" s="45"/>
      <c r="AU55" s="35">
        <v>0</v>
      </c>
      <c r="AV55" s="35"/>
      <c r="AW55" s="35">
        <v>0</v>
      </c>
      <c r="AX55" s="35"/>
      <c r="AY55" s="35">
        <f t="shared" si="4"/>
        <v>0</v>
      </c>
      <c r="AZ55" s="35"/>
      <c r="BA55" s="35" t="s">
        <v>75</v>
      </c>
      <c r="BB55" s="55"/>
      <c r="BC55" s="35" t="s">
        <v>76</v>
      </c>
      <c r="BD55" s="35"/>
      <c r="BE55" s="35"/>
      <c r="BF55" s="35"/>
      <c r="BG55" s="35"/>
      <c r="BH55" s="35"/>
      <c r="BI55" s="35"/>
      <c r="BJ55" s="35"/>
      <c r="BK55" s="35"/>
      <c r="BL55" s="35"/>
      <c r="BM55" s="35">
        <f t="shared" si="11"/>
        <v>0</v>
      </c>
      <c r="BN55" s="54" t="s">
        <v>347</v>
      </c>
    </row>
    <row r="56" spans="1:67" ht="13.2" hidden="1">
      <c r="A56" s="35" t="s">
        <v>94</v>
      </c>
      <c r="C56" s="35" t="s">
        <v>94</v>
      </c>
      <c r="D56" s="35"/>
      <c r="E56" s="35">
        <f t="shared" si="0"/>
        <v>0</v>
      </c>
      <c r="F56" s="35"/>
      <c r="G56" s="35"/>
      <c r="H56" s="35"/>
      <c r="I56" s="35"/>
      <c r="J56" s="35"/>
      <c r="K56" s="35">
        <f t="shared" si="1"/>
        <v>0</v>
      </c>
      <c r="L56" s="35"/>
      <c r="M56" s="35">
        <v>0</v>
      </c>
      <c r="N56" s="35"/>
      <c r="O56" s="35"/>
      <c r="P56" s="35"/>
      <c r="Q56" s="35"/>
      <c r="R56" s="35"/>
      <c r="S56" s="35">
        <v>0</v>
      </c>
      <c r="T56" s="35"/>
      <c r="U56" s="35"/>
      <c r="V56" s="35"/>
      <c r="W56" s="35">
        <f t="shared" si="12"/>
        <v>0</v>
      </c>
      <c r="X56" s="35"/>
      <c r="Y56" s="35" t="str">
        <f>+A56</f>
        <v>Columbiana</v>
      </c>
      <c r="Z56" s="55"/>
      <c r="AA56" s="35" t="s">
        <v>94</v>
      </c>
      <c r="AB56" s="35"/>
      <c r="AC56" s="35">
        <v>0</v>
      </c>
      <c r="AD56" s="35"/>
      <c r="AE56" s="35">
        <v>0</v>
      </c>
      <c r="AF56" s="35"/>
      <c r="AG56" s="35">
        <v>0</v>
      </c>
      <c r="AH56" s="35"/>
      <c r="AI56" s="45">
        <f t="shared" si="14"/>
        <v>0</v>
      </c>
      <c r="AJ56" s="45"/>
      <c r="AK56" s="35"/>
      <c r="AL56" s="35"/>
      <c r="AM56" s="35">
        <v>0</v>
      </c>
      <c r="AN56" s="35"/>
      <c r="AO56" s="35">
        <v>0</v>
      </c>
      <c r="AP56" s="35"/>
      <c r="AQ56" s="35">
        <v>0</v>
      </c>
      <c r="AR56" s="35"/>
      <c r="AS56" s="45">
        <f t="shared" si="13"/>
        <v>0</v>
      </c>
      <c r="AT56" s="45"/>
      <c r="AU56" s="35">
        <v>0</v>
      </c>
      <c r="AV56" s="35"/>
      <c r="AW56" s="35">
        <v>0</v>
      </c>
      <c r="AX56" s="35"/>
      <c r="AY56" s="35">
        <f t="shared" si="4"/>
        <v>0</v>
      </c>
      <c r="AZ56" s="35"/>
      <c r="BA56" s="35" t="str">
        <f>+Y56</f>
        <v>Columbiana</v>
      </c>
      <c r="BB56" s="55"/>
      <c r="BC56" s="35" t="s">
        <v>94</v>
      </c>
      <c r="BD56" s="35"/>
      <c r="BE56" s="35"/>
      <c r="BF56" s="35"/>
      <c r="BG56" s="35"/>
      <c r="BH56" s="35"/>
      <c r="BI56" s="35"/>
      <c r="BJ56" s="35"/>
      <c r="BK56" s="35"/>
      <c r="BL56" s="35"/>
      <c r="BM56" s="35">
        <f t="shared" si="11"/>
        <v>0</v>
      </c>
      <c r="BN56" s="54" t="s">
        <v>347</v>
      </c>
    </row>
    <row r="57" spans="1:67" ht="13.2" hidden="1">
      <c r="A57" s="35" t="s">
        <v>77</v>
      </c>
      <c r="C57" s="35" t="s">
        <v>43</v>
      </c>
      <c r="D57" s="35"/>
      <c r="E57" s="35">
        <f t="shared" si="0"/>
        <v>0</v>
      </c>
      <c r="F57" s="35"/>
      <c r="G57" s="35"/>
      <c r="H57" s="35"/>
      <c r="I57" s="35"/>
      <c r="J57" s="35"/>
      <c r="K57" s="35">
        <f t="shared" si="1"/>
        <v>0</v>
      </c>
      <c r="L57" s="35"/>
      <c r="M57" s="35">
        <v>0</v>
      </c>
      <c r="N57" s="35"/>
      <c r="O57" s="35"/>
      <c r="P57" s="35"/>
      <c r="Q57" s="35"/>
      <c r="R57" s="35"/>
      <c r="S57" s="35">
        <v>0</v>
      </c>
      <c r="T57" s="35"/>
      <c r="U57" s="35"/>
      <c r="V57" s="35"/>
      <c r="W57" s="35">
        <f t="shared" si="12"/>
        <v>0</v>
      </c>
      <c r="X57" s="35"/>
      <c r="Y57" s="35" t="s">
        <v>77</v>
      </c>
      <c r="Z57" s="55"/>
      <c r="AA57" s="35" t="s">
        <v>43</v>
      </c>
      <c r="AB57" s="35"/>
      <c r="AC57" s="35">
        <v>0</v>
      </c>
      <c r="AD57" s="35"/>
      <c r="AE57" s="35">
        <v>0</v>
      </c>
      <c r="AF57" s="35"/>
      <c r="AG57" s="35">
        <v>0</v>
      </c>
      <c r="AH57" s="35"/>
      <c r="AI57" s="45">
        <f t="shared" si="14"/>
        <v>0</v>
      </c>
      <c r="AJ57" s="45"/>
      <c r="AK57" s="35"/>
      <c r="AL57" s="35"/>
      <c r="AM57" s="35">
        <v>0</v>
      </c>
      <c r="AN57" s="35"/>
      <c r="AO57" s="35">
        <v>0</v>
      </c>
      <c r="AP57" s="35"/>
      <c r="AQ57" s="35">
        <v>0</v>
      </c>
      <c r="AR57" s="35"/>
      <c r="AS57" s="45">
        <f t="shared" si="13"/>
        <v>0</v>
      </c>
      <c r="AT57" s="45"/>
      <c r="AU57" s="35">
        <v>0</v>
      </c>
      <c r="AV57" s="35"/>
      <c r="AW57" s="35">
        <v>0</v>
      </c>
      <c r="AX57" s="35"/>
      <c r="AY57" s="35">
        <f t="shared" si="4"/>
        <v>0</v>
      </c>
      <c r="AZ57" s="35"/>
      <c r="BA57" s="35" t="s">
        <v>77</v>
      </c>
      <c r="BB57" s="55"/>
      <c r="BC57" s="35" t="s">
        <v>43</v>
      </c>
      <c r="BD57" s="35"/>
      <c r="BE57" s="35"/>
      <c r="BF57" s="35"/>
      <c r="BG57" s="35"/>
      <c r="BH57" s="35"/>
      <c r="BI57" s="35"/>
      <c r="BJ57" s="35"/>
      <c r="BK57" s="35"/>
      <c r="BL57" s="35"/>
      <c r="BM57" s="35">
        <f t="shared" si="11"/>
        <v>0</v>
      </c>
      <c r="BN57" s="54" t="s">
        <v>347</v>
      </c>
    </row>
    <row r="58" spans="1:67" ht="13.2" hidden="1">
      <c r="A58" s="35" t="s">
        <v>78</v>
      </c>
      <c r="C58" s="35" t="s">
        <v>19</v>
      </c>
      <c r="D58" s="35"/>
      <c r="E58" s="35">
        <f t="shared" si="0"/>
        <v>0</v>
      </c>
      <c r="F58" s="35"/>
      <c r="G58" s="35"/>
      <c r="H58" s="35"/>
      <c r="I58" s="35"/>
      <c r="J58" s="35"/>
      <c r="K58" s="35">
        <f t="shared" si="1"/>
        <v>0</v>
      </c>
      <c r="L58" s="35"/>
      <c r="M58" s="35">
        <v>0</v>
      </c>
      <c r="N58" s="35"/>
      <c r="O58" s="35"/>
      <c r="P58" s="35"/>
      <c r="Q58" s="35"/>
      <c r="R58" s="35"/>
      <c r="S58" s="35">
        <v>0</v>
      </c>
      <c r="T58" s="35"/>
      <c r="U58" s="35"/>
      <c r="V58" s="35"/>
      <c r="W58" s="35">
        <f t="shared" si="12"/>
        <v>0</v>
      </c>
      <c r="X58" s="35"/>
      <c r="Y58" s="35" t="s">
        <v>78</v>
      </c>
      <c r="Z58" s="55"/>
      <c r="AA58" s="35" t="s">
        <v>19</v>
      </c>
      <c r="AB58" s="35"/>
      <c r="AC58" s="35">
        <v>0</v>
      </c>
      <c r="AD58" s="35"/>
      <c r="AE58" s="35">
        <v>0</v>
      </c>
      <c r="AF58" s="35"/>
      <c r="AG58" s="35">
        <v>0</v>
      </c>
      <c r="AH58" s="35"/>
      <c r="AI58" s="45">
        <f t="shared" si="14"/>
        <v>0</v>
      </c>
      <c r="AJ58" s="45"/>
      <c r="AK58" s="35"/>
      <c r="AL58" s="35"/>
      <c r="AM58" s="35">
        <v>0</v>
      </c>
      <c r="AN58" s="35"/>
      <c r="AO58" s="35">
        <v>0</v>
      </c>
      <c r="AP58" s="35"/>
      <c r="AQ58" s="35">
        <v>0</v>
      </c>
      <c r="AR58" s="35"/>
      <c r="AS58" s="45">
        <f t="shared" si="13"/>
        <v>0</v>
      </c>
      <c r="AT58" s="45"/>
      <c r="AU58" s="35">
        <v>0</v>
      </c>
      <c r="AV58" s="35"/>
      <c r="AW58" s="35">
        <v>0</v>
      </c>
      <c r="AX58" s="35"/>
      <c r="AY58" s="35">
        <f t="shared" si="4"/>
        <v>0</v>
      </c>
      <c r="AZ58" s="35"/>
      <c r="BA58" s="35" t="s">
        <v>78</v>
      </c>
      <c r="BB58" s="55"/>
      <c r="BC58" s="35" t="s">
        <v>19</v>
      </c>
      <c r="BD58" s="35"/>
      <c r="BE58" s="35"/>
      <c r="BF58" s="35"/>
      <c r="BG58" s="35"/>
      <c r="BH58" s="35"/>
      <c r="BI58" s="35"/>
      <c r="BJ58" s="35"/>
      <c r="BK58" s="35"/>
      <c r="BL58" s="35"/>
      <c r="BM58" s="35">
        <f t="shared" si="11"/>
        <v>0</v>
      </c>
      <c r="BN58" s="54" t="s">
        <v>347</v>
      </c>
    </row>
    <row r="59" spans="1:67" ht="13.2" hidden="1">
      <c r="A59" s="35" t="s">
        <v>79</v>
      </c>
      <c r="C59" s="35" t="s">
        <v>80</v>
      </c>
      <c r="D59" s="35"/>
      <c r="E59" s="35">
        <f t="shared" si="0"/>
        <v>0</v>
      </c>
      <c r="F59" s="35"/>
      <c r="G59" s="35"/>
      <c r="H59" s="35"/>
      <c r="I59" s="35"/>
      <c r="J59" s="35"/>
      <c r="K59" s="35">
        <f t="shared" si="1"/>
        <v>0</v>
      </c>
      <c r="L59" s="35"/>
      <c r="M59" s="35">
        <v>0</v>
      </c>
      <c r="N59" s="35"/>
      <c r="O59" s="35"/>
      <c r="P59" s="35"/>
      <c r="Q59" s="35"/>
      <c r="R59" s="35"/>
      <c r="S59" s="35">
        <v>0</v>
      </c>
      <c r="T59" s="35"/>
      <c r="U59" s="35"/>
      <c r="V59" s="35"/>
      <c r="W59" s="35">
        <f t="shared" si="12"/>
        <v>0</v>
      </c>
      <c r="X59" s="35"/>
      <c r="Y59" s="35" t="s">
        <v>79</v>
      </c>
      <c r="Z59" s="55"/>
      <c r="AA59" s="35" t="s">
        <v>80</v>
      </c>
      <c r="AB59" s="35"/>
      <c r="AC59" s="35">
        <v>0</v>
      </c>
      <c r="AD59" s="35"/>
      <c r="AE59" s="35">
        <v>0</v>
      </c>
      <c r="AF59" s="35"/>
      <c r="AG59" s="35">
        <v>0</v>
      </c>
      <c r="AH59" s="35"/>
      <c r="AI59" s="45">
        <f t="shared" si="14"/>
        <v>0</v>
      </c>
      <c r="AJ59" s="45"/>
      <c r="AK59" s="35"/>
      <c r="AL59" s="35"/>
      <c r="AM59" s="35">
        <v>0</v>
      </c>
      <c r="AN59" s="35"/>
      <c r="AO59" s="35">
        <v>0</v>
      </c>
      <c r="AP59" s="35"/>
      <c r="AQ59" s="35">
        <v>0</v>
      </c>
      <c r="AR59" s="35"/>
      <c r="AS59" s="45">
        <f t="shared" si="13"/>
        <v>0</v>
      </c>
      <c r="AT59" s="45"/>
      <c r="AU59" s="35">
        <v>0</v>
      </c>
      <c r="AV59" s="35"/>
      <c r="AW59" s="35">
        <v>0</v>
      </c>
      <c r="AX59" s="35"/>
      <c r="AY59" s="35">
        <f t="shared" si="4"/>
        <v>0</v>
      </c>
      <c r="AZ59" s="35"/>
      <c r="BA59" s="35" t="s">
        <v>79</v>
      </c>
      <c r="BB59" s="55"/>
      <c r="BC59" s="35" t="s">
        <v>80</v>
      </c>
      <c r="BD59" s="35"/>
      <c r="BE59" s="35"/>
      <c r="BF59" s="35"/>
      <c r="BG59" s="35"/>
      <c r="BH59" s="35"/>
      <c r="BI59" s="35"/>
      <c r="BJ59" s="35"/>
      <c r="BK59" s="35"/>
      <c r="BL59" s="35"/>
      <c r="BM59" s="35">
        <f t="shared" si="11"/>
        <v>0</v>
      </c>
      <c r="BN59" s="54" t="s">
        <v>347</v>
      </c>
    </row>
    <row r="60" spans="1:67" ht="13.2">
      <c r="A60" s="35" t="s">
        <v>81</v>
      </c>
      <c r="C60" s="35" t="s">
        <v>81</v>
      </c>
      <c r="D60" s="35"/>
      <c r="E60" s="35">
        <f t="shared" si="0"/>
        <v>333470</v>
      </c>
      <c r="F60" s="35"/>
      <c r="G60" s="35">
        <v>0</v>
      </c>
      <c r="H60" s="35"/>
      <c r="I60" s="35">
        <v>333470</v>
      </c>
      <c r="J60" s="35"/>
      <c r="K60" s="35">
        <f t="shared" si="1"/>
        <v>56677</v>
      </c>
      <c r="L60" s="35"/>
      <c r="M60" s="35">
        <v>0</v>
      </c>
      <c r="N60" s="35"/>
      <c r="O60" s="35">
        <v>56677</v>
      </c>
      <c r="P60" s="35"/>
      <c r="Q60" s="35">
        <v>0</v>
      </c>
      <c r="R60" s="35"/>
      <c r="S60" s="35">
        <v>0</v>
      </c>
      <c r="T60" s="35"/>
      <c r="U60" s="35">
        <v>276793</v>
      </c>
      <c r="V60" s="35"/>
      <c r="W60" s="35">
        <f t="shared" si="12"/>
        <v>276793</v>
      </c>
      <c r="X60" s="35"/>
      <c r="Y60" s="35" t="s">
        <v>81</v>
      </c>
      <c r="Z60" s="55"/>
      <c r="AA60" s="35" t="s">
        <v>81</v>
      </c>
      <c r="AB60" s="35"/>
      <c r="AC60" s="35">
        <v>865282</v>
      </c>
      <c r="AD60" s="35"/>
      <c r="AE60" s="35">
        <v>817962</v>
      </c>
      <c r="AF60" s="35"/>
      <c r="AG60" s="35">
        <v>0</v>
      </c>
      <c r="AH60" s="35"/>
      <c r="AI60" s="45">
        <f t="shared" si="14"/>
        <v>47320</v>
      </c>
      <c r="AJ60" s="45"/>
      <c r="AK60" s="35">
        <v>0</v>
      </c>
      <c r="AL60" s="35"/>
      <c r="AM60" s="35">
        <v>0</v>
      </c>
      <c r="AN60" s="35"/>
      <c r="AO60" s="35">
        <v>0</v>
      </c>
      <c r="AP60" s="35"/>
      <c r="AQ60" s="35">
        <v>0</v>
      </c>
      <c r="AR60" s="35"/>
      <c r="AS60" s="45">
        <f t="shared" si="13"/>
        <v>47320</v>
      </c>
      <c r="AT60" s="45"/>
      <c r="AU60" s="35">
        <v>0</v>
      </c>
      <c r="AV60" s="35"/>
      <c r="AW60" s="35">
        <v>0</v>
      </c>
      <c r="AX60" s="35"/>
      <c r="AY60" s="35">
        <f t="shared" si="4"/>
        <v>276793</v>
      </c>
      <c r="AZ60" s="35"/>
      <c r="BA60" s="35" t="s">
        <v>81</v>
      </c>
      <c r="BB60" s="55"/>
      <c r="BC60" s="35" t="s">
        <v>81</v>
      </c>
      <c r="BD60" s="35"/>
      <c r="BE60" s="35">
        <v>0</v>
      </c>
      <c r="BF60" s="35"/>
      <c r="BG60" s="35">
        <v>0</v>
      </c>
      <c r="BH60" s="35"/>
      <c r="BI60" s="35">
        <v>0</v>
      </c>
      <c r="BJ60" s="35"/>
      <c r="BK60" s="35">
        <v>0</v>
      </c>
      <c r="BL60" s="35"/>
      <c r="BM60" s="35">
        <f t="shared" si="11"/>
        <v>0</v>
      </c>
      <c r="BN60" s="54" t="s">
        <v>347</v>
      </c>
    </row>
    <row r="61" spans="1:67" ht="13.2">
      <c r="A61" s="35" t="s">
        <v>82</v>
      </c>
      <c r="C61" s="35" t="s">
        <v>13</v>
      </c>
      <c r="D61" s="35"/>
      <c r="E61" s="35">
        <f t="shared" si="0"/>
        <v>1176460</v>
      </c>
      <c r="F61" s="35"/>
      <c r="G61" s="35">
        <v>978079</v>
      </c>
      <c r="H61" s="35"/>
      <c r="I61" s="35">
        <v>2154539</v>
      </c>
      <c r="J61" s="35"/>
      <c r="K61" s="35">
        <f t="shared" si="1"/>
        <v>461230</v>
      </c>
      <c r="L61" s="35"/>
      <c r="M61" s="35">
        <v>530849</v>
      </c>
      <c r="N61" s="35"/>
      <c r="O61" s="35">
        <v>992079</v>
      </c>
      <c r="P61" s="35"/>
      <c r="Q61" s="35">
        <v>892988</v>
      </c>
      <c r="R61" s="35"/>
      <c r="S61" s="35">
        <v>0</v>
      </c>
      <c r="T61" s="35"/>
      <c r="U61" s="35">
        <v>269472</v>
      </c>
      <c r="V61" s="35"/>
      <c r="W61" s="35">
        <f t="shared" si="12"/>
        <v>1162460</v>
      </c>
      <c r="X61" s="35"/>
      <c r="Y61" s="35" t="s">
        <v>82</v>
      </c>
      <c r="Z61" s="55"/>
      <c r="AA61" s="35" t="s">
        <v>13</v>
      </c>
      <c r="AB61" s="35"/>
      <c r="AC61" s="35">
        <v>3815912</v>
      </c>
      <c r="AD61" s="35"/>
      <c r="AE61" s="35">
        <f>3529121-223060</f>
        <v>3306061</v>
      </c>
      <c r="AF61" s="35"/>
      <c r="AG61" s="35">
        <v>223060</v>
      </c>
      <c r="AH61" s="35"/>
      <c r="AI61" s="45">
        <f t="shared" si="14"/>
        <v>286791</v>
      </c>
      <c r="AJ61" s="45"/>
      <c r="AK61" s="35">
        <v>55688</v>
      </c>
      <c r="AL61" s="35"/>
      <c r="AM61" s="35">
        <v>0</v>
      </c>
      <c r="AN61" s="35"/>
      <c r="AO61" s="35">
        <v>0</v>
      </c>
      <c r="AP61" s="35"/>
      <c r="AQ61" s="35">
        <v>0</v>
      </c>
      <c r="AR61" s="35"/>
      <c r="AS61" s="45">
        <f t="shared" si="13"/>
        <v>342479</v>
      </c>
      <c r="AT61" s="45"/>
      <c r="AU61" s="35">
        <v>0</v>
      </c>
      <c r="AV61" s="35"/>
      <c r="AW61" s="35">
        <v>0</v>
      </c>
      <c r="AX61" s="35"/>
      <c r="AY61" s="35">
        <f t="shared" si="4"/>
        <v>715230</v>
      </c>
      <c r="AZ61" s="35"/>
      <c r="BA61" s="35" t="s">
        <v>82</v>
      </c>
      <c r="BB61" s="55"/>
      <c r="BC61" s="35" t="s">
        <v>13</v>
      </c>
      <c r="BD61" s="35"/>
      <c r="BE61" s="35">
        <v>0</v>
      </c>
      <c r="BF61" s="35"/>
      <c r="BG61" s="35">
        <v>0</v>
      </c>
      <c r="BH61" s="35"/>
      <c r="BI61" s="35">
        <v>0</v>
      </c>
      <c r="BJ61" s="35"/>
      <c r="BK61" s="35">
        <v>0</v>
      </c>
      <c r="BL61" s="35"/>
      <c r="BM61" s="35">
        <f t="shared" si="11"/>
        <v>0</v>
      </c>
      <c r="BN61" s="54" t="s">
        <v>347</v>
      </c>
    </row>
    <row r="62" spans="1:67" ht="13.2" hidden="1">
      <c r="A62" s="35" t="s">
        <v>83</v>
      </c>
      <c r="C62" s="35" t="s">
        <v>66</v>
      </c>
      <c r="D62" s="35"/>
      <c r="E62" s="35">
        <f t="shared" si="0"/>
        <v>0</v>
      </c>
      <c r="F62" s="35"/>
      <c r="G62" s="35"/>
      <c r="H62" s="35"/>
      <c r="I62" s="35"/>
      <c r="J62" s="35"/>
      <c r="K62" s="35">
        <f t="shared" si="1"/>
        <v>0</v>
      </c>
      <c r="L62" s="35"/>
      <c r="M62" s="35">
        <v>0</v>
      </c>
      <c r="N62" s="35"/>
      <c r="O62" s="35"/>
      <c r="P62" s="35"/>
      <c r="Q62" s="35"/>
      <c r="R62" s="35"/>
      <c r="S62" s="35">
        <v>0</v>
      </c>
      <c r="T62" s="35"/>
      <c r="U62" s="35"/>
      <c r="V62" s="35"/>
      <c r="W62" s="35">
        <f t="shared" si="12"/>
        <v>0</v>
      </c>
      <c r="X62" s="35"/>
      <c r="Y62" s="35" t="s">
        <v>83</v>
      </c>
      <c r="Z62" s="55"/>
      <c r="AA62" s="35" t="s">
        <v>66</v>
      </c>
      <c r="AB62" s="35"/>
      <c r="AC62" s="35">
        <v>0</v>
      </c>
      <c r="AD62" s="35"/>
      <c r="AE62" s="35">
        <v>0</v>
      </c>
      <c r="AF62" s="35"/>
      <c r="AG62" s="35">
        <v>0</v>
      </c>
      <c r="AH62" s="35"/>
      <c r="AI62" s="45">
        <f t="shared" si="14"/>
        <v>0</v>
      </c>
      <c r="AJ62" s="45"/>
      <c r="AK62" s="35"/>
      <c r="AL62" s="35"/>
      <c r="AM62" s="35">
        <v>0</v>
      </c>
      <c r="AN62" s="35"/>
      <c r="AO62" s="35">
        <v>0</v>
      </c>
      <c r="AP62" s="35"/>
      <c r="AQ62" s="35">
        <v>0</v>
      </c>
      <c r="AR62" s="35"/>
      <c r="AS62" s="45">
        <f t="shared" si="13"/>
        <v>0</v>
      </c>
      <c r="AT62" s="45"/>
      <c r="AU62" s="35">
        <v>0</v>
      </c>
      <c r="AV62" s="35"/>
      <c r="AW62" s="35">
        <v>0</v>
      </c>
      <c r="AX62" s="35"/>
      <c r="AY62" s="35">
        <f t="shared" si="4"/>
        <v>0</v>
      </c>
      <c r="AZ62" s="35"/>
      <c r="BA62" s="35" t="s">
        <v>83</v>
      </c>
      <c r="BB62" s="55"/>
      <c r="BC62" s="35" t="s">
        <v>66</v>
      </c>
      <c r="BD62" s="35"/>
      <c r="BE62" s="35"/>
      <c r="BF62" s="35"/>
      <c r="BG62" s="35"/>
      <c r="BH62" s="35"/>
      <c r="BI62" s="35"/>
      <c r="BJ62" s="35"/>
      <c r="BK62" s="35"/>
      <c r="BL62" s="35"/>
      <c r="BM62" s="35">
        <f t="shared" si="11"/>
        <v>0</v>
      </c>
      <c r="BN62" s="54" t="s">
        <v>347</v>
      </c>
    </row>
    <row r="63" spans="1:67" ht="13.2">
      <c r="A63" s="35" t="s">
        <v>84</v>
      </c>
      <c r="C63" s="35" t="s">
        <v>45</v>
      </c>
      <c r="D63" s="35"/>
      <c r="E63" s="35">
        <f t="shared" si="0"/>
        <v>72749</v>
      </c>
      <c r="F63" s="35"/>
      <c r="G63" s="35">
        <v>20489</v>
      </c>
      <c r="H63" s="35"/>
      <c r="I63" s="35">
        <v>93238</v>
      </c>
      <c r="J63" s="35"/>
      <c r="K63" s="35">
        <f t="shared" si="1"/>
        <v>153229</v>
      </c>
      <c r="L63" s="35"/>
      <c r="M63" s="35">
        <v>0</v>
      </c>
      <c r="N63" s="35"/>
      <c r="O63" s="35">
        <v>153229</v>
      </c>
      <c r="P63" s="35"/>
      <c r="Q63" s="35">
        <v>20489</v>
      </c>
      <c r="R63" s="35"/>
      <c r="S63" s="35">
        <v>0</v>
      </c>
      <c r="T63" s="35"/>
      <c r="U63" s="35">
        <v>-80480</v>
      </c>
      <c r="V63" s="35"/>
      <c r="W63" s="35">
        <f t="shared" si="12"/>
        <v>-59991</v>
      </c>
      <c r="X63" s="35"/>
      <c r="Y63" s="35" t="s">
        <v>84</v>
      </c>
      <c r="Z63" s="55"/>
      <c r="AA63" s="35" t="s">
        <v>45</v>
      </c>
      <c r="AB63" s="35"/>
      <c r="AC63" s="35">
        <v>300635</v>
      </c>
      <c r="AD63" s="35"/>
      <c r="AE63" s="35">
        <f>323367-5311</f>
        <v>318056</v>
      </c>
      <c r="AF63" s="35"/>
      <c r="AG63" s="35">
        <v>5311</v>
      </c>
      <c r="AH63" s="35"/>
      <c r="AI63" s="45">
        <f t="shared" si="14"/>
        <v>-22732</v>
      </c>
      <c r="AJ63" s="45"/>
      <c r="AK63" s="35">
        <v>0</v>
      </c>
      <c r="AL63" s="35"/>
      <c r="AM63" s="35">
        <v>0</v>
      </c>
      <c r="AN63" s="35"/>
      <c r="AO63" s="35">
        <v>0</v>
      </c>
      <c r="AP63" s="35"/>
      <c r="AQ63" s="35">
        <v>0</v>
      </c>
      <c r="AR63" s="35"/>
      <c r="AS63" s="45">
        <f t="shared" si="13"/>
        <v>-22732</v>
      </c>
      <c r="AT63" s="45"/>
      <c r="AU63" s="35">
        <v>0</v>
      </c>
      <c r="AV63" s="35"/>
      <c r="AW63" s="35">
        <v>0</v>
      </c>
      <c r="AX63" s="35"/>
      <c r="AY63" s="35">
        <f t="shared" si="4"/>
        <v>-80480</v>
      </c>
      <c r="AZ63" s="35"/>
      <c r="BA63" s="35" t="s">
        <v>84</v>
      </c>
      <c r="BB63" s="55"/>
      <c r="BC63" s="35" t="s">
        <v>45</v>
      </c>
      <c r="BD63" s="35"/>
      <c r="BE63" s="35">
        <v>0</v>
      </c>
      <c r="BF63" s="35"/>
      <c r="BG63" s="35">
        <v>0</v>
      </c>
      <c r="BH63" s="35"/>
      <c r="BI63" s="35">
        <v>0</v>
      </c>
      <c r="BJ63" s="35"/>
      <c r="BK63" s="35">
        <v>0</v>
      </c>
      <c r="BL63" s="35"/>
      <c r="BM63" s="35">
        <f t="shared" si="11"/>
        <v>0</v>
      </c>
      <c r="BN63" s="54" t="s">
        <v>347</v>
      </c>
      <c r="BO63" s="55" t="s">
        <v>371</v>
      </c>
    </row>
    <row r="64" spans="1:67" ht="13.2" hidden="1">
      <c r="A64" s="35" t="s">
        <v>85</v>
      </c>
      <c r="C64" s="35" t="s">
        <v>85</v>
      </c>
      <c r="D64" s="35"/>
      <c r="E64" s="35">
        <f t="shared" si="0"/>
        <v>0</v>
      </c>
      <c r="F64" s="35"/>
      <c r="G64" s="35"/>
      <c r="H64" s="35"/>
      <c r="I64" s="35"/>
      <c r="J64" s="35"/>
      <c r="K64" s="35">
        <f t="shared" si="1"/>
        <v>0</v>
      </c>
      <c r="L64" s="35"/>
      <c r="M64" s="35">
        <v>0</v>
      </c>
      <c r="N64" s="35"/>
      <c r="O64" s="35"/>
      <c r="P64" s="35"/>
      <c r="Q64" s="35"/>
      <c r="R64" s="35"/>
      <c r="S64" s="35">
        <v>0</v>
      </c>
      <c r="T64" s="35"/>
      <c r="U64" s="35"/>
      <c r="V64" s="35"/>
      <c r="W64" s="35">
        <f t="shared" si="12"/>
        <v>0</v>
      </c>
      <c r="X64" s="35"/>
      <c r="Y64" s="35" t="s">
        <v>85</v>
      </c>
      <c r="Z64" s="55"/>
      <c r="AA64" s="35" t="s">
        <v>85</v>
      </c>
      <c r="AB64" s="35"/>
      <c r="AC64" s="35">
        <v>0</v>
      </c>
      <c r="AD64" s="35"/>
      <c r="AE64" s="35">
        <v>0</v>
      </c>
      <c r="AF64" s="35"/>
      <c r="AG64" s="35">
        <v>0</v>
      </c>
      <c r="AH64" s="35"/>
      <c r="AI64" s="45">
        <f t="shared" si="14"/>
        <v>0</v>
      </c>
      <c r="AJ64" s="45"/>
      <c r="AK64" s="35"/>
      <c r="AL64" s="35"/>
      <c r="AM64" s="35">
        <v>0</v>
      </c>
      <c r="AN64" s="35"/>
      <c r="AO64" s="35">
        <v>0</v>
      </c>
      <c r="AP64" s="35"/>
      <c r="AQ64" s="35">
        <v>0</v>
      </c>
      <c r="AR64" s="35"/>
      <c r="AS64" s="45">
        <f t="shared" si="13"/>
        <v>0</v>
      </c>
      <c r="AT64" s="45"/>
      <c r="AU64" s="35">
        <v>0</v>
      </c>
      <c r="AV64" s="35"/>
      <c r="AW64" s="35">
        <v>0</v>
      </c>
      <c r="AX64" s="35"/>
      <c r="AY64" s="35">
        <f t="shared" si="4"/>
        <v>0</v>
      </c>
      <c r="AZ64" s="35"/>
      <c r="BA64" s="35" t="s">
        <v>85</v>
      </c>
      <c r="BB64" s="55"/>
      <c r="BC64" s="35" t="s">
        <v>85</v>
      </c>
      <c r="BD64" s="35"/>
      <c r="BE64" s="35"/>
      <c r="BF64" s="35"/>
      <c r="BG64" s="35"/>
      <c r="BH64" s="35"/>
      <c r="BI64" s="35"/>
      <c r="BJ64" s="35"/>
      <c r="BK64" s="35"/>
      <c r="BL64" s="35"/>
      <c r="BM64" s="35">
        <f t="shared" si="11"/>
        <v>0</v>
      </c>
      <c r="BN64" s="54" t="s">
        <v>347</v>
      </c>
    </row>
    <row r="65" spans="1:67" ht="13.2">
      <c r="A65" s="35" t="s">
        <v>86</v>
      </c>
      <c r="C65" s="35" t="s">
        <v>86</v>
      </c>
      <c r="D65" s="35"/>
      <c r="E65" s="35">
        <f t="shared" si="0"/>
        <v>859916</v>
      </c>
      <c r="F65" s="35"/>
      <c r="G65" s="35">
        <v>479700</v>
      </c>
      <c r="H65" s="35"/>
      <c r="I65" s="35">
        <v>1339616</v>
      </c>
      <c r="J65" s="35"/>
      <c r="K65" s="35">
        <f t="shared" si="1"/>
        <v>234324</v>
      </c>
      <c r="L65" s="35"/>
      <c r="M65" s="35">
        <v>656186</v>
      </c>
      <c r="N65" s="35"/>
      <c r="O65" s="35">
        <v>890510</v>
      </c>
      <c r="P65" s="35"/>
      <c r="Q65" s="35">
        <v>-249083</v>
      </c>
      <c r="R65" s="35"/>
      <c r="S65" s="35">
        <v>0</v>
      </c>
      <c r="T65" s="35"/>
      <c r="U65" s="35">
        <v>698189</v>
      </c>
      <c r="V65" s="35"/>
      <c r="W65" s="35">
        <f t="shared" si="12"/>
        <v>449106</v>
      </c>
      <c r="X65" s="35"/>
      <c r="Y65" s="35" t="s">
        <v>86</v>
      </c>
      <c r="Z65" s="55"/>
      <c r="AA65" s="35" t="s">
        <v>86</v>
      </c>
      <c r="AB65" s="35"/>
      <c r="AC65" s="35">
        <v>2567186</v>
      </c>
      <c r="AD65" s="35"/>
      <c r="AE65" s="35">
        <f>2604128-141521</f>
        <v>2462607</v>
      </c>
      <c r="AF65" s="35"/>
      <c r="AG65" s="35">
        <v>141521</v>
      </c>
      <c r="AH65" s="35"/>
      <c r="AI65" s="45">
        <f t="shared" si="14"/>
        <v>-36942</v>
      </c>
      <c r="AJ65" s="45"/>
      <c r="AK65" s="35">
        <v>-6407</v>
      </c>
      <c r="AL65" s="35"/>
      <c r="AM65" s="35">
        <v>0</v>
      </c>
      <c r="AN65" s="35"/>
      <c r="AO65" s="35">
        <v>0</v>
      </c>
      <c r="AP65" s="35"/>
      <c r="AQ65" s="35">
        <v>0</v>
      </c>
      <c r="AR65" s="35"/>
      <c r="AS65" s="45">
        <f t="shared" si="13"/>
        <v>-43349</v>
      </c>
      <c r="AT65" s="45"/>
      <c r="AU65" s="35">
        <v>0</v>
      </c>
      <c r="AV65" s="35"/>
      <c r="AW65" s="35">
        <v>0</v>
      </c>
      <c r="AX65" s="35"/>
      <c r="AY65" s="35">
        <f t="shared" si="4"/>
        <v>625592</v>
      </c>
      <c r="AZ65" s="35"/>
      <c r="BA65" s="35" t="s">
        <v>86</v>
      </c>
      <c r="BB65" s="55"/>
      <c r="BC65" s="35" t="s">
        <v>86</v>
      </c>
      <c r="BD65" s="35"/>
      <c r="BE65" s="35">
        <v>395000</v>
      </c>
      <c r="BF65" s="35"/>
      <c r="BG65" s="35">
        <v>0</v>
      </c>
      <c r="BH65" s="35"/>
      <c r="BI65" s="35">
        <v>0</v>
      </c>
      <c r="BJ65" s="35"/>
      <c r="BK65" s="35">
        <v>0</v>
      </c>
      <c r="BL65" s="35"/>
      <c r="BM65" s="35">
        <f t="shared" si="11"/>
        <v>395000</v>
      </c>
      <c r="BN65" s="54" t="s">
        <v>347</v>
      </c>
    </row>
    <row r="66" spans="1:67" s="90" customFormat="1" ht="12" hidden="1">
      <c r="A66" s="64" t="s">
        <v>87</v>
      </c>
      <c r="C66" s="64" t="s">
        <v>88</v>
      </c>
      <c r="D66" s="64"/>
      <c r="E66" s="64">
        <f t="shared" si="0"/>
        <v>0</v>
      </c>
      <c r="F66" s="64"/>
      <c r="G66" s="64"/>
      <c r="H66" s="64"/>
      <c r="I66" s="64"/>
      <c r="J66" s="64"/>
      <c r="K66" s="64">
        <f t="shared" si="1"/>
        <v>0</v>
      </c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>
        <f t="shared" si="12"/>
        <v>0</v>
      </c>
      <c r="X66" s="64"/>
      <c r="Y66" s="64" t="s">
        <v>87</v>
      </c>
      <c r="AA66" s="64" t="s">
        <v>88</v>
      </c>
      <c r="AB66" s="64"/>
      <c r="AC66" s="64"/>
      <c r="AD66" s="64"/>
      <c r="AE66" s="64"/>
      <c r="AF66" s="64"/>
      <c r="AG66" s="64"/>
      <c r="AH66" s="64"/>
      <c r="AI66" s="94">
        <f t="shared" ref="AI66:AI77" si="15">+AC66-AE66-AG66</f>
        <v>0</v>
      </c>
      <c r="AJ66" s="94"/>
      <c r="AK66" s="64"/>
      <c r="AL66" s="64"/>
      <c r="AM66" s="64"/>
      <c r="AN66" s="64"/>
      <c r="AO66" s="64"/>
      <c r="AP66" s="64"/>
      <c r="AQ66" s="64"/>
      <c r="AR66" s="64"/>
      <c r="AS66" s="94">
        <f t="shared" si="13"/>
        <v>0</v>
      </c>
      <c r="AT66" s="94"/>
      <c r="AU66" s="64">
        <v>0</v>
      </c>
      <c r="AV66" s="64"/>
      <c r="AW66" s="64">
        <v>0</v>
      </c>
      <c r="AX66" s="64"/>
      <c r="AY66" s="64">
        <f t="shared" si="4"/>
        <v>0</v>
      </c>
      <c r="AZ66" s="64"/>
      <c r="BA66" s="64" t="s">
        <v>87</v>
      </c>
      <c r="BC66" s="64" t="s">
        <v>88</v>
      </c>
      <c r="BD66" s="64"/>
      <c r="BE66" s="64"/>
      <c r="BF66" s="64"/>
      <c r="BG66" s="64"/>
      <c r="BH66" s="64"/>
      <c r="BI66" s="64"/>
      <c r="BJ66" s="64"/>
      <c r="BK66" s="64"/>
      <c r="BL66" s="64"/>
      <c r="BM66" s="64">
        <f t="shared" si="11"/>
        <v>0</v>
      </c>
      <c r="BN66" s="91" t="s">
        <v>347</v>
      </c>
    </row>
    <row r="67" spans="1:67" ht="13.2" hidden="1">
      <c r="A67" s="35" t="s">
        <v>394</v>
      </c>
      <c r="C67" s="35" t="s">
        <v>89</v>
      </c>
      <c r="D67" s="35"/>
      <c r="E67" s="35">
        <f t="shared" si="0"/>
        <v>0</v>
      </c>
      <c r="F67" s="35"/>
      <c r="G67" s="35"/>
      <c r="H67" s="35"/>
      <c r="I67" s="35"/>
      <c r="J67" s="35"/>
      <c r="K67" s="35">
        <f t="shared" si="1"/>
        <v>0</v>
      </c>
      <c r="L67" s="35"/>
      <c r="M67" s="35">
        <v>0</v>
      </c>
      <c r="N67" s="35"/>
      <c r="O67" s="35"/>
      <c r="P67" s="35"/>
      <c r="Q67" s="35"/>
      <c r="R67" s="35"/>
      <c r="S67" s="35">
        <v>0</v>
      </c>
      <c r="T67" s="35"/>
      <c r="U67" s="35"/>
      <c r="V67" s="35"/>
      <c r="W67" s="35">
        <f t="shared" si="12"/>
        <v>0</v>
      </c>
      <c r="X67" s="35"/>
      <c r="Y67" s="35" t="s">
        <v>394</v>
      </c>
      <c r="Z67" s="55"/>
      <c r="AA67" s="35" t="s">
        <v>89</v>
      </c>
      <c r="AB67" s="35"/>
      <c r="AC67" s="35">
        <v>0</v>
      </c>
      <c r="AD67" s="35"/>
      <c r="AE67" s="35">
        <v>0</v>
      </c>
      <c r="AF67" s="35"/>
      <c r="AG67" s="35">
        <v>0</v>
      </c>
      <c r="AH67" s="35"/>
      <c r="AI67" s="45">
        <f t="shared" si="15"/>
        <v>0</v>
      </c>
      <c r="AJ67" s="45"/>
      <c r="AK67" s="35"/>
      <c r="AL67" s="35"/>
      <c r="AM67" s="35">
        <v>0</v>
      </c>
      <c r="AN67" s="35"/>
      <c r="AO67" s="35">
        <v>0</v>
      </c>
      <c r="AP67" s="35"/>
      <c r="AQ67" s="35">
        <v>0</v>
      </c>
      <c r="AR67" s="35"/>
      <c r="AS67" s="45">
        <f t="shared" si="13"/>
        <v>0</v>
      </c>
      <c r="AT67" s="45"/>
      <c r="AU67" s="35">
        <v>0</v>
      </c>
      <c r="AV67" s="35"/>
      <c r="AW67" s="35">
        <v>0</v>
      </c>
      <c r="AX67" s="35"/>
      <c r="AY67" s="35">
        <f t="shared" si="4"/>
        <v>0</v>
      </c>
      <c r="AZ67" s="35"/>
      <c r="BA67" s="35" t="s">
        <v>394</v>
      </c>
      <c r="BB67" s="55"/>
      <c r="BC67" s="35" t="s">
        <v>89</v>
      </c>
      <c r="BD67" s="35"/>
      <c r="BE67" s="35"/>
      <c r="BF67" s="35"/>
      <c r="BG67" s="35"/>
      <c r="BH67" s="35"/>
      <c r="BI67" s="35"/>
      <c r="BJ67" s="35"/>
      <c r="BK67" s="35"/>
      <c r="BL67" s="35"/>
      <c r="BM67" s="35">
        <f t="shared" si="11"/>
        <v>0</v>
      </c>
      <c r="BN67" s="54" t="s">
        <v>347</v>
      </c>
      <c r="BO67" s="55" t="s">
        <v>315</v>
      </c>
    </row>
    <row r="68" spans="1:67" ht="13.2" hidden="1">
      <c r="A68" s="35" t="s">
        <v>90</v>
      </c>
      <c r="C68" s="35" t="s">
        <v>43</v>
      </c>
      <c r="D68" s="35"/>
      <c r="E68" s="35">
        <f t="shared" si="0"/>
        <v>0</v>
      </c>
      <c r="F68" s="35"/>
      <c r="G68" s="35"/>
      <c r="H68" s="35"/>
      <c r="I68" s="35"/>
      <c r="J68" s="35"/>
      <c r="K68" s="35">
        <f t="shared" si="1"/>
        <v>0</v>
      </c>
      <c r="L68" s="35"/>
      <c r="M68" s="35">
        <v>0</v>
      </c>
      <c r="N68" s="35"/>
      <c r="O68" s="35"/>
      <c r="P68" s="35"/>
      <c r="Q68" s="35"/>
      <c r="R68" s="35"/>
      <c r="S68" s="35">
        <v>0</v>
      </c>
      <c r="T68" s="35"/>
      <c r="U68" s="35"/>
      <c r="V68" s="35"/>
      <c r="W68" s="35">
        <f t="shared" si="12"/>
        <v>0</v>
      </c>
      <c r="X68" s="35"/>
      <c r="Y68" s="35" t="s">
        <v>90</v>
      </c>
      <c r="Z68" s="55"/>
      <c r="AA68" s="35" t="s">
        <v>43</v>
      </c>
      <c r="AB68" s="35"/>
      <c r="AC68" s="35">
        <v>0</v>
      </c>
      <c r="AD68" s="35"/>
      <c r="AE68" s="35">
        <v>0</v>
      </c>
      <c r="AF68" s="35"/>
      <c r="AG68" s="35">
        <v>0</v>
      </c>
      <c r="AH68" s="35"/>
      <c r="AI68" s="45">
        <f t="shared" si="15"/>
        <v>0</v>
      </c>
      <c r="AJ68" s="45"/>
      <c r="AK68" s="35"/>
      <c r="AL68" s="35"/>
      <c r="AM68" s="35">
        <v>0</v>
      </c>
      <c r="AN68" s="35"/>
      <c r="AO68" s="35">
        <v>0</v>
      </c>
      <c r="AP68" s="35"/>
      <c r="AQ68" s="35">
        <v>0</v>
      </c>
      <c r="AR68" s="35"/>
      <c r="AS68" s="45">
        <f t="shared" si="13"/>
        <v>0</v>
      </c>
      <c r="AT68" s="45"/>
      <c r="AU68" s="35">
        <v>0</v>
      </c>
      <c r="AV68" s="35"/>
      <c r="AW68" s="35">
        <v>0</v>
      </c>
      <c r="AX68" s="35"/>
      <c r="AY68" s="35">
        <f t="shared" si="4"/>
        <v>0</v>
      </c>
      <c r="AZ68" s="35"/>
      <c r="BA68" s="35" t="s">
        <v>90</v>
      </c>
      <c r="BB68" s="55"/>
      <c r="BC68" s="35" t="s">
        <v>43</v>
      </c>
      <c r="BD68" s="35"/>
      <c r="BE68" s="35"/>
      <c r="BF68" s="35"/>
      <c r="BG68" s="35"/>
      <c r="BH68" s="35"/>
      <c r="BI68" s="35"/>
      <c r="BJ68" s="35"/>
      <c r="BK68" s="35"/>
      <c r="BL68" s="35"/>
      <c r="BM68" s="35">
        <f t="shared" si="11"/>
        <v>0</v>
      </c>
      <c r="BN68" s="54" t="s">
        <v>347</v>
      </c>
    </row>
    <row r="69" spans="1:67" ht="13.2" hidden="1">
      <c r="A69" s="35" t="s">
        <v>93</v>
      </c>
      <c r="C69" s="35" t="s">
        <v>94</v>
      </c>
      <c r="D69" s="35"/>
      <c r="E69" s="35">
        <f t="shared" si="0"/>
        <v>0</v>
      </c>
      <c r="F69" s="35"/>
      <c r="G69" s="35"/>
      <c r="H69" s="35"/>
      <c r="I69" s="35"/>
      <c r="J69" s="35"/>
      <c r="K69" s="35">
        <f t="shared" si="1"/>
        <v>0</v>
      </c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>
        <f t="shared" si="12"/>
        <v>0</v>
      </c>
      <c r="X69" s="35"/>
      <c r="Y69" s="35" t="s">
        <v>93</v>
      </c>
      <c r="Z69" s="55"/>
      <c r="AA69" s="35" t="s">
        <v>94</v>
      </c>
      <c r="AB69" s="35"/>
      <c r="AC69" s="35"/>
      <c r="AD69" s="35"/>
      <c r="AE69" s="35"/>
      <c r="AF69" s="35"/>
      <c r="AG69" s="35"/>
      <c r="AH69" s="35"/>
      <c r="AI69" s="45">
        <f t="shared" si="15"/>
        <v>0</v>
      </c>
      <c r="AJ69" s="45"/>
      <c r="AK69" s="35"/>
      <c r="AL69" s="35"/>
      <c r="AM69" s="35"/>
      <c r="AN69" s="35"/>
      <c r="AO69" s="35"/>
      <c r="AP69" s="35"/>
      <c r="AQ69" s="35"/>
      <c r="AR69" s="35"/>
      <c r="AS69" s="45">
        <f t="shared" si="13"/>
        <v>0</v>
      </c>
      <c r="AT69" s="45"/>
      <c r="AU69" s="35">
        <v>0</v>
      </c>
      <c r="AV69" s="35"/>
      <c r="AW69" s="35">
        <v>0</v>
      </c>
      <c r="AX69" s="35"/>
      <c r="AY69" s="35">
        <f t="shared" si="4"/>
        <v>0</v>
      </c>
      <c r="AZ69" s="35"/>
      <c r="BA69" s="35" t="s">
        <v>93</v>
      </c>
      <c r="BB69" s="55"/>
      <c r="BC69" s="35" t="s">
        <v>94</v>
      </c>
      <c r="BD69" s="35"/>
      <c r="BE69" s="35"/>
      <c r="BF69" s="35"/>
      <c r="BG69" s="35"/>
      <c r="BH69" s="35"/>
      <c r="BI69" s="35"/>
      <c r="BJ69" s="35"/>
      <c r="BK69" s="35"/>
      <c r="BL69" s="35"/>
      <c r="BM69" s="35">
        <f t="shared" si="11"/>
        <v>0</v>
      </c>
      <c r="BN69" s="54" t="s">
        <v>347</v>
      </c>
    </row>
    <row r="70" spans="1:67" ht="13.2" hidden="1">
      <c r="A70" s="35" t="s">
        <v>95</v>
      </c>
      <c r="C70" s="35" t="s">
        <v>94</v>
      </c>
      <c r="D70" s="35"/>
      <c r="E70" s="35">
        <f t="shared" si="0"/>
        <v>0</v>
      </c>
      <c r="F70" s="35"/>
      <c r="G70" s="35"/>
      <c r="H70" s="35"/>
      <c r="I70" s="35"/>
      <c r="J70" s="35"/>
      <c r="K70" s="35">
        <f t="shared" si="1"/>
        <v>0</v>
      </c>
      <c r="L70" s="35"/>
      <c r="M70" s="35">
        <v>0</v>
      </c>
      <c r="N70" s="35"/>
      <c r="O70" s="35"/>
      <c r="P70" s="35"/>
      <c r="Q70" s="35"/>
      <c r="R70" s="35"/>
      <c r="S70" s="35">
        <v>0</v>
      </c>
      <c r="T70" s="35"/>
      <c r="U70" s="35"/>
      <c r="V70" s="35"/>
      <c r="W70" s="35">
        <f t="shared" si="12"/>
        <v>0</v>
      </c>
      <c r="X70" s="35"/>
      <c r="Y70" s="35" t="s">
        <v>95</v>
      </c>
      <c r="Z70" s="55"/>
      <c r="AA70" s="35" t="s">
        <v>94</v>
      </c>
      <c r="AB70" s="35"/>
      <c r="AC70" s="35">
        <v>0</v>
      </c>
      <c r="AD70" s="35"/>
      <c r="AE70" s="35">
        <v>0</v>
      </c>
      <c r="AF70" s="35"/>
      <c r="AG70" s="35">
        <v>0</v>
      </c>
      <c r="AH70" s="35"/>
      <c r="AI70" s="45">
        <f t="shared" si="15"/>
        <v>0</v>
      </c>
      <c r="AJ70" s="45"/>
      <c r="AK70" s="35"/>
      <c r="AL70" s="35"/>
      <c r="AM70" s="35">
        <v>0</v>
      </c>
      <c r="AN70" s="35"/>
      <c r="AO70" s="35">
        <v>0</v>
      </c>
      <c r="AP70" s="35"/>
      <c r="AQ70" s="35">
        <v>0</v>
      </c>
      <c r="AR70" s="35"/>
      <c r="AS70" s="45">
        <f t="shared" si="13"/>
        <v>0</v>
      </c>
      <c r="AT70" s="45"/>
      <c r="AU70" s="35">
        <v>0</v>
      </c>
      <c r="AV70" s="35"/>
      <c r="AW70" s="35">
        <v>0</v>
      </c>
      <c r="AX70" s="35"/>
      <c r="AY70" s="35">
        <f t="shared" si="4"/>
        <v>0</v>
      </c>
      <c r="AZ70" s="35"/>
      <c r="BA70" s="35" t="s">
        <v>95</v>
      </c>
      <c r="BB70" s="55"/>
      <c r="BC70" s="35" t="s">
        <v>94</v>
      </c>
      <c r="BD70" s="35"/>
      <c r="BE70" s="35"/>
      <c r="BF70" s="35"/>
      <c r="BG70" s="35"/>
      <c r="BH70" s="35"/>
      <c r="BI70" s="35"/>
      <c r="BJ70" s="35"/>
      <c r="BK70" s="35"/>
      <c r="BL70" s="35"/>
      <c r="BM70" s="35">
        <f t="shared" si="11"/>
        <v>0</v>
      </c>
      <c r="BN70" s="54" t="s">
        <v>347</v>
      </c>
    </row>
    <row r="71" spans="1:67" ht="13.2" hidden="1">
      <c r="A71" s="35" t="s">
        <v>91</v>
      </c>
      <c r="C71" s="35" t="s">
        <v>92</v>
      </c>
      <c r="D71" s="35"/>
      <c r="E71" s="35">
        <f t="shared" si="0"/>
        <v>0</v>
      </c>
      <c r="F71" s="35"/>
      <c r="G71" s="35"/>
      <c r="H71" s="35"/>
      <c r="I71" s="35"/>
      <c r="J71" s="35"/>
      <c r="K71" s="35">
        <f t="shared" si="1"/>
        <v>0</v>
      </c>
      <c r="L71" s="35"/>
      <c r="M71" s="35">
        <v>0</v>
      </c>
      <c r="N71" s="35"/>
      <c r="O71" s="35"/>
      <c r="P71" s="35"/>
      <c r="Q71" s="35"/>
      <c r="R71" s="35"/>
      <c r="S71" s="35">
        <v>0</v>
      </c>
      <c r="T71" s="35"/>
      <c r="U71" s="35"/>
      <c r="V71" s="35"/>
      <c r="W71" s="35">
        <f t="shared" si="12"/>
        <v>0</v>
      </c>
      <c r="X71" s="35"/>
      <c r="Y71" s="35" t="s">
        <v>91</v>
      </c>
      <c r="Z71" s="55"/>
      <c r="AA71" s="35" t="s">
        <v>92</v>
      </c>
      <c r="AB71" s="35"/>
      <c r="AC71" s="35">
        <v>0</v>
      </c>
      <c r="AD71" s="35"/>
      <c r="AE71" s="35">
        <v>0</v>
      </c>
      <c r="AF71" s="35"/>
      <c r="AG71" s="35">
        <v>0</v>
      </c>
      <c r="AH71" s="35"/>
      <c r="AI71" s="45">
        <f t="shared" si="15"/>
        <v>0</v>
      </c>
      <c r="AJ71" s="45"/>
      <c r="AK71" s="35"/>
      <c r="AL71" s="35"/>
      <c r="AM71" s="35">
        <v>0</v>
      </c>
      <c r="AN71" s="35"/>
      <c r="AO71" s="35">
        <v>0</v>
      </c>
      <c r="AP71" s="35"/>
      <c r="AQ71" s="35">
        <v>0</v>
      </c>
      <c r="AR71" s="35"/>
      <c r="AS71" s="45">
        <f t="shared" si="13"/>
        <v>0</v>
      </c>
      <c r="AT71" s="45"/>
      <c r="AU71" s="35">
        <v>0</v>
      </c>
      <c r="AV71" s="35"/>
      <c r="AW71" s="35">
        <v>0</v>
      </c>
      <c r="AX71" s="35"/>
      <c r="AY71" s="35">
        <f t="shared" si="4"/>
        <v>0</v>
      </c>
      <c r="AZ71" s="35"/>
      <c r="BA71" s="35" t="s">
        <v>91</v>
      </c>
      <c r="BB71" s="55"/>
      <c r="BC71" s="35" t="s">
        <v>92</v>
      </c>
      <c r="BD71" s="35"/>
      <c r="BE71" s="35"/>
      <c r="BF71" s="35"/>
      <c r="BG71" s="35"/>
      <c r="BH71" s="35"/>
      <c r="BI71" s="35"/>
      <c r="BJ71" s="35"/>
      <c r="BK71" s="35"/>
      <c r="BL71" s="35"/>
      <c r="BM71" s="35">
        <f t="shared" si="11"/>
        <v>0</v>
      </c>
      <c r="BN71" s="54" t="s">
        <v>347</v>
      </c>
    </row>
    <row r="72" spans="1:67" ht="13.2">
      <c r="A72" s="35" t="s">
        <v>96</v>
      </c>
      <c r="C72" s="35" t="s">
        <v>97</v>
      </c>
      <c r="D72" s="35"/>
      <c r="E72" s="35">
        <f t="shared" si="0"/>
        <v>230903</v>
      </c>
      <c r="F72" s="35"/>
      <c r="G72" s="35">
        <v>19337</v>
      </c>
      <c r="H72" s="35"/>
      <c r="I72" s="35">
        <v>250240</v>
      </c>
      <c r="J72" s="35"/>
      <c r="K72" s="35">
        <f t="shared" si="1"/>
        <v>41888</v>
      </c>
      <c r="L72" s="35"/>
      <c r="M72" s="35">
        <v>12125</v>
      </c>
      <c r="N72" s="35"/>
      <c r="O72" s="35">
        <v>54013</v>
      </c>
      <c r="P72" s="35"/>
      <c r="Q72" s="35">
        <v>19337</v>
      </c>
      <c r="R72" s="35"/>
      <c r="S72" s="35">
        <v>0</v>
      </c>
      <c r="T72" s="35"/>
      <c r="U72" s="35">
        <v>176890</v>
      </c>
      <c r="V72" s="35"/>
      <c r="W72" s="35">
        <f t="shared" si="12"/>
        <v>196227</v>
      </c>
      <c r="X72" s="35"/>
      <c r="Y72" s="35" t="s">
        <v>96</v>
      </c>
      <c r="Z72" s="55"/>
      <c r="AA72" s="35" t="s">
        <v>97</v>
      </c>
      <c r="AB72" s="35"/>
      <c r="AC72" s="35">
        <v>583552</v>
      </c>
      <c r="AD72" s="35"/>
      <c r="AE72" s="35">
        <v>582746</v>
      </c>
      <c r="AF72" s="35"/>
      <c r="AG72" s="35">
        <v>0</v>
      </c>
      <c r="AH72" s="35"/>
      <c r="AI72" s="45">
        <f t="shared" si="15"/>
        <v>806</v>
      </c>
      <c r="AJ72" s="45"/>
      <c r="AK72" s="35">
        <v>0</v>
      </c>
      <c r="AL72" s="35"/>
      <c r="AM72" s="35">
        <v>0</v>
      </c>
      <c r="AN72" s="35"/>
      <c r="AO72" s="35">
        <v>0</v>
      </c>
      <c r="AP72" s="35"/>
      <c r="AQ72" s="35">
        <v>0</v>
      </c>
      <c r="AR72" s="35"/>
      <c r="AS72" s="45">
        <f t="shared" si="13"/>
        <v>806</v>
      </c>
      <c r="AT72" s="45"/>
      <c r="AU72" s="35">
        <v>0</v>
      </c>
      <c r="AV72" s="35"/>
      <c r="AW72" s="35">
        <v>0</v>
      </c>
      <c r="AX72" s="35"/>
      <c r="AY72" s="35">
        <f t="shared" si="4"/>
        <v>189015</v>
      </c>
      <c r="AZ72" s="35"/>
      <c r="BA72" s="35" t="s">
        <v>96</v>
      </c>
      <c r="BB72" s="55"/>
      <c r="BC72" s="35" t="s">
        <v>97</v>
      </c>
      <c r="BD72" s="35"/>
      <c r="BE72" s="35">
        <v>0</v>
      </c>
      <c r="BF72" s="35"/>
      <c r="BG72" s="35">
        <v>0</v>
      </c>
      <c r="BH72" s="35"/>
      <c r="BI72" s="35">
        <v>0</v>
      </c>
      <c r="BJ72" s="35"/>
      <c r="BK72" s="35">
        <v>0</v>
      </c>
      <c r="BL72" s="35"/>
      <c r="BM72" s="35">
        <f t="shared" si="11"/>
        <v>0</v>
      </c>
      <c r="BN72" s="54" t="s">
        <v>347</v>
      </c>
    </row>
    <row r="73" spans="1:67" ht="13.2">
      <c r="A73" s="35" t="s">
        <v>98</v>
      </c>
      <c r="C73" s="35" t="s">
        <v>17</v>
      </c>
      <c r="D73" s="35"/>
      <c r="E73" s="35">
        <f t="shared" si="0"/>
        <v>558804</v>
      </c>
      <c r="F73" s="35"/>
      <c r="G73" s="35">
        <v>594997</v>
      </c>
      <c r="H73" s="35"/>
      <c r="I73" s="35">
        <v>1153801</v>
      </c>
      <c r="J73" s="35"/>
      <c r="K73" s="35">
        <f t="shared" si="1"/>
        <v>168170</v>
      </c>
      <c r="L73" s="35"/>
      <c r="M73" s="35">
        <v>206101</v>
      </c>
      <c r="N73" s="35"/>
      <c r="O73" s="35">
        <v>374271</v>
      </c>
      <c r="P73" s="35"/>
      <c r="Q73" s="35">
        <v>594997</v>
      </c>
      <c r="R73" s="35"/>
      <c r="S73" s="35">
        <v>0</v>
      </c>
      <c r="T73" s="35"/>
      <c r="U73" s="35">
        <v>184533</v>
      </c>
      <c r="V73" s="35"/>
      <c r="W73" s="35">
        <f t="shared" si="12"/>
        <v>779530</v>
      </c>
      <c r="X73" s="35"/>
      <c r="Y73" s="35" t="s">
        <v>98</v>
      </c>
      <c r="Z73" s="55"/>
      <c r="AA73" s="35" t="s">
        <v>17</v>
      </c>
      <c r="AB73" s="35"/>
      <c r="AC73" s="35">
        <v>3142363</v>
      </c>
      <c r="AD73" s="35"/>
      <c r="AE73" s="35">
        <f>3283177-104746</f>
        <v>3178431</v>
      </c>
      <c r="AF73" s="35"/>
      <c r="AG73" s="35">
        <v>104746</v>
      </c>
      <c r="AH73" s="35"/>
      <c r="AI73" s="45">
        <f t="shared" si="15"/>
        <v>-140814</v>
      </c>
      <c r="AJ73" s="45"/>
      <c r="AK73" s="35">
        <v>77771</v>
      </c>
      <c r="AL73" s="35"/>
      <c r="AM73" s="35">
        <v>0</v>
      </c>
      <c r="AN73" s="35"/>
      <c r="AO73" s="35">
        <v>0</v>
      </c>
      <c r="AP73" s="35"/>
      <c r="AQ73" s="35">
        <v>129874</v>
      </c>
      <c r="AR73" s="35"/>
      <c r="AS73" s="45">
        <f t="shared" si="13"/>
        <v>66831</v>
      </c>
      <c r="AT73" s="45"/>
      <c r="AU73" s="35">
        <v>0</v>
      </c>
      <c r="AV73" s="35"/>
      <c r="AW73" s="35">
        <v>0</v>
      </c>
      <c r="AX73" s="35"/>
      <c r="AY73" s="35">
        <f t="shared" si="4"/>
        <v>390634</v>
      </c>
      <c r="AZ73" s="35"/>
      <c r="BA73" s="35" t="s">
        <v>98</v>
      </c>
      <c r="BB73" s="55"/>
      <c r="BC73" s="35" t="s">
        <v>17</v>
      </c>
      <c r="BD73" s="35"/>
      <c r="BE73" s="35">
        <v>0</v>
      </c>
      <c r="BF73" s="35"/>
      <c r="BG73" s="35">
        <v>0</v>
      </c>
      <c r="BH73" s="35"/>
      <c r="BI73" s="35">
        <v>0</v>
      </c>
      <c r="BJ73" s="35"/>
      <c r="BK73" s="35">
        <v>0</v>
      </c>
      <c r="BL73" s="35"/>
      <c r="BM73" s="35">
        <f t="shared" si="11"/>
        <v>0</v>
      </c>
      <c r="BN73" s="54" t="s">
        <v>347</v>
      </c>
    </row>
    <row r="74" spans="1:67" ht="13.2">
      <c r="A74" s="35" t="s">
        <v>99</v>
      </c>
      <c r="C74" s="35" t="s">
        <v>66</v>
      </c>
      <c r="D74" s="35"/>
      <c r="E74" s="35">
        <f t="shared" si="0"/>
        <v>549546</v>
      </c>
      <c r="F74" s="35"/>
      <c r="G74" s="35">
        <v>111885</v>
      </c>
      <c r="H74" s="35"/>
      <c r="I74" s="35">
        <v>661431</v>
      </c>
      <c r="J74" s="35"/>
      <c r="K74" s="35">
        <f t="shared" si="1"/>
        <v>0</v>
      </c>
      <c r="L74" s="35"/>
      <c r="M74" s="35">
        <v>0</v>
      </c>
      <c r="N74" s="35"/>
      <c r="O74" s="35">
        <v>0</v>
      </c>
      <c r="P74" s="35"/>
      <c r="Q74" s="35">
        <v>111885</v>
      </c>
      <c r="R74" s="35"/>
      <c r="S74" s="35">
        <v>0</v>
      </c>
      <c r="T74" s="35"/>
      <c r="U74" s="35">
        <v>549546</v>
      </c>
      <c r="V74" s="35"/>
      <c r="W74" s="35">
        <f t="shared" ref="W74:W105" si="16">SUM(Q74:U74)</f>
        <v>661431</v>
      </c>
      <c r="X74" s="35"/>
      <c r="Y74" s="35" t="s">
        <v>99</v>
      </c>
      <c r="Z74" s="55"/>
      <c r="AA74" s="35" t="s">
        <v>66</v>
      </c>
      <c r="AB74" s="35"/>
      <c r="AC74" s="35">
        <v>790190</v>
      </c>
      <c r="AD74" s="35"/>
      <c r="AE74" s="35">
        <f>722101-4792</f>
        <v>717309</v>
      </c>
      <c r="AF74" s="35"/>
      <c r="AG74" s="35">
        <v>4792</v>
      </c>
      <c r="AH74" s="35"/>
      <c r="AI74" s="45">
        <f t="shared" si="15"/>
        <v>68089</v>
      </c>
      <c r="AJ74" s="45"/>
      <c r="AK74" s="35">
        <v>0</v>
      </c>
      <c r="AL74" s="35"/>
      <c r="AM74" s="35">
        <v>0</v>
      </c>
      <c r="AN74" s="35"/>
      <c r="AO74" s="35">
        <v>0</v>
      </c>
      <c r="AP74" s="35"/>
      <c r="AQ74" s="35">
        <v>0</v>
      </c>
      <c r="AR74" s="35"/>
      <c r="AS74" s="45">
        <f t="shared" si="13"/>
        <v>68089</v>
      </c>
      <c r="AT74" s="45"/>
      <c r="AU74" s="35">
        <v>0</v>
      </c>
      <c r="AV74" s="35"/>
      <c r="AW74" s="35">
        <v>0</v>
      </c>
      <c r="AX74" s="35"/>
      <c r="AY74" s="35">
        <f t="shared" si="4"/>
        <v>549546</v>
      </c>
      <c r="AZ74" s="35"/>
      <c r="BA74" s="35" t="s">
        <v>99</v>
      </c>
      <c r="BB74" s="55"/>
      <c r="BC74" s="35" t="s">
        <v>66</v>
      </c>
      <c r="BD74" s="35"/>
      <c r="BE74" s="35">
        <v>0</v>
      </c>
      <c r="BF74" s="35"/>
      <c r="BG74" s="35">
        <v>0</v>
      </c>
      <c r="BH74" s="35"/>
      <c r="BI74" s="35">
        <v>0</v>
      </c>
      <c r="BJ74" s="35"/>
      <c r="BK74" s="35">
        <v>0</v>
      </c>
      <c r="BL74" s="35"/>
      <c r="BM74" s="35">
        <f t="shared" si="11"/>
        <v>0</v>
      </c>
      <c r="BN74" s="54" t="s">
        <v>347</v>
      </c>
    </row>
    <row r="75" spans="1:67" ht="13.2" hidden="1">
      <c r="A75" s="35" t="s">
        <v>100</v>
      </c>
      <c r="C75" s="35" t="s">
        <v>27</v>
      </c>
      <c r="D75" s="35"/>
      <c r="E75" s="35">
        <f t="shared" ref="E75:E138" si="17">I75-G75</f>
        <v>0</v>
      </c>
      <c r="F75" s="35"/>
      <c r="G75" s="35"/>
      <c r="H75" s="35"/>
      <c r="I75" s="35"/>
      <c r="J75" s="35"/>
      <c r="K75" s="35">
        <f t="shared" ref="K75:K138" si="18">O75-M75</f>
        <v>0</v>
      </c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>
        <f t="shared" si="16"/>
        <v>0</v>
      </c>
      <c r="X75" s="35"/>
      <c r="Y75" s="35" t="s">
        <v>100</v>
      </c>
      <c r="Z75" s="55"/>
      <c r="AA75" s="35" t="s">
        <v>27</v>
      </c>
      <c r="AB75" s="35"/>
      <c r="AC75" s="35"/>
      <c r="AD75" s="35"/>
      <c r="AE75" s="35"/>
      <c r="AF75" s="35"/>
      <c r="AG75" s="35"/>
      <c r="AH75" s="35"/>
      <c r="AI75" s="45">
        <f t="shared" si="15"/>
        <v>0</v>
      </c>
      <c r="AJ75" s="45"/>
      <c r="AK75" s="35"/>
      <c r="AL75" s="35"/>
      <c r="AM75" s="35"/>
      <c r="AN75" s="35"/>
      <c r="AO75" s="35"/>
      <c r="AP75" s="35"/>
      <c r="AQ75" s="35"/>
      <c r="AR75" s="35"/>
      <c r="AS75" s="45">
        <f t="shared" si="13"/>
        <v>0</v>
      </c>
      <c r="AT75" s="45"/>
      <c r="AU75" s="35">
        <v>0</v>
      </c>
      <c r="AV75" s="35"/>
      <c r="AW75" s="35">
        <v>0</v>
      </c>
      <c r="AX75" s="35"/>
      <c r="AY75" s="35">
        <f t="shared" ref="AY75:AY107" si="19">+E75-K75</f>
        <v>0</v>
      </c>
      <c r="AZ75" s="35"/>
      <c r="BA75" s="35" t="s">
        <v>100</v>
      </c>
      <c r="BB75" s="55"/>
      <c r="BC75" s="35" t="s">
        <v>27</v>
      </c>
      <c r="BD75" s="35"/>
      <c r="BE75" s="35"/>
      <c r="BF75" s="35"/>
      <c r="BG75" s="35"/>
      <c r="BH75" s="35"/>
      <c r="BI75" s="35"/>
      <c r="BJ75" s="35"/>
      <c r="BK75" s="35"/>
      <c r="BL75" s="35"/>
      <c r="BM75" s="35">
        <f t="shared" si="11"/>
        <v>0</v>
      </c>
      <c r="BN75" s="54" t="s">
        <v>347</v>
      </c>
    </row>
    <row r="76" spans="1:67" ht="13.2">
      <c r="A76" s="35" t="s">
        <v>101</v>
      </c>
      <c r="C76" s="35" t="s">
        <v>30</v>
      </c>
      <c r="D76" s="35"/>
      <c r="E76" s="35">
        <f t="shared" si="17"/>
        <v>942726</v>
      </c>
      <c r="F76" s="35"/>
      <c r="G76" s="35">
        <v>251923</v>
      </c>
      <c r="H76" s="35"/>
      <c r="I76" s="35">
        <f>251923+942726</f>
        <v>1194649</v>
      </c>
      <c r="J76" s="35"/>
      <c r="K76" s="35">
        <f t="shared" si="18"/>
        <v>106948</v>
      </c>
      <c r="L76" s="35"/>
      <c r="M76" s="35">
        <v>347688</v>
      </c>
      <c r="N76" s="35"/>
      <c r="O76" s="35">
        <v>454636</v>
      </c>
      <c r="P76" s="35"/>
      <c r="Q76" s="35">
        <v>251923</v>
      </c>
      <c r="R76" s="35"/>
      <c r="S76" s="35">
        <v>0</v>
      </c>
      <c r="T76" s="35"/>
      <c r="U76" s="35">
        <v>488090</v>
      </c>
      <c r="V76" s="35"/>
      <c r="W76" s="35">
        <f t="shared" si="16"/>
        <v>740013</v>
      </c>
      <c r="X76" s="35"/>
      <c r="Y76" s="35" t="s">
        <v>101</v>
      </c>
      <c r="Z76" s="55"/>
      <c r="AA76" s="35" t="s">
        <v>30</v>
      </c>
      <c r="AB76" s="35"/>
      <c r="AC76" s="35">
        <v>2396874</v>
      </c>
      <c r="AD76" s="35"/>
      <c r="AE76" s="35">
        <f>2118850-41676</f>
        <v>2077174</v>
      </c>
      <c r="AF76" s="35"/>
      <c r="AG76" s="35">
        <v>41676</v>
      </c>
      <c r="AH76" s="35"/>
      <c r="AI76" s="45">
        <f t="shared" si="15"/>
        <v>278024</v>
      </c>
      <c r="AJ76" s="45"/>
      <c r="AK76" s="35">
        <v>0</v>
      </c>
      <c r="AL76" s="35"/>
      <c r="AM76" s="35">
        <v>0</v>
      </c>
      <c r="AN76" s="35"/>
      <c r="AO76" s="35">
        <v>0</v>
      </c>
      <c r="AP76" s="35"/>
      <c r="AQ76" s="35">
        <v>0</v>
      </c>
      <c r="AR76" s="35"/>
      <c r="AS76" s="45">
        <f t="shared" si="13"/>
        <v>278024</v>
      </c>
      <c r="AT76" s="45"/>
      <c r="AU76" s="35">
        <v>0</v>
      </c>
      <c r="AV76" s="35"/>
      <c r="AW76" s="35">
        <v>0</v>
      </c>
      <c r="AX76" s="35"/>
      <c r="AY76" s="35">
        <f t="shared" si="19"/>
        <v>835778</v>
      </c>
      <c r="AZ76" s="35"/>
      <c r="BA76" s="35" t="s">
        <v>101</v>
      </c>
      <c r="BB76" s="55"/>
      <c r="BC76" s="35" t="s">
        <v>30</v>
      </c>
      <c r="BD76" s="35"/>
      <c r="BE76" s="35">
        <v>185215</v>
      </c>
      <c r="BF76" s="35"/>
      <c r="BG76" s="35">
        <v>0</v>
      </c>
      <c r="BH76" s="35"/>
      <c r="BI76" s="35">
        <v>0</v>
      </c>
      <c r="BJ76" s="35"/>
      <c r="BK76" s="35">
        <v>0</v>
      </c>
      <c r="BL76" s="35"/>
      <c r="BM76" s="35">
        <f t="shared" si="11"/>
        <v>185215</v>
      </c>
      <c r="BN76" s="54" t="s">
        <v>347</v>
      </c>
    </row>
    <row r="77" spans="1:67" ht="13.2">
      <c r="A77" s="35" t="s">
        <v>102</v>
      </c>
      <c r="C77" s="35" t="s">
        <v>103</v>
      </c>
      <c r="D77" s="35"/>
      <c r="E77" s="35">
        <f t="shared" si="17"/>
        <v>340594</v>
      </c>
      <c r="F77" s="35"/>
      <c r="G77" s="35">
        <v>0</v>
      </c>
      <c r="H77" s="35"/>
      <c r="I77" s="35">
        <v>340594</v>
      </c>
      <c r="J77" s="35"/>
      <c r="K77" s="35">
        <f t="shared" si="18"/>
        <v>2840</v>
      </c>
      <c r="L77" s="35"/>
      <c r="M77" s="35">
        <v>655</v>
      </c>
      <c r="N77" s="35"/>
      <c r="O77" s="35">
        <v>3495</v>
      </c>
      <c r="P77" s="35"/>
      <c r="Q77" s="35">
        <v>0</v>
      </c>
      <c r="R77" s="35"/>
      <c r="S77" s="35">
        <v>0</v>
      </c>
      <c r="T77" s="35"/>
      <c r="U77" s="35">
        <v>337099</v>
      </c>
      <c r="V77" s="35"/>
      <c r="W77" s="35">
        <f t="shared" si="16"/>
        <v>337099</v>
      </c>
      <c r="X77" s="35"/>
      <c r="Y77" s="35" t="s">
        <v>102</v>
      </c>
      <c r="Z77" s="55"/>
      <c r="AA77" s="35" t="s">
        <v>103</v>
      </c>
      <c r="AB77" s="35"/>
      <c r="AC77" s="35">
        <v>1628128</v>
      </c>
      <c r="AD77" s="35"/>
      <c r="AE77" s="35">
        <f>2266099-0</f>
        <v>2266099</v>
      </c>
      <c r="AF77" s="35"/>
      <c r="AG77" s="35">
        <v>0</v>
      </c>
      <c r="AH77" s="35"/>
      <c r="AI77" s="45">
        <f t="shared" si="15"/>
        <v>-637971</v>
      </c>
      <c r="AJ77" s="45"/>
      <c r="AK77" s="35">
        <v>0</v>
      </c>
      <c r="AL77" s="35"/>
      <c r="AM77" s="35">
        <v>785000</v>
      </c>
      <c r="AN77" s="35"/>
      <c r="AO77" s="35">
        <v>0</v>
      </c>
      <c r="AP77" s="35"/>
      <c r="AQ77" s="35">
        <v>0</v>
      </c>
      <c r="AR77" s="35"/>
      <c r="AS77" s="45">
        <f t="shared" si="13"/>
        <v>147029</v>
      </c>
      <c r="AT77" s="45"/>
      <c r="AU77" s="35">
        <v>0</v>
      </c>
      <c r="AV77" s="35"/>
      <c r="AW77" s="35">
        <v>0</v>
      </c>
      <c r="AX77" s="35"/>
      <c r="AY77" s="35">
        <f t="shared" si="19"/>
        <v>337754</v>
      </c>
      <c r="AZ77" s="35"/>
      <c r="BA77" s="35" t="s">
        <v>102</v>
      </c>
      <c r="BB77" s="55"/>
      <c r="BC77" s="35" t="s">
        <v>103</v>
      </c>
      <c r="BD77" s="35"/>
      <c r="BE77" s="35">
        <v>0</v>
      </c>
      <c r="BF77" s="35"/>
      <c r="BG77" s="35">
        <v>0</v>
      </c>
      <c r="BH77" s="35"/>
      <c r="BI77" s="35">
        <v>0</v>
      </c>
      <c r="BJ77" s="35"/>
      <c r="BK77" s="35">
        <v>0</v>
      </c>
      <c r="BL77" s="35"/>
      <c r="BM77" s="35">
        <f t="shared" si="11"/>
        <v>0</v>
      </c>
      <c r="BN77" s="54" t="s">
        <v>347</v>
      </c>
    </row>
    <row r="78" spans="1:67" ht="13.2" hidden="1">
      <c r="A78" s="35" t="s">
        <v>104</v>
      </c>
      <c r="C78" s="35" t="s">
        <v>13</v>
      </c>
      <c r="D78" s="35"/>
      <c r="E78" s="35">
        <f t="shared" si="17"/>
        <v>0</v>
      </c>
      <c r="F78" s="35"/>
      <c r="G78" s="35"/>
      <c r="H78" s="35"/>
      <c r="I78" s="35"/>
      <c r="J78" s="35"/>
      <c r="K78" s="35">
        <f t="shared" si="18"/>
        <v>0</v>
      </c>
      <c r="L78" s="35"/>
      <c r="M78" s="35">
        <v>0</v>
      </c>
      <c r="N78" s="35"/>
      <c r="O78" s="35"/>
      <c r="P78" s="35"/>
      <c r="Q78" s="35"/>
      <c r="R78" s="35"/>
      <c r="S78" s="35">
        <v>0</v>
      </c>
      <c r="T78" s="35"/>
      <c r="U78" s="35"/>
      <c r="V78" s="35"/>
      <c r="W78" s="35">
        <f t="shared" si="16"/>
        <v>0</v>
      </c>
      <c r="X78" s="35"/>
      <c r="Y78" s="35" t="s">
        <v>104</v>
      </c>
      <c r="Z78" s="55"/>
      <c r="AA78" s="35" t="s">
        <v>13</v>
      </c>
      <c r="AB78" s="35"/>
      <c r="AC78" s="35">
        <v>0</v>
      </c>
      <c r="AD78" s="35"/>
      <c r="AE78" s="35">
        <v>0</v>
      </c>
      <c r="AF78" s="35"/>
      <c r="AG78" s="35">
        <v>0</v>
      </c>
      <c r="AH78" s="35"/>
      <c r="AI78" s="45">
        <f t="shared" ref="AI78:AI84" si="20">+AC78-AE78-AG78</f>
        <v>0</v>
      </c>
      <c r="AJ78" s="45"/>
      <c r="AK78" s="35"/>
      <c r="AL78" s="35"/>
      <c r="AM78" s="35">
        <v>0</v>
      </c>
      <c r="AN78" s="35"/>
      <c r="AO78" s="35">
        <v>0</v>
      </c>
      <c r="AP78" s="35"/>
      <c r="AQ78" s="35">
        <v>0</v>
      </c>
      <c r="AR78" s="35"/>
      <c r="AS78" s="45">
        <f t="shared" si="13"/>
        <v>0</v>
      </c>
      <c r="AT78" s="45"/>
      <c r="AU78" s="35">
        <v>0</v>
      </c>
      <c r="AV78" s="35"/>
      <c r="AW78" s="35">
        <v>0</v>
      </c>
      <c r="AX78" s="35"/>
      <c r="AY78" s="35">
        <f t="shared" si="19"/>
        <v>0</v>
      </c>
      <c r="AZ78" s="35"/>
      <c r="BA78" s="35" t="s">
        <v>104</v>
      </c>
      <c r="BB78" s="55"/>
      <c r="BC78" s="35" t="s">
        <v>13</v>
      </c>
      <c r="BD78" s="35"/>
      <c r="BE78" s="35"/>
      <c r="BF78" s="35"/>
      <c r="BG78" s="35"/>
      <c r="BH78" s="35"/>
      <c r="BI78" s="35"/>
      <c r="BJ78" s="35"/>
      <c r="BK78" s="35"/>
      <c r="BL78" s="35"/>
      <c r="BM78" s="35">
        <f t="shared" si="11"/>
        <v>0</v>
      </c>
      <c r="BN78" s="54" t="s">
        <v>347</v>
      </c>
    </row>
    <row r="79" spans="1:67" ht="13.2" hidden="1">
      <c r="A79" s="35" t="s">
        <v>105</v>
      </c>
      <c r="C79" s="35" t="s">
        <v>27</v>
      </c>
      <c r="D79" s="35"/>
      <c r="E79" s="35">
        <f t="shared" si="17"/>
        <v>0</v>
      </c>
      <c r="F79" s="35"/>
      <c r="G79" s="35"/>
      <c r="H79" s="35"/>
      <c r="I79" s="35"/>
      <c r="J79" s="35"/>
      <c r="K79" s="35">
        <f t="shared" si="18"/>
        <v>0</v>
      </c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>
        <f t="shared" si="16"/>
        <v>0</v>
      </c>
      <c r="X79" s="35"/>
      <c r="Y79" s="35" t="s">
        <v>105</v>
      </c>
      <c r="Z79" s="55"/>
      <c r="AA79" s="35" t="s">
        <v>27</v>
      </c>
      <c r="AB79" s="35"/>
      <c r="AC79" s="35"/>
      <c r="AD79" s="35"/>
      <c r="AE79" s="35"/>
      <c r="AF79" s="35"/>
      <c r="AG79" s="35"/>
      <c r="AH79" s="35"/>
      <c r="AI79" s="45">
        <f t="shared" si="20"/>
        <v>0</v>
      </c>
      <c r="AJ79" s="45"/>
      <c r="AK79" s="35"/>
      <c r="AL79" s="35"/>
      <c r="AM79" s="35"/>
      <c r="AN79" s="35"/>
      <c r="AO79" s="35"/>
      <c r="AP79" s="35"/>
      <c r="AQ79" s="35"/>
      <c r="AR79" s="35"/>
      <c r="AS79" s="45">
        <f t="shared" si="13"/>
        <v>0</v>
      </c>
      <c r="AT79" s="45"/>
      <c r="AU79" s="35">
        <v>0</v>
      </c>
      <c r="AV79" s="35"/>
      <c r="AW79" s="35">
        <v>0</v>
      </c>
      <c r="AX79" s="35"/>
      <c r="AY79" s="35">
        <f t="shared" si="19"/>
        <v>0</v>
      </c>
      <c r="AZ79" s="35"/>
      <c r="BA79" s="35" t="s">
        <v>105</v>
      </c>
      <c r="BB79" s="55"/>
      <c r="BC79" s="35" t="s">
        <v>27</v>
      </c>
      <c r="BD79" s="35"/>
      <c r="BE79" s="35"/>
      <c r="BF79" s="35"/>
      <c r="BG79" s="35"/>
      <c r="BH79" s="35"/>
      <c r="BI79" s="35"/>
      <c r="BJ79" s="35"/>
      <c r="BK79" s="35"/>
      <c r="BL79" s="35"/>
      <c r="BM79" s="35">
        <f t="shared" si="11"/>
        <v>0</v>
      </c>
      <c r="BN79" s="54" t="s">
        <v>347</v>
      </c>
    </row>
    <row r="80" spans="1:67" ht="13.2" hidden="1">
      <c r="A80" s="35" t="s">
        <v>106</v>
      </c>
      <c r="C80" s="35" t="s">
        <v>107</v>
      </c>
      <c r="D80" s="35"/>
      <c r="E80" s="35">
        <f t="shared" si="17"/>
        <v>0</v>
      </c>
      <c r="F80" s="35"/>
      <c r="G80" s="35"/>
      <c r="H80" s="35"/>
      <c r="I80" s="35"/>
      <c r="J80" s="35"/>
      <c r="K80" s="35">
        <f t="shared" si="18"/>
        <v>0</v>
      </c>
      <c r="L80" s="35"/>
      <c r="M80" s="35">
        <v>0</v>
      </c>
      <c r="N80" s="35"/>
      <c r="O80" s="35"/>
      <c r="P80" s="35"/>
      <c r="Q80" s="35"/>
      <c r="R80" s="35"/>
      <c r="S80" s="35">
        <v>0</v>
      </c>
      <c r="T80" s="35"/>
      <c r="U80" s="35"/>
      <c r="V80" s="35"/>
      <c r="W80" s="35">
        <f t="shared" si="16"/>
        <v>0</v>
      </c>
      <c r="X80" s="35"/>
      <c r="Y80" s="35" t="s">
        <v>106</v>
      </c>
      <c r="Z80" s="55"/>
      <c r="AA80" s="35" t="s">
        <v>107</v>
      </c>
      <c r="AB80" s="35"/>
      <c r="AC80" s="35">
        <v>0</v>
      </c>
      <c r="AD80" s="35"/>
      <c r="AE80" s="35">
        <v>0</v>
      </c>
      <c r="AF80" s="35"/>
      <c r="AG80" s="35">
        <v>0</v>
      </c>
      <c r="AH80" s="35"/>
      <c r="AI80" s="45">
        <f t="shared" si="20"/>
        <v>0</v>
      </c>
      <c r="AJ80" s="45"/>
      <c r="AK80" s="35"/>
      <c r="AL80" s="35"/>
      <c r="AM80" s="35">
        <v>0</v>
      </c>
      <c r="AN80" s="35"/>
      <c r="AO80" s="35">
        <v>0</v>
      </c>
      <c r="AP80" s="35"/>
      <c r="AQ80" s="35">
        <v>0</v>
      </c>
      <c r="AR80" s="35"/>
      <c r="AS80" s="45">
        <f t="shared" si="13"/>
        <v>0</v>
      </c>
      <c r="AT80" s="45"/>
      <c r="AU80" s="35">
        <v>0</v>
      </c>
      <c r="AV80" s="35"/>
      <c r="AW80" s="35">
        <v>0</v>
      </c>
      <c r="AX80" s="35"/>
      <c r="AY80" s="35">
        <f t="shared" si="19"/>
        <v>0</v>
      </c>
      <c r="AZ80" s="35"/>
      <c r="BA80" s="35" t="s">
        <v>106</v>
      </c>
      <c r="BB80" s="55"/>
      <c r="BC80" s="35" t="s">
        <v>107</v>
      </c>
      <c r="BD80" s="35"/>
      <c r="BE80" s="35"/>
      <c r="BF80" s="35"/>
      <c r="BG80" s="35"/>
      <c r="BH80" s="35"/>
      <c r="BI80" s="35"/>
      <c r="BJ80" s="35"/>
      <c r="BK80" s="35"/>
      <c r="BL80" s="35"/>
      <c r="BM80" s="35">
        <f t="shared" si="11"/>
        <v>0</v>
      </c>
      <c r="BN80" s="54" t="s">
        <v>347</v>
      </c>
    </row>
    <row r="81" spans="1:67" ht="13.2" hidden="1">
      <c r="A81" s="35" t="s">
        <v>108</v>
      </c>
      <c r="C81" s="35" t="s">
        <v>45</v>
      </c>
      <c r="D81" s="35"/>
      <c r="E81" s="35">
        <f t="shared" si="17"/>
        <v>0</v>
      </c>
      <c r="F81" s="35"/>
      <c r="G81" s="35"/>
      <c r="H81" s="35"/>
      <c r="I81" s="35"/>
      <c r="J81" s="35"/>
      <c r="K81" s="35">
        <f t="shared" si="18"/>
        <v>0</v>
      </c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>
        <f t="shared" si="16"/>
        <v>0</v>
      </c>
      <c r="X81" s="35"/>
      <c r="Y81" s="35" t="s">
        <v>108</v>
      </c>
      <c r="Z81" s="55"/>
      <c r="AA81" s="35" t="s">
        <v>45</v>
      </c>
      <c r="AB81" s="35"/>
      <c r="AC81" s="35"/>
      <c r="AD81" s="35"/>
      <c r="AE81" s="35"/>
      <c r="AF81" s="35"/>
      <c r="AG81" s="35"/>
      <c r="AH81" s="35"/>
      <c r="AI81" s="45">
        <f t="shared" si="20"/>
        <v>0</v>
      </c>
      <c r="AJ81" s="45"/>
      <c r="AK81" s="35"/>
      <c r="AL81" s="35"/>
      <c r="AM81" s="35"/>
      <c r="AN81" s="35"/>
      <c r="AO81" s="35"/>
      <c r="AP81" s="35"/>
      <c r="AQ81" s="35"/>
      <c r="AR81" s="35"/>
      <c r="AS81" s="45">
        <f t="shared" si="13"/>
        <v>0</v>
      </c>
      <c r="AT81" s="45"/>
      <c r="AU81" s="35">
        <v>0</v>
      </c>
      <c r="AV81" s="35"/>
      <c r="AW81" s="35">
        <v>0</v>
      </c>
      <c r="AX81" s="35"/>
      <c r="AY81" s="35">
        <f t="shared" si="19"/>
        <v>0</v>
      </c>
      <c r="AZ81" s="35"/>
      <c r="BA81" s="35" t="s">
        <v>108</v>
      </c>
      <c r="BB81" s="55"/>
      <c r="BC81" s="35" t="s">
        <v>45</v>
      </c>
      <c r="BD81" s="35"/>
      <c r="BE81" s="35"/>
      <c r="BF81" s="35"/>
      <c r="BG81" s="35"/>
      <c r="BH81" s="35"/>
      <c r="BI81" s="35"/>
      <c r="BJ81" s="35"/>
      <c r="BK81" s="35"/>
      <c r="BL81" s="35"/>
      <c r="BM81" s="35">
        <f t="shared" si="11"/>
        <v>0</v>
      </c>
      <c r="BN81" s="54" t="s">
        <v>347</v>
      </c>
    </row>
    <row r="82" spans="1:67" ht="13.2" hidden="1">
      <c r="A82" s="35" t="s">
        <v>109</v>
      </c>
      <c r="C82" s="35" t="s">
        <v>110</v>
      </c>
      <c r="D82" s="35"/>
      <c r="E82" s="35">
        <f t="shared" si="17"/>
        <v>0</v>
      </c>
      <c r="F82" s="35"/>
      <c r="G82" s="35"/>
      <c r="H82" s="35"/>
      <c r="I82" s="35"/>
      <c r="J82" s="35"/>
      <c r="K82" s="35">
        <f t="shared" si="18"/>
        <v>0</v>
      </c>
      <c r="L82" s="35"/>
      <c r="M82" s="35">
        <v>0</v>
      </c>
      <c r="N82" s="35"/>
      <c r="O82" s="35"/>
      <c r="P82" s="35"/>
      <c r="Q82" s="35"/>
      <c r="R82" s="35"/>
      <c r="S82" s="35">
        <v>0</v>
      </c>
      <c r="T82" s="35"/>
      <c r="U82" s="35"/>
      <c r="V82" s="35"/>
      <c r="W82" s="35">
        <f t="shared" si="16"/>
        <v>0</v>
      </c>
      <c r="X82" s="35"/>
      <c r="Y82" s="35" t="s">
        <v>109</v>
      </c>
      <c r="Z82" s="55"/>
      <c r="AA82" s="35" t="s">
        <v>110</v>
      </c>
      <c r="AB82" s="35"/>
      <c r="AC82" s="35">
        <v>0</v>
      </c>
      <c r="AD82" s="35"/>
      <c r="AE82" s="35">
        <v>0</v>
      </c>
      <c r="AF82" s="35"/>
      <c r="AG82" s="35">
        <v>0</v>
      </c>
      <c r="AH82" s="35"/>
      <c r="AI82" s="45">
        <f t="shared" si="20"/>
        <v>0</v>
      </c>
      <c r="AJ82" s="45"/>
      <c r="AK82" s="35"/>
      <c r="AL82" s="35"/>
      <c r="AM82" s="35">
        <v>0</v>
      </c>
      <c r="AN82" s="35"/>
      <c r="AO82" s="35">
        <v>0</v>
      </c>
      <c r="AP82" s="35"/>
      <c r="AQ82" s="35">
        <v>0</v>
      </c>
      <c r="AR82" s="35"/>
      <c r="AS82" s="45">
        <f t="shared" si="13"/>
        <v>0</v>
      </c>
      <c r="AT82" s="45"/>
      <c r="AU82" s="35">
        <v>0</v>
      </c>
      <c r="AV82" s="35"/>
      <c r="AW82" s="35">
        <v>0</v>
      </c>
      <c r="AX82" s="35"/>
      <c r="AY82" s="35">
        <f t="shared" si="19"/>
        <v>0</v>
      </c>
      <c r="AZ82" s="35"/>
      <c r="BA82" s="35" t="s">
        <v>109</v>
      </c>
      <c r="BB82" s="55"/>
      <c r="BC82" s="35" t="s">
        <v>110</v>
      </c>
      <c r="BD82" s="35"/>
      <c r="BE82" s="35"/>
      <c r="BF82" s="35"/>
      <c r="BG82" s="35"/>
      <c r="BH82" s="35"/>
      <c r="BI82" s="35"/>
      <c r="BJ82" s="35"/>
      <c r="BK82" s="35"/>
      <c r="BL82" s="35"/>
      <c r="BM82" s="35">
        <f t="shared" si="11"/>
        <v>0</v>
      </c>
      <c r="BN82" s="54" t="s">
        <v>347</v>
      </c>
    </row>
    <row r="83" spans="1:67" ht="13.2">
      <c r="A83" s="35" t="s">
        <v>43</v>
      </c>
      <c r="C83" s="35" t="s">
        <v>111</v>
      </c>
      <c r="D83" s="35"/>
      <c r="E83" s="35">
        <f t="shared" si="17"/>
        <v>259306</v>
      </c>
      <c r="F83" s="35"/>
      <c r="G83" s="35">
        <v>0</v>
      </c>
      <c r="H83" s="35"/>
      <c r="I83" s="35">
        <v>259306</v>
      </c>
      <c r="J83" s="35"/>
      <c r="K83" s="35">
        <f t="shared" si="18"/>
        <v>48831</v>
      </c>
      <c r="L83" s="35"/>
      <c r="M83" s="35">
        <v>0</v>
      </c>
      <c r="N83" s="35"/>
      <c r="O83" s="35">
        <v>48831</v>
      </c>
      <c r="P83" s="35"/>
      <c r="Q83" s="35">
        <v>0</v>
      </c>
      <c r="R83" s="35"/>
      <c r="S83" s="35">
        <v>0</v>
      </c>
      <c r="T83" s="35"/>
      <c r="U83" s="35">
        <v>210475</v>
      </c>
      <c r="V83" s="35"/>
      <c r="W83" s="35">
        <f t="shared" si="16"/>
        <v>210475</v>
      </c>
      <c r="X83" s="35"/>
      <c r="Y83" s="35" t="s">
        <v>43</v>
      </c>
      <c r="Z83" s="55"/>
      <c r="AA83" s="35" t="s">
        <v>111</v>
      </c>
      <c r="AB83" s="35"/>
      <c r="AC83" s="35">
        <v>649671</v>
      </c>
      <c r="AD83" s="35"/>
      <c r="AE83" s="35">
        <f>654623-0</f>
        <v>654623</v>
      </c>
      <c r="AF83" s="35"/>
      <c r="AG83" s="35">
        <v>0</v>
      </c>
      <c r="AH83" s="35"/>
      <c r="AI83" s="45">
        <f t="shared" si="20"/>
        <v>-4952</v>
      </c>
      <c r="AJ83" s="45"/>
      <c r="AK83" s="35">
        <v>769</v>
      </c>
      <c r="AL83" s="35"/>
      <c r="AM83" s="35">
        <v>0</v>
      </c>
      <c r="AN83" s="35"/>
      <c r="AO83" s="35">
        <v>0</v>
      </c>
      <c r="AP83" s="35"/>
      <c r="AQ83" s="35">
        <v>0</v>
      </c>
      <c r="AR83" s="35"/>
      <c r="AS83" s="45">
        <f t="shared" si="13"/>
        <v>-4183</v>
      </c>
      <c r="AT83" s="45"/>
      <c r="AU83" s="35">
        <v>0</v>
      </c>
      <c r="AV83" s="35"/>
      <c r="AW83" s="35">
        <v>0</v>
      </c>
      <c r="AX83" s="35"/>
      <c r="AY83" s="35">
        <f t="shared" si="19"/>
        <v>210475</v>
      </c>
      <c r="AZ83" s="35"/>
      <c r="BA83" s="35" t="s">
        <v>43</v>
      </c>
      <c r="BB83" s="55"/>
      <c r="BC83" s="35" t="s">
        <v>111</v>
      </c>
      <c r="BD83" s="35"/>
      <c r="BE83" s="35">
        <v>0</v>
      </c>
      <c r="BF83" s="35"/>
      <c r="BG83" s="35">
        <v>0</v>
      </c>
      <c r="BH83" s="35"/>
      <c r="BI83" s="35">
        <v>0</v>
      </c>
      <c r="BJ83" s="35"/>
      <c r="BK83" s="35">
        <v>0</v>
      </c>
      <c r="BL83" s="35"/>
      <c r="BM83" s="35">
        <f t="shared" si="11"/>
        <v>0</v>
      </c>
      <c r="BN83" s="54" t="s">
        <v>347</v>
      </c>
    </row>
    <row r="84" spans="1:67" ht="13.2" hidden="1">
      <c r="A84" s="35" t="s">
        <v>112</v>
      </c>
      <c r="C84" s="35" t="s">
        <v>76</v>
      </c>
      <c r="D84" s="35"/>
      <c r="E84" s="35">
        <f t="shared" si="17"/>
        <v>0</v>
      </c>
      <c r="F84" s="35"/>
      <c r="G84" s="35"/>
      <c r="H84" s="35"/>
      <c r="I84" s="35"/>
      <c r="J84" s="35"/>
      <c r="K84" s="35">
        <f t="shared" si="18"/>
        <v>0</v>
      </c>
      <c r="L84" s="35"/>
      <c r="M84" s="35">
        <v>0</v>
      </c>
      <c r="N84" s="35"/>
      <c r="O84" s="35"/>
      <c r="P84" s="35"/>
      <c r="Q84" s="35"/>
      <c r="R84" s="35"/>
      <c r="S84" s="35">
        <v>0</v>
      </c>
      <c r="T84" s="35"/>
      <c r="U84" s="35"/>
      <c r="V84" s="35"/>
      <c r="W84" s="35">
        <f t="shared" si="16"/>
        <v>0</v>
      </c>
      <c r="X84" s="35"/>
      <c r="Y84" s="35" t="s">
        <v>112</v>
      </c>
      <c r="Z84" s="55"/>
      <c r="AA84" s="35" t="s">
        <v>76</v>
      </c>
      <c r="AB84" s="35"/>
      <c r="AC84" s="35">
        <v>0</v>
      </c>
      <c r="AD84" s="35"/>
      <c r="AE84" s="35">
        <v>0</v>
      </c>
      <c r="AF84" s="35"/>
      <c r="AG84" s="35">
        <v>0</v>
      </c>
      <c r="AH84" s="35"/>
      <c r="AI84" s="45">
        <f t="shared" si="20"/>
        <v>0</v>
      </c>
      <c r="AJ84" s="45"/>
      <c r="AK84" s="35"/>
      <c r="AL84" s="35"/>
      <c r="AM84" s="35">
        <v>0</v>
      </c>
      <c r="AN84" s="35"/>
      <c r="AO84" s="35">
        <v>0</v>
      </c>
      <c r="AP84" s="35"/>
      <c r="AQ84" s="35">
        <v>0</v>
      </c>
      <c r="AR84" s="35"/>
      <c r="AS84" s="45">
        <f t="shared" si="13"/>
        <v>0</v>
      </c>
      <c r="AT84" s="45"/>
      <c r="AU84" s="35">
        <v>0</v>
      </c>
      <c r="AV84" s="35"/>
      <c r="AW84" s="35">
        <v>0</v>
      </c>
      <c r="AX84" s="35"/>
      <c r="AY84" s="35">
        <f t="shared" si="19"/>
        <v>0</v>
      </c>
      <c r="AZ84" s="35"/>
      <c r="BA84" s="35" t="s">
        <v>112</v>
      </c>
      <c r="BB84" s="55"/>
      <c r="BC84" s="35" t="s">
        <v>76</v>
      </c>
      <c r="BD84" s="35"/>
      <c r="BE84" s="35"/>
      <c r="BF84" s="35"/>
      <c r="BG84" s="35"/>
      <c r="BH84" s="35"/>
      <c r="BI84" s="35"/>
      <c r="BJ84" s="35"/>
      <c r="BK84" s="35"/>
      <c r="BL84" s="35"/>
      <c r="BM84" s="35">
        <f t="shared" si="11"/>
        <v>0</v>
      </c>
      <c r="BN84" s="54" t="s">
        <v>347</v>
      </c>
    </row>
    <row r="85" spans="1:67" ht="13.2" hidden="1">
      <c r="A85" s="35" t="s">
        <v>113</v>
      </c>
      <c r="C85" s="35" t="s">
        <v>43</v>
      </c>
      <c r="D85" s="35"/>
      <c r="E85" s="35">
        <f t="shared" si="17"/>
        <v>0</v>
      </c>
      <c r="F85" s="35"/>
      <c r="G85" s="35"/>
      <c r="H85" s="35"/>
      <c r="I85" s="35"/>
      <c r="J85" s="35"/>
      <c r="K85" s="35">
        <f t="shared" si="18"/>
        <v>0</v>
      </c>
      <c r="L85" s="35"/>
      <c r="M85" s="35">
        <v>0</v>
      </c>
      <c r="N85" s="35"/>
      <c r="O85" s="35"/>
      <c r="P85" s="35"/>
      <c r="Q85" s="35"/>
      <c r="R85" s="35"/>
      <c r="S85" s="35">
        <v>0</v>
      </c>
      <c r="T85" s="35"/>
      <c r="U85" s="35"/>
      <c r="V85" s="35"/>
      <c r="W85" s="35">
        <f t="shared" si="16"/>
        <v>0</v>
      </c>
      <c r="X85" s="35"/>
      <c r="Y85" s="35" t="s">
        <v>113</v>
      </c>
      <c r="Z85" s="55"/>
      <c r="AA85" s="35" t="s">
        <v>43</v>
      </c>
      <c r="AB85" s="35"/>
      <c r="AC85" s="35">
        <v>0</v>
      </c>
      <c r="AD85" s="35"/>
      <c r="AE85" s="35">
        <v>0</v>
      </c>
      <c r="AF85" s="35"/>
      <c r="AG85" s="35">
        <v>0</v>
      </c>
      <c r="AH85" s="35"/>
      <c r="AI85" s="45">
        <v>0</v>
      </c>
      <c r="AJ85" s="45"/>
      <c r="AK85" s="35"/>
      <c r="AL85" s="35"/>
      <c r="AM85" s="35">
        <v>0</v>
      </c>
      <c r="AN85" s="35"/>
      <c r="AO85" s="35">
        <v>0</v>
      </c>
      <c r="AP85" s="35"/>
      <c r="AQ85" s="35">
        <v>0</v>
      </c>
      <c r="AR85" s="35"/>
      <c r="AS85" s="45">
        <f t="shared" si="13"/>
        <v>0</v>
      </c>
      <c r="AT85" s="45"/>
      <c r="AU85" s="35">
        <v>0</v>
      </c>
      <c r="AV85" s="35"/>
      <c r="AW85" s="35">
        <v>0</v>
      </c>
      <c r="AX85" s="35"/>
      <c r="AY85" s="35">
        <f t="shared" si="19"/>
        <v>0</v>
      </c>
      <c r="AZ85" s="35"/>
      <c r="BA85" s="35" t="s">
        <v>113</v>
      </c>
      <c r="BB85" s="55"/>
      <c r="BC85" s="35" t="s">
        <v>43</v>
      </c>
      <c r="BD85" s="35"/>
      <c r="BE85" s="35"/>
      <c r="BF85" s="35"/>
      <c r="BG85" s="35"/>
      <c r="BH85" s="35"/>
      <c r="BI85" s="35"/>
      <c r="BJ85" s="35"/>
      <c r="BK85" s="35"/>
      <c r="BL85" s="35"/>
      <c r="BM85" s="35">
        <f t="shared" si="11"/>
        <v>0</v>
      </c>
      <c r="BN85" s="54" t="s">
        <v>347</v>
      </c>
    </row>
    <row r="86" spans="1:67" ht="13.2" hidden="1">
      <c r="A86" s="44" t="s">
        <v>489</v>
      </c>
      <c r="C86" s="35" t="s">
        <v>57</v>
      </c>
      <c r="D86" s="35"/>
      <c r="E86" s="35">
        <f>I86-G86</f>
        <v>0</v>
      </c>
      <c r="F86" s="35"/>
      <c r="G86" s="35"/>
      <c r="H86" s="35"/>
      <c r="I86" s="35"/>
      <c r="J86" s="35"/>
      <c r="K86" s="35">
        <f>O86-M86</f>
        <v>0</v>
      </c>
      <c r="L86" s="35"/>
      <c r="M86" s="35">
        <v>0</v>
      </c>
      <c r="N86" s="35"/>
      <c r="O86" s="35"/>
      <c r="P86" s="35"/>
      <c r="Q86" s="35"/>
      <c r="R86" s="35"/>
      <c r="S86" s="35">
        <v>0</v>
      </c>
      <c r="T86" s="35"/>
      <c r="U86" s="35"/>
      <c r="V86" s="35"/>
      <c r="W86" s="35">
        <f>SUM(Q86:U86)</f>
        <v>0</v>
      </c>
      <c r="X86" s="35"/>
      <c r="Y86" s="44" t="s">
        <v>489</v>
      </c>
      <c r="Z86" s="55"/>
      <c r="AA86" s="35" t="s">
        <v>57</v>
      </c>
      <c r="AB86" s="35"/>
      <c r="AC86" s="35">
        <v>0</v>
      </c>
      <c r="AD86" s="35"/>
      <c r="AE86" s="35">
        <v>0</v>
      </c>
      <c r="AF86" s="35"/>
      <c r="AG86" s="35">
        <v>0</v>
      </c>
      <c r="AH86" s="35"/>
      <c r="AI86" s="45">
        <f>+AC86-AE86-AG86</f>
        <v>0</v>
      </c>
      <c r="AJ86" s="45"/>
      <c r="AK86" s="35"/>
      <c r="AL86" s="35"/>
      <c r="AM86" s="35">
        <v>0</v>
      </c>
      <c r="AN86" s="35"/>
      <c r="AO86" s="35">
        <v>0</v>
      </c>
      <c r="AP86" s="35"/>
      <c r="AQ86" s="35">
        <v>0</v>
      </c>
      <c r="AR86" s="35"/>
      <c r="AS86" s="45">
        <f>+AI86+AK86+AM86-AO86+AQ86</f>
        <v>0</v>
      </c>
      <c r="AT86" s="45"/>
      <c r="AU86" s="35">
        <v>0</v>
      </c>
      <c r="AV86" s="35"/>
      <c r="AW86" s="35">
        <v>0</v>
      </c>
      <c r="AX86" s="35"/>
      <c r="AY86" s="35">
        <f>+E86-K86</f>
        <v>0</v>
      </c>
      <c r="AZ86" s="35"/>
      <c r="BA86" s="44" t="s">
        <v>489</v>
      </c>
      <c r="BB86" s="55"/>
      <c r="BC86" s="35" t="s">
        <v>57</v>
      </c>
      <c r="BD86" s="35"/>
      <c r="BE86" s="35"/>
      <c r="BF86" s="35"/>
      <c r="BG86" s="35"/>
      <c r="BH86" s="35"/>
      <c r="BI86" s="35"/>
      <c r="BJ86" s="35"/>
      <c r="BK86" s="35"/>
      <c r="BL86" s="35"/>
      <c r="BM86" s="35">
        <f>SUM(BE86:BK86)</f>
        <v>0</v>
      </c>
      <c r="BN86" s="54" t="s">
        <v>347</v>
      </c>
      <c r="BO86" s="55" t="s">
        <v>315</v>
      </c>
    </row>
    <row r="87" spans="1:67" ht="13.2" hidden="1">
      <c r="A87" s="35" t="s">
        <v>114</v>
      </c>
      <c r="C87" s="35" t="s">
        <v>27</v>
      </c>
      <c r="D87" s="35"/>
      <c r="E87" s="35">
        <f t="shared" si="17"/>
        <v>0</v>
      </c>
      <c r="F87" s="35"/>
      <c r="G87" s="35"/>
      <c r="H87" s="35"/>
      <c r="I87" s="35"/>
      <c r="J87" s="35"/>
      <c r="K87" s="35">
        <f t="shared" si="18"/>
        <v>0</v>
      </c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>
        <f t="shared" si="16"/>
        <v>0</v>
      </c>
      <c r="X87" s="35"/>
      <c r="Y87" s="35" t="s">
        <v>114</v>
      </c>
      <c r="Z87" s="55"/>
      <c r="AA87" s="35" t="s">
        <v>27</v>
      </c>
      <c r="AB87" s="35"/>
      <c r="AC87" s="35"/>
      <c r="AD87" s="35"/>
      <c r="AE87" s="35"/>
      <c r="AF87" s="35"/>
      <c r="AG87" s="35"/>
      <c r="AH87" s="35"/>
      <c r="AI87" s="45">
        <f t="shared" ref="AI87:AI103" si="21">+AC87-AE87-AG87</f>
        <v>0</v>
      </c>
      <c r="AJ87" s="45"/>
      <c r="AK87" s="35"/>
      <c r="AL87" s="35"/>
      <c r="AM87" s="35"/>
      <c r="AN87" s="35"/>
      <c r="AO87" s="35"/>
      <c r="AP87" s="35"/>
      <c r="AQ87" s="35"/>
      <c r="AR87" s="35"/>
      <c r="AS87" s="45">
        <f t="shared" si="13"/>
        <v>0</v>
      </c>
      <c r="AT87" s="45"/>
      <c r="AU87" s="35">
        <v>0</v>
      </c>
      <c r="AV87" s="35"/>
      <c r="AW87" s="35">
        <v>0</v>
      </c>
      <c r="AX87" s="35"/>
      <c r="AY87" s="35">
        <f t="shared" si="19"/>
        <v>0</v>
      </c>
      <c r="AZ87" s="35"/>
      <c r="BA87" s="35" t="s">
        <v>114</v>
      </c>
      <c r="BB87" s="55"/>
      <c r="BC87" s="35" t="s">
        <v>27</v>
      </c>
      <c r="BD87" s="35"/>
      <c r="BE87" s="35"/>
      <c r="BF87" s="35"/>
      <c r="BG87" s="35"/>
      <c r="BH87" s="35"/>
      <c r="BI87" s="35"/>
      <c r="BJ87" s="35"/>
      <c r="BK87" s="35"/>
      <c r="BL87" s="35"/>
      <c r="BM87" s="35">
        <f t="shared" si="11"/>
        <v>0</v>
      </c>
      <c r="BN87" s="54" t="s">
        <v>347</v>
      </c>
    </row>
    <row r="88" spans="1:67" ht="13.2" hidden="1">
      <c r="A88" s="35" t="s">
        <v>115</v>
      </c>
      <c r="C88" s="35" t="s">
        <v>19</v>
      </c>
      <c r="D88" s="35"/>
      <c r="E88" s="35">
        <f t="shared" si="17"/>
        <v>0</v>
      </c>
      <c r="F88" s="35"/>
      <c r="G88" s="35"/>
      <c r="H88" s="35"/>
      <c r="I88" s="35"/>
      <c r="J88" s="35"/>
      <c r="K88" s="35">
        <f t="shared" si="18"/>
        <v>0</v>
      </c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>
        <f t="shared" si="16"/>
        <v>0</v>
      </c>
      <c r="X88" s="35"/>
      <c r="Y88" s="35" t="s">
        <v>115</v>
      </c>
      <c r="Z88" s="55"/>
      <c r="AA88" s="35" t="s">
        <v>19</v>
      </c>
      <c r="AB88" s="35"/>
      <c r="AC88" s="35"/>
      <c r="AD88" s="35"/>
      <c r="AE88" s="35"/>
      <c r="AF88" s="35"/>
      <c r="AG88" s="35"/>
      <c r="AH88" s="35"/>
      <c r="AI88" s="45">
        <f t="shared" si="21"/>
        <v>0</v>
      </c>
      <c r="AJ88" s="45"/>
      <c r="AK88" s="35"/>
      <c r="AL88" s="35"/>
      <c r="AM88" s="35"/>
      <c r="AN88" s="35"/>
      <c r="AO88" s="35"/>
      <c r="AP88" s="35"/>
      <c r="AQ88" s="35"/>
      <c r="AR88" s="35"/>
      <c r="AS88" s="45">
        <f t="shared" si="13"/>
        <v>0</v>
      </c>
      <c r="AT88" s="45"/>
      <c r="AU88" s="35">
        <v>0</v>
      </c>
      <c r="AV88" s="35"/>
      <c r="AW88" s="35">
        <v>0</v>
      </c>
      <c r="AX88" s="35"/>
      <c r="AY88" s="35">
        <f t="shared" si="19"/>
        <v>0</v>
      </c>
      <c r="AZ88" s="35"/>
      <c r="BA88" s="35" t="s">
        <v>115</v>
      </c>
      <c r="BB88" s="55"/>
      <c r="BC88" s="35" t="s">
        <v>19</v>
      </c>
      <c r="BD88" s="35"/>
      <c r="BE88" s="35"/>
      <c r="BF88" s="35"/>
      <c r="BG88" s="35"/>
      <c r="BH88" s="35"/>
      <c r="BI88" s="35"/>
      <c r="BJ88" s="35"/>
      <c r="BK88" s="35"/>
      <c r="BL88" s="35"/>
      <c r="BM88" s="35">
        <f t="shared" si="11"/>
        <v>0</v>
      </c>
      <c r="BN88" s="54" t="s">
        <v>347</v>
      </c>
    </row>
    <row r="89" spans="1:67" ht="13.2" hidden="1">
      <c r="A89" s="35" t="s">
        <v>116</v>
      </c>
      <c r="C89" s="35" t="s">
        <v>80</v>
      </c>
      <c r="D89" s="35"/>
      <c r="E89" s="35">
        <f t="shared" si="17"/>
        <v>0</v>
      </c>
      <c r="F89" s="35"/>
      <c r="G89" s="35"/>
      <c r="H89" s="35"/>
      <c r="I89" s="35"/>
      <c r="J89" s="35"/>
      <c r="K89" s="35">
        <f t="shared" si="18"/>
        <v>0</v>
      </c>
      <c r="L89" s="35"/>
      <c r="M89" s="35">
        <v>0</v>
      </c>
      <c r="N89" s="35"/>
      <c r="O89" s="35"/>
      <c r="P89" s="35"/>
      <c r="Q89" s="35"/>
      <c r="R89" s="35"/>
      <c r="S89" s="35">
        <v>0</v>
      </c>
      <c r="T89" s="35"/>
      <c r="U89" s="35"/>
      <c r="V89" s="35"/>
      <c r="W89" s="35">
        <f t="shared" si="16"/>
        <v>0</v>
      </c>
      <c r="X89" s="35"/>
      <c r="Y89" s="35" t="s">
        <v>116</v>
      </c>
      <c r="Z89" s="55"/>
      <c r="AA89" s="35" t="s">
        <v>80</v>
      </c>
      <c r="AB89" s="35"/>
      <c r="AC89" s="35">
        <v>0</v>
      </c>
      <c r="AD89" s="35"/>
      <c r="AE89" s="35">
        <v>0</v>
      </c>
      <c r="AF89" s="35"/>
      <c r="AG89" s="35">
        <v>0</v>
      </c>
      <c r="AH89" s="35"/>
      <c r="AI89" s="45">
        <f t="shared" si="21"/>
        <v>0</v>
      </c>
      <c r="AJ89" s="45"/>
      <c r="AK89" s="35"/>
      <c r="AL89" s="35"/>
      <c r="AM89" s="35">
        <v>0</v>
      </c>
      <c r="AN89" s="35"/>
      <c r="AO89" s="35">
        <v>0</v>
      </c>
      <c r="AP89" s="35"/>
      <c r="AQ89" s="35">
        <v>0</v>
      </c>
      <c r="AR89" s="35"/>
      <c r="AS89" s="45">
        <f t="shared" si="13"/>
        <v>0</v>
      </c>
      <c r="AT89" s="45"/>
      <c r="AU89" s="35">
        <v>0</v>
      </c>
      <c r="AV89" s="35"/>
      <c r="AW89" s="35">
        <v>0</v>
      </c>
      <c r="AX89" s="35"/>
      <c r="AY89" s="35">
        <f t="shared" si="19"/>
        <v>0</v>
      </c>
      <c r="AZ89" s="35"/>
      <c r="BA89" s="35" t="s">
        <v>116</v>
      </c>
      <c r="BB89" s="55"/>
      <c r="BC89" s="35" t="s">
        <v>80</v>
      </c>
      <c r="BD89" s="35"/>
      <c r="BE89" s="35"/>
      <c r="BF89" s="35"/>
      <c r="BG89" s="35"/>
      <c r="BH89" s="35"/>
      <c r="BI89" s="35"/>
      <c r="BJ89" s="35"/>
      <c r="BK89" s="35"/>
      <c r="BL89" s="35"/>
      <c r="BM89" s="35">
        <f t="shared" si="11"/>
        <v>0</v>
      </c>
      <c r="BN89" s="54" t="s">
        <v>347</v>
      </c>
    </row>
    <row r="90" spans="1:67" ht="13.2" hidden="1">
      <c r="A90" s="44" t="s">
        <v>117</v>
      </c>
      <c r="C90" s="35" t="s">
        <v>43</v>
      </c>
      <c r="D90" s="35"/>
      <c r="E90" s="35">
        <f t="shared" si="17"/>
        <v>0</v>
      </c>
      <c r="F90" s="35"/>
      <c r="G90" s="35"/>
      <c r="H90" s="35"/>
      <c r="I90" s="35"/>
      <c r="J90" s="35"/>
      <c r="K90" s="35">
        <f t="shared" si="18"/>
        <v>0</v>
      </c>
      <c r="L90" s="35"/>
      <c r="M90" s="35">
        <v>0</v>
      </c>
      <c r="N90" s="35"/>
      <c r="O90" s="35"/>
      <c r="P90" s="35"/>
      <c r="Q90" s="35"/>
      <c r="R90" s="35"/>
      <c r="S90" s="35">
        <v>0</v>
      </c>
      <c r="T90" s="35"/>
      <c r="U90" s="35"/>
      <c r="V90" s="35"/>
      <c r="W90" s="35">
        <f t="shared" si="16"/>
        <v>0</v>
      </c>
      <c r="X90" s="35"/>
      <c r="Y90" s="44" t="s">
        <v>117</v>
      </c>
      <c r="Z90" s="55"/>
      <c r="AA90" s="35" t="s">
        <v>43</v>
      </c>
      <c r="AB90" s="35"/>
      <c r="AC90" s="35">
        <v>0</v>
      </c>
      <c r="AD90" s="35"/>
      <c r="AE90" s="35">
        <v>0</v>
      </c>
      <c r="AF90" s="35"/>
      <c r="AG90" s="35">
        <v>0</v>
      </c>
      <c r="AH90" s="35"/>
      <c r="AI90" s="45">
        <f t="shared" si="21"/>
        <v>0</v>
      </c>
      <c r="AJ90" s="45"/>
      <c r="AK90" s="35"/>
      <c r="AL90" s="35"/>
      <c r="AM90" s="35">
        <v>0</v>
      </c>
      <c r="AN90" s="35"/>
      <c r="AO90" s="35">
        <v>0</v>
      </c>
      <c r="AP90" s="35"/>
      <c r="AQ90" s="35">
        <v>0</v>
      </c>
      <c r="AR90" s="35"/>
      <c r="AS90" s="45">
        <f t="shared" si="13"/>
        <v>0</v>
      </c>
      <c r="AT90" s="45"/>
      <c r="AU90" s="35">
        <v>0</v>
      </c>
      <c r="AV90" s="35"/>
      <c r="AW90" s="35">
        <v>0</v>
      </c>
      <c r="AX90" s="35"/>
      <c r="AY90" s="35">
        <f t="shared" si="19"/>
        <v>0</v>
      </c>
      <c r="AZ90" s="35"/>
      <c r="BA90" s="44" t="s">
        <v>117</v>
      </c>
      <c r="BB90" s="55"/>
      <c r="BC90" s="35" t="s">
        <v>43</v>
      </c>
      <c r="BD90" s="35"/>
      <c r="BE90" s="35"/>
      <c r="BF90" s="35"/>
      <c r="BG90" s="35"/>
      <c r="BH90" s="35"/>
      <c r="BI90" s="35"/>
      <c r="BJ90" s="35"/>
      <c r="BK90" s="35"/>
      <c r="BL90" s="35"/>
      <c r="BM90" s="35">
        <f t="shared" si="11"/>
        <v>0</v>
      </c>
      <c r="BN90" s="54" t="s">
        <v>347</v>
      </c>
    </row>
    <row r="91" spans="1:67" ht="13.2" hidden="1">
      <c r="A91" s="35" t="s">
        <v>118</v>
      </c>
      <c r="C91" s="35" t="s">
        <v>13</v>
      </c>
      <c r="D91" s="35"/>
      <c r="E91" s="35">
        <f t="shared" si="17"/>
        <v>0</v>
      </c>
      <c r="F91" s="35"/>
      <c r="G91" s="35"/>
      <c r="H91" s="35"/>
      <c r="I91" s="35"/>
      <c r="J91" s="35"/>
      <c r="K91" s="35">
        <f t="shared" si="18"/>
        <v>0</v>
      </c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>
        <f t="shared" si="16"/>
        <v>0</v>
      </c>
      <c r="X91" s="35"/>
      <c r="Y91" s="35" t="s">
        <v>118</v>
      </c>
      <c r="Z91" s="55"/>
      <c r="AA91" s="35" t="s">
        <v>13</v>
      </c>
      <c r="AB91" s="35"/>
      <c r="AC91" s="35"/>
      <c r="AD91" s="35"/>
      <c r="AE91" s="35"/>
      <c r="AF91" s="35"/>
      <c r="AG91" s="35"/>
      <c r="AH91" s="35"/>
      <c r="AI91" s="45">
        <f t="shared" si="21"/>
        <v>0</v>
      </c>
      <c r="AJ91" s="45"/>
      <c r="AK91" s="35"/>
      <c r="AL91" s="35"/>
      <c r="AM91" s="35"/>
      <c r="AN91" s="35"/>
      <c r="AO91" s="35"/>
      <c r="AP91" s="35"/>
      <c r="AQ91" s="35"/>
      <c r="AR91" s="35"/>
      <c r="AS91" s="45">
        <f t="shared" si="13"/>
        <v>0</v>
      </c>
      <c r="AT91" s="45"/>
      <c r="AU91" s="35">
        <v>0</v>
      </c>
      <c r="AV91" s="35"/>
      <c r="AW91" s="35">
        <v>0</v>
      </c>
      <c r="AX91" s="35"/>
      <c r="AY91" s="35">
        <f t="shared" si="19"/>
        <v>0</v>
      </c>
      <c r="AZ91" s="35"/>
      <c r="BA91" s="35" t="s">
        <v>118</v>
      </c>
      <c r="BB91" s="55"/>
      <c r="BC91" s="35" t="s">
        <v>13</v>
      </c>
      <c r="BD91" s="35"/>
      <c r="BE91" s="35"/>
      <c r="BF91" s="35"/>
      <c r="BG91" s="35"/>
      <c r="BH91" s="35"/>
      <c r="BI91" s="35"/>
      <c r="BJ91" s="35"/>
      <c r="BK91" s="35"/>
      <c r="BL91" s="35"/>
      <c r="BM91" s="35">
        <f t="shared" si="11"/>
        <v>0</v>
      </c>
      <c r="BN91" s="54" t="s">
        <v>347</v>
      </c>
    </row>
    <row r="92" spans="1:67" ht="13.2" hidden="1">
      <c r="A92" s="35" t="s">
        <v>120</v>
      </c>
      <c r="C92" s="35" t="s">
        <v>121</v>
      </c>
      <c r="D92" s="35"/>
      <c r="E92" s="35">
        <f t="shared" si="17"/>
        <v>0</v>
      </c>
      <c r="F92" s="35"/>
      <c r="G92" s="35"/>
      <c r="H92" s="35"/>
      <c r="I92" s="35"/>
      <c r="J92" s="35"/>
      <c r="K92" s="35">
        <f t="shared" si="18"/>
        <v>0</v>
      </c>
      <c r="L92" s="35"/>
      <c r="M92" s="35">
        <v>0</v>
      </c>
      <c r="N92" s="35"/>
      <c r="O92" s="35"/>
      <c r="P92" s="35"/>
      <c r="Q92" s="35"/>
      <c r="R92" s="35"/>
      <c r="S92" s="35">
        <v>0</v>
      </c>
      <c r="T92" s="35"/>
      <c r="U92" s="35"/>
      <c r="V92" s="35"/>
      <c r="W92" s="35">
        <f t="shared" si="16"/>
        <v>0</v>
      </c>
      <c r="X92" s="35"/>
      <c r="Y92" s="35" t="s">
        <v>120</v>
      </c>
      <c r="Z92" s="55"/>
      <c r="AA92" s="35" t="s">
        <v>121</v>
      </c>
      <c r="AB92" s="35"/>
      <c r="AC92" s="35">
        <v>0</v>
      </c>
      <c r="AD92" s="35"/>
      <c r="AE92" s="35">
        <v>0</v>
      </c>
      <c r="AF92" s="35"/>
      <c r="AG92" s="35">
        <v>0</v>
      </c>
      <c r="AH92" s="35"/>
      <c r="AI92" s="45">
        <f t="shared" si="21"/>
        <v>0</v>
      </c>
      <c r="AJ92" s="45"/>
      <c r="AK92" s="35"/>
      <c r="AL92" s="35"/>
      <c r="AM92" s="35">
        <v>0</v>
      </c>
      <c r="AN92" s="35"/>
      <c r="AO92" s="35">
        <v>0</v>
      </c>
      <c r="AP92" s="35"/>
      <c r="AQ92" s="35">
        <v>0</v>
      </c>
      <c r="AR92" s="35"/>
      <c r="AS92" s="45">
        <f t="shared" si="13"/>
        <v>0</v>
      </c>
      <c r="AT92" s="45"/>
      <c r="AU92" s="35">
        <v>0</v>
      </c>
      <c r="AV92" s="35"/>
      <c r="AW92" s="35">
        <v>0</v>
      </c>
      <c r="AX92" s="35"/>
      <c r="AY92" s="35">
        <f t="shared" si="19"/>
        <v>0</v>
      </c>
      <c r="AZ92" s="35"/>
      <c r="BA92" s="35" t="s">
        <v>120</v>
      </c>
      <c r="BB92" s="55"/>
      <c r="BC92" s="35" t="s">
        <v>121</v>
      </c>
      <c r="BD92" s="35"/>
      <c r="BE92" s="35"/>
      <c r="BF92" s="35"/>
      <c r="BG92" s="35"/>
      <c r="BH92" s="35"/>
      <c r="BI92" s="35"/>
      <c r="BJ92" s="35"/>
      <c r="BK92" s="35"/>
      <c r="BL92" s="35"/>
      <c r="BM92" s="35">
        <f t="shared" si="11"/>
        <v>0</v>
      </c>
      <c r="BN92" s="54" t="s">
        <v>347</v>
      </c>
      <c r="BO92" s="55" t="s">
        <v>371</v>
      </c>
    </row>
    <row r="93" spans="1:67" ht="13.2" hidden="1">
      <c r="A93" s="35" t="s">
        <v>122</v>
      </c>
      <c r="C93" s="35" t="s">
        <v>43</v>
      </c>
      <c r="D93" s="35"/>
      <c r="E93" s="35">
        <f t="shared" si="17"/>
        <v>0</v>
      </c>
      <c r="F93" s="35"/>
      <c r="G93" s="35"/>
      <c r="H93" s="35"/>
      <c r="I93" s="35"/>
      <c r="J93" s="35"/>
      <c r="K93" s="35">
        <f t="shared" si="18"/>
        <v>0</v>
      </c>
      <c r="L93" s="35"/>
      <c r="M93" s="35">
        <v>0</v>
      </c>
      <c r="N93" s="35"/>
      <c r="O93" s="35"/>
      <c r="P93" s="35"/>
      <c r="Q93" s="35"/>
      <c r="R93" s="35"/>
      <c r="S93" s="35">
        <v>0</v>
      </c>
      <c r="T93" s="35"/>
      <c r="U93" s="35"/>
      <c r="V93" s="35"/>
      <c r="W93" s="35">
        <f t="shared" si="16"/>
        <v>0</v>
      </c>
      <c r="X93" s="35"/>
      <c r="Y93" s="35" t="s">
        <v>122</v>
      </c>
      <c r="Z93" s="55"/>
      <c r="AA93" s="35" t="s">
        <v>43</v>
      </c>
      <c r="AB93" s="35"/>
      <c r="AC93" s="35">
        <v>0</v>
      </c>
      <c r="AD93" s="35"/>
      <c r="AE93" s="35">
        <v>0</v>
      </c>
      <c r="AF93" s="35"/>
      <c r="AG93" s="35">
        <v>0</v>
      </c>
      <c r="AH93" s="35"/>
      <c r="AI93" s="45">
        <f t="shared" si="21"/>
        <v>0</v>
      </c>
      <c r="AJ93" s="45"/>
      <c r="AK93" s="35"/>
      <c r="AL93" s="35"/>
      <c r="AM93" s="35">
        <v>0</v>
      </c>
      <c r="AN93" s="35"/>
      <c r="AO93" s="35">
        <v>0</v>
      </c>
      <c r="AP93" s="35"/>
      <c r="AQ93" s="35">
        <v>0</v>
      </c>
      <c r="AR93" s="35"/>
      <c r="AS93" s="45">
        <f t="shared" si="13"/>
        <v>0</v>
      </c>
      <c r="AT93" s="45"/>
      <c r="AU93" s="35">
        <v>0</v>
      </c>
      <c r="AV93" s="35"/>
      <c r="AW93" s="35">
        <v>0</v>
      </c>
      <c r="AX93" s="35"/>
      <c r="AY93" s="35">
        <f t="shared" si="19"/>
        <v>0</v>
      </c>
      <c r="AZ93" s="35"/>
      <c r="BA93" s="35" t="s">
        <v>122</v>
      </c>
      <c r="BB93" s="55"/>
      <c r="BC93" s="35" t="s">
        <v>43</v>
      </c>
      <c r="BD93" s="35"/>
      <c r="BE93" s="35"/>
      <c r="BF93" s="35"/>
      <c r="BG93" s="35"/>
      <c r="BH93" s="35"/>
      <c r="BI93" s="35"/>
      <c r="BJ93" s="35"/>
      <c r="BK93" s="35"/>
      <c r="BL93" s="35"/>
      <c r="BM93" s="35">
        <f t="shared" si="11"/>
        <v>0</v>
      </c>
      <c r="BN93" s="54" t="s">
        <v>347</v>
      </c>
    </row>
    <row r="94" spans="1:67" ht="13.2" hidden="1">
      <c r="A94" s="44" t="s">
        <v>45</v>
      </c>
      <c r="C94" s="35" t="s">
        <v>103</v>
      </c>
      <c r="D94" s="35"/>
      <c r="E94" s="35">
        <f t="shared" si="17"/>
        <v>0</v>
      </c>
      <c r="F94" s="35"/>
      <c r="G94" s="35"/>
      <c r="H94" s="35"/>
      <c r="I94" s="35"/>
      <c r="J94" s="35"/>
      <c r="K94" s="35">
        <f t="shared" si="18"/>
        <v>0</v>
      </c>
      <c r="L94" s="35"/>
      <c r="M94" s="35">
        <v>0</v>
      </c>
      <c r="N94" s="35"/>
      <c r="O94" s="35"/>
      <c r="P94" s="35"/>
      <c r="Q94" s="35"/>
      <c r="R94" s="35"/>
      <c r="S94" s="35">
        <v>0</v>
      </c>
      <c r="T94" s="35"/>
      <c r="U94" s="35"/>
      <c r="V94" s="35"/>
      <c r="W94" s="35">
        <f t="shared" si="16"/>
        <v>0</v>
      </c>
      <c r="X94" s="35"/>
      <c r="Y94" s="44" t="s">
        <v>45</v>
      </c>
      <c r="Z94" s="55"/>
      <c r="AA94" s="35" t="s">
        <v>103</v>
      </c>
      <c r="AB94" s="35"/>
      <c r="AC94" s="35">
        <v>0</v>
      </c>
      <c r="AD94" s="35"/>
      <c r="AE94" s="35">
        <v>0</v>
      </c>
      <c r="AF94" s="35"/>
      <c r="AG94" s="35">
        <v>0</v>
      </c>
      <c r="AH94" s="35"/>
      <c r="AI94" s="45">
        <f t="shared" si="21"/>
        <v>0</v>
      </c>
      <c r="AJ94" s="45"/>
      <c r="AK94" s="35"/>
      <c r="AL94" s="35"/>
      <c r="AM94" s="35">
        <v>0</v>
      </c>
      <c r="AN94" s="35"/>
      <c r="AO94" s="35">
        <v>0</v>
      </c>
      <c r="AP94" s="35"/>
      <c r="AQ94" s="35">
        <v>0</v>
      </c>
      <c r="AR94" s="35"/>
      <c r="AS94" s="45">
        <f t="shared" si="13"/>
        <v>0</v>
      </c>
      <c r="AT94" s="45"/>
      <c r="AU94" s="35">
        <v>0</v>
      </c>
      <c r="AV94" s="35"/>
      <c r="AW94" s="35">
        <v>0</v>
      </c>
      <c r="AX94" s="35"/>
      <c r="AY94" s="35">
        <f t="shared" si="19"/>
        <v>0</v>
      </c>
      <c r="AZ94" s="35"/>
      <c r="BA94" s="44" t="s">
        <v>45</v>
      </c>
      <c r="BB94" s="55"/>
      <c r="BC94" s="35" t="s">
        <v>103</v>
      </c>
      <c r="BD94" s="35"/>
      <c r="BE94" s="35"/>
      <c r="BF94" s="35"/>
      <c r="BG94" s="35"/>
      <c r="BH94" s="35"/>
      <c r="BI94" s="35"/>
      <c r="BJ94" s="35"/>
      <c r="BK94" s="35"/>
      <c r="BL94" s="35"/>
      <c r="BM94" s="35">
        <f t="shared" si="11"/>
        <v>0</v>
      </c>
      <c r="BN94" s="54" t="s">
        <v>347</v>
      </c>
      <c r="BO94" s="55" t="s">
        <v>315</v>
      </c>
    </row>
    <row r="95" spans="1:67" ht="13.2" hidden="1">
      <c r="A95" s="44" t="s">
        <v>123</v>
      </c>
      <c r="C95" s="35" t="s">
        <v>45</v>
      </c>
      <c r="D95" s="35"/>
      <c r="E95" s="35">
        <f t="shared" si="17"/>
        <v>0</v>
      </c>
      <c r="F95" s="35"/>
      <c r="G95" s="35"/>
      <c r="H95" s="35"/>
      <c r="I95" s="35"/>
      <c r="J95" s="35"/>
      <c r="K95" s="35">
        <f t="shared" si="18"/>
        <v>0</v>
      </c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>
        <f t="shared" si="16"/>
        <v>0</v>
      </c>
      <c r="X95" s="35"/>
      <c r="Y95" s="44" t="s">
        <v>123</v>
      </c>
      <c r="Z95" s="55"/>
      <c r="AA95" s="35" t="s">
        <v>45</v>
      </c>
      <c r="AB95" s="35"/>
      <c r="AC95" s="35"/>
      <c r="AD95" s="35"/>
      <c r="AE95" s="35"/>
      <c r="AF95" s="35"/>
      <c r="AG95" s="35"/>
      <c r="AH95" s="35"/>
      <c r="AI95" s="45">
        <f t="shared" si="21"/>
        <v>0</v>
      </c>
      <c r="AJ95" s="45"/>
      <c r="AK95" s="35"/>
      <c r="AL95" s="35"/>
      <c r="AM95" s="35"/>
      <c r="AN95" s="35"/>
      <c r="AO95" s="35"/>
      <c r="AP95" s="35"/>
      <c r="AQ95" s="35"/>
      <c r="AR95" s="35"/>
      <c r="AS95" s="45">
        <f t="shared" si="13"/>
        <v>0</v>
      </c>
      <c r="AT95" s="45"/>
      <c r="AU95" s="35">
        <v>0</v>
      </c>
      <c r="AV95" s="35"/>
      <c r="AW95" s="35">
        <v>0</v>
      </c>
      <c r="AX95" s="35"/>
      <c r="AY95" s="35">
        <f t="shared" si="19"/>
        <v>0</v>
      </c>
      <c r="AZ95" s="35"/>
      <c r="BA95" s="44" t="s">
        <v>123</v>
      </c>
      <c r="BB95" s="55"/>
      <c r="BC95" s="35" t="s">
        <v>45</v>
      </c>
      <c r="BD95" s="35"/>
      <c r="BE95" s="35"/>
      <c r="BF95" s="35"/>
      <c r="BG95" s="35"/>
      <c r="BH95" s="35"/>
      <c r="BI95" s="35"/>
      <c r="BJ95" s="35"/>
      <c r="BK95" s="35"/>
      <c r="BL95" s="35"/>
      <c r="BM95" s="35">
        <f t="shared" si="11"/>
        <v>0</v>
      </c>
      <c r="BN95" s="54" t="s">
        <v>347</v>
      </c>
    </row>
    <row r="96" spans="1:67" ht="13.2" hidden="1">
      <c r="A96" s="35" t="s">
        <v>124</v>
      </c>
      <c r="C96" s="35" t="s">
        <v>125</v>
      </c>
      <c r="D96" s="35"/>
      <c r="E96" s="35">
        <f t="shared" si="17"/>
        <v>0</v>
      </c>
      <c r="F96" s="35"/>
      <c r="G96" s="35"/>
      <c r="H96" s="35"/>
      <c r="I96" s="35"/>
      <c r="J96" s="35"/>
      <c r="K96" s="35">
        <f t="shared" si="18"/>
        <v>0</v>
      </c>
      <c r="L96" s="35"/>
      <c r="M96" s="35">
        <v>0</v>
      </c>
      <c r="N96" s="35"/>
      <c r="O96" s="35"/>
      <c r="P96" s="35"/>
      <c r="Q96" s="35"/>
      <c r="R96" s="35"/>
      <c r="S96" s="35">
        <v>0</v>
      </c>
      <c r="T96" s="35"/>
      <c r="U96" s="35"/>
      <c r="V96" s="35"/>
      <c r="W96" s="35">
        <f t="shared" si="16"/>
        <v>0</v>
      </c>
      <c r="X96" s="35"/>
      <c r="Y96" s="35" t="s">
        <v>124</v>
      </c>
      <c r="Z96" s="55"/>
      <c r="AA96" s="35" t="s">
        <v>125</v>
      </c>
      <c r="AB96" s="35"/>
      <c r="AC96" s="35">
        <v>0</v>
      </c>
      <c r="AD96" s="35"/>
      <c r="AE96" s="35">
        <v>0</v>
      </c>
      <c r="AF96" s="35"/>
      <c r="AG96" s="35">
        <v>0</v>
      </c>
      <c r="AH96" s="35"/>
      <c r="AI96" s="45">
        <f t="shared" si="21"/>
        <v>0</v>
      </c>
      <c r="AJ96" s="45"/>
      <c r="AK96" s="35"/>
      <c r="AL96" s="35"/>
      <c r="AM96" s="35">
        <v>0</v>
      </c>
      <c r="AN96" s="35"/>
      <c r="AO96" s="35">
        <v>0</v>
      </c>
      <c r="AP96" s="35"/>
      <c r="AQ96" s="35">
        <v>0</v>
      </c>
      <c r="AR96" s="35"/>
      <c r="AS96" s="45">
        <f t="shared" si="13"/>
        <v>0</v>
      </c>
      <c r="AT96" s="45"/>
      <c r="AU96" s="35">
        <v>0</v>
      </c>
      <c r="AV96" s="35"/>
      <c r="AW96" s="35">
        <v>0</v>
      </c>
      <c r="AX96" s="35"/>
      <c r="AY96" s="35">
        <f t="shared" si="19"/>
        <v>0</v>
      </c>
      <c r="AZ96" s="35"/>
      <c r="BA96" s="35" t="s">
        <v>124</v>
      </c>
      <c r="BB96" s="55"/>
      <c r="BC96" s="35" t="s">
        <v>125</v>
      </c>
      <c r="BD96" s="35"/>
      <c r="BE96" s="35"/>
      <c r="BF96" s="35"/>
      <c r="BG96" s="35"/>
      <c r="BH96" s="35"/>
      <c r="BI96" s="35"/>
      <c r="BJ96" s="35"/>
      <c r="BK96" s="35"/>
      <c r="BL96" s="35"/>
      <c r="BM96" s="35">
        <f t="shared" si="11"/>
        <v>0</v>
      </c>
      <c r="BN96" s="54" t="s">
        <v>347</v>
      </c>
    </row>
    <row r="97" spans="1:67" ht="13.2" hidden="1">
      <c r="A97" s="35" t="s">
        <v>126</v>
      </c>
      <c r="C97" s="35" t="s">
        <v>27</v>
      </c>
      <c r="D97" s="35"/>
      <c r="E97" s="35">
        <f t="shared" si="17"/>
        <v>0</v>
      </c>
      <c r="F97" s="35"/>
      <c r="G97" s="35"/>
      <c r="H97" s="35"/>
      <c r="I97" s="35"/>
      <c r="J97" s="35"/>
      <c r="K97" s="35">
        <f t="shared" si="18"/>
        <v>0</v>
      </c>
      <c r="L97" s="35"/>
      <c r="M97" s="35">
        <v>0</v>
      </c>
      <c r="N97" s="35"/>
      <c r="O97" s="35"/>
      <c r="P97" s="35"/>
      <c r="Q97" s="35"/>
      <c r="R97" s="35"/>
      <c r="S97" s="35">
        <v>0</v>
      </c>
      <c r="T97" s="35"/>
      <c r="U97" s="35"/>
      <c r="V97" s="35"/>
      <c r="W97" s="35">
        <f t="shared" si="16"/>
        <v>0</v>
      </c>
      <c r="X97" s="35"/>
      <c r="Y97" s="35" t="s">
        <v>126</v>
      </c>
      <c r="Z97" s="55"/>
      <c r="AA97" s="35" t="s">
        <v>27</v>
      </c>
      <c r="AB97" s="35"/>
      <c r="AC97" s="35">
        <v>0</v>
      </c>
      <c r="AD97" s="35"/>
      <c r="AE97" s="35">
        <v>0</v>
      </c>
      <c r="AF97" s="35"/>
      <c r="AG97" s="35">
        <v>0</v>
      </c>
      <c r="AH97" s="35"/>
      <c r="AI97" s="45">
        <f t="shared" si="21"/>
        <v>0</v>
      </c>
      <c r="AJ97" s="45"/>
      <c r="AK97" s="35"/>
      <c r="AL97" s="35"/>
      <c r="AM97" s="35">
        <v>0</v>
      </c>
      <c r="AN97" s="35"/>
      <c r="AO97" s="35">
        <v>0</v>
      </c>
      <c r="AP97" s="35"/>
      <c r="AQ97" s="35">
        <v>0</v>
      </c>
      <c r="AR97" s="35"/>
      <c r="AS97" s="45">
        <f t="shared" si="13"/>
        <v>0</v>
      </c>
      <c r="AT97" s="45"/>
      <c r="AU97" s="35">
        <v>0</v>
      </c>
      <c r="AV97" s="35"/>
      <c r="AW97" s="35">
        <v>0</v>
      </c>
      <c r="AX97" s="35"/>
      <c r="AY97" s="35">
        <f t="shared" si="19"/>
        <v>0</v>
      </c>
      <c r="AZ97" s="35"/>
      <c r="BA97" s="35" t="s">
        <v>126</v>
      </c>
      <c r="BB97" s="55"/>
      <c r="BC97" s="35" t="s">
        <v>27</v>
      </c>
      <c r="BD97" s="35"/>
      <c r="BE97" s="35"/>
      <c r="BF97" s="35"/>
      <c r="BG97" s="35"/>
      <c r="BH97" s="35"/>
      <c r="BI97" s="35"/>
      <c r="BJ97" s="35"/>
      <c r="BK97" s="35"/>
      <c r="BL97" s="35"/>
      <c r="BM97" s="35">
        <f t="shared" si="11"/>
        <v>0</v>
      </c>
      <c r="BN97" s="54" t="s">
        <v>347</v>
      </c>
    </row>
    <row r="98" spans="1:67" ht="13.2" hidden="1">
      <c r="A98" s="35" t="s">
        <v>127</v>
      </c>
      <c r="C98" s="35" t="s">
        <v>43</v>
      </c>
      <c r="D98" s="35"/>
      <c r="E98" s="35">
        <f t="shared" si="17"/>
        <v>0</v>
      </c>
      <c r="F98" s="35"/>
      <c r="G98" s="35"/>
      <c r="H98" s="35"/>
      <c r="I98" s="35"/>
      <c r="J98" s="35"/>
      <c r="K98" s="35">
        <f t="shared" si="18"/>
        <v>0</v>
      </c>
      <c r="L98" s="35"/>
      <c r="M98" s="35">
        <v>0</v>
      </c>
      <c r="N98" s="35"/>
      <c r="O98" s="35"/>
      <c r="P98" s="35"/>
      <c r="Q98" s="35"/>
      <c r="R98" s="35"/>
      <c r="S98" s="35">
        <v>0</v>
      </c>
      <c r="T98" s="35"/>
      <c r="U98" s="35"/>
      <c r="V98" s="35"/>
      <c r="W98" s="35">
        <f t="shared" si="16"/>
        <v>0</v>
      </c>
      <c r="X98" s="35"/>
      <c r="Y98" s="35" t="s">
        <v>127</v>
      </c>
      <c r="Z98" s="55"/>
      <c r="AA98" s="35" t="s">
        <v>43</v>
      </c>
      <c r="AB98" s="35"/>
      <c r="AC98" s="35">
        <v>0</v>
      </c>
      <c r="AD98" s="35"/>
      <c r="AE98" s="35">
        <v>0</v>
      </c>
      <c r="AF98" s="35"/>
      <c r="AG98" s="35">
        <v>0</v>
      </c>
      <c r="AH98" s="35"/>
      <c r="AI98" s="45">
        <f t="shared" si="21"/>
        <v>0</v>
      </c>
      <c r="AJ98" s="45"/>
      <c r="AK98" s="35"/>
      <c r="AL98" s="35"/>
      <c r="AM98" s="35">
        <v>0</v>
      </c>
      <c r="AN98" s="35"/>
      <c r="AO98" s="35">
        <v>0</v>
      </c>
      <c r="AP98" s="35"/>
      <c r="AQ98" s="35">
        <v>0</v>
      </c>
      <c r="AR98" s="35"/>
      <c r="AS98" s="45">
        <f t="shared" si="13"/>
        <v>0</v>
      </c>
      <c r="AT98" s="45"/>
      <c r="AU98" s="35">
        <v>0</v>
      </c>
      <c r="AV98" s="35"/>
      <c r="AW98" s="35">
        <v>0</v>
      </c>
      <c r="AX98" s="35"/>
      <c r="AY98" s="35">
        <f t="shared" si="19"/>
        <v>0</v>
      </c>
      <c r="AZ98" s="35"/>
      <c r="BA98" s="35" t="s">
        <v>127</v>
      </c>
      <c r="BB98" s="55"/>
      <c r="BC98" s="35" t="s">
        <v>43</v>
      </c>
      <c r="BD98" s="35"/>
      <c r="BE98" s="35"/>
      <c r="BF98" s="35"/>
      <c r="BG98" s="35"/>
      <c r="BH98" s="35"/>
      <c r="BI98" s="35"/>
      <c r="BJ98" s="35"/>
      <c r="BK98" s="35"/>
      <c r="BL98" s="35"/>
      <c r="BM98" s="35">
        <f t="shared" ref="BM98:BM140" si="22">SUM(BE98:BK98)</f>
        <v>0</v>
      </c>
      <c r="BN98" s="54" t="s">
        <v>347</v>
      </c>
    </row>
    <row r="99" spans="1:67" ht="13.2" hidden="1">
      <c r="A99" s="35" t="s">
        <v>128</v>
      </c>
      <c r="C99" s="35" t="s">
        <v>119</v>
      </c>
      <c r="D99" s="35"/>
      <c r="E99" s="35">
        <f t="shared" si="17"/>
        <v>0</v>
      </c>
      <c r="F99" s="35"/>
      <c r="G99" s="35"/>
      <c r="H99" s="35"/>
      <c r="I99" s="35"/>
      <c r="J99" s="35"/>
      <c r="K99" s="35">
        <f t="shared" si="18"/>
        <v>0</v>
      </c>
      <c r="L99" s="35"/>
      <c r="M99" s="35">
        <v>0</v>
      </c>
      <c r="N99" s="35"/>
      <c r="O99" s="35"/>
      <c r="P99" s="35"/>
      <c r="Q99" s="35"/>
      <c r="R99" s="35"/>
      <c r="S99" s="35">
        <v>0</v>
      </c>
      <c r="T99" s="35"/>
      <c r="U99" s="35"/>
      <c r="V99" s="35"/>
      <c r="W99" s="35">
        <f t="shared" si="16"/>
        <v>0</v>
      </c>
      <c r="X99" s="35"/>
      <c r="Y99" s="35" t="s">
        <v>128</v>
      </c>
      <c r="Z99" s="55"/>
      <c r="AA99" s="35" t="s">
        <v>119</v>
      </c>
      <c r="AB99" s="35"/>
      <c r="AC99" s="35">
        <v>0</v>
      </c>
      <c r="AD99" s="35"/>
      <c r="AE99" s="35">
        <v>0</v>
      </c>
      <c r="AF99" s="35"/>
      <c r="AG99" s="35">
        <v>0</v>
      </c>
      <c r="AH99" s="35"/>
      <c r="AI99" s="45">
        <f t="shared" si="21"/>
        <v>0</v>
      </c>
      <c r="AJ99" s="45"/>
      <c r="AK99" s="35"/>
      <c r="AL99" s="35"/>
      <c r="AM99" s="35">
        <v>0</v>
      </c>
      <c r="AN99" s="35"/>
      <c r="AO99" s="35">
        <v>0</v>
      </c>
      <c r="AP99" s="35"/>
      <c r="AQ99" s="35">
        <v>0</v>
      </c>
      <c r="AR99" s="35"/>
      <c r="AS99" s="45">
        <f t="shared" si="13"/>
        <v>0</v>
      </c>
      <c r="AT99" s="45"/>
      <c r="AU99" s="35">
        <v>0</v>
      </c>
      <c r="AV99" s="35"/>
      <c r="AW99" s="35">
        <v>0</v>
      </c>
      <c r="AX99" s="35"/>
      <c r="AY99" s="35">
        <f t="shared" si="19"/>
        <v>0</v>
      </c>
      <c r="AZ99" s="35"/>
      <c r="BA99" s="35" t="s">
        <v>128</v>
      </c>
      <c r="BB99" s="55"/>
      <c r="BC99" s="35" t="s">
        <v>119</v>
      </c>
      <c r="BD99" s="35"/>
      <c r="BE99" s="35"/>
      <c r="BF99" s="35"/>
      <c r="BG99" s="35"/>
      <c r="BH99" s="35"/>
      <c r="BI99" s="35"/>
      <c r="BJ99" s="35"/>
      <c r="BK99" s="35"/>
      <c r="BL99" s="35"/>
      <c r="BM99" s="35">
        <f t="shared" si="22"/>
        <v>0</v>
      </c>
      <c r="BN99" s="54" t="s">
        <v>347</v>
      </c>
    </row>
    <row r="100" spans="1:67" ht="12" hidden="1">
      <c r="A100" s="35" t="s">
        <v>129</v>
      </c>
      <c r="B100" s="55"/>
      <c r="C100" s="35" t="s">
        <v>80</v>
      </c>
      <c r="D100" s="35"/>
      <c r="E100" s="35">
        <f t="shared" si="17"/>
        <v>0</v>
      </c>
      <c r="F100" s="35"/>
      <c r="G100" s="35"/>
      <c r="H100" s="35"/>
      <c r="I100" s="35"/>
      <c r="J100" s="35"/>
      <c r="K100" s="35">
        <f t="shared" si="18"/>
        <v>0</v>
      </c>
      <c r="L100" s="35"/>
      <c r="M100" s="35">
        <v>0</v>
      </c>
      <c r="N100" s="35"/>
      <c r="O100" s="35"/>
      <c r="P100" s="35"/>
      <c r="Q100" s="35"/>
      <c r="R100" s="35"/>
      <c r="S100" s="35">
        <v>0</v>
      </c>
      <c r="T100" s="35"/>
      <c r="U100" s="35"/>
      <c r="V100" s="35"/>
      <c r="W100" s="35">
        <f t="shared" si="16"/>
        <v>0</v>
      </c>
      <c r="X100" s="35"/>
      <c r="Y100" s="35" t="s">
        <v>129</v>
      </c>
      <c r="Z100" s="55"/>
      <c r="AA100" s="35" t="s">
        <v>80</v>
      </c>
      <c r="AB100" s="35"/>
      <c r="AC100" s="35">
        <v>0</v>
      </c>
      <c r="AD100" s="35"/>
      <c r="AE100" s="35">
        <v>0</v>
      </c>
      <c r="AF100" s="35"/>
      <c r="AG100" s="35">
        <v>0</v>
      </c>
      <c r="AH100" s="35"/>
      <c r="AI100" s="45">
        <f t="shared" si="21"/>
        <v>0</v>
      </c>
      <c r="AJ100" s="45"/>
      <c r="AK100" s="35"/>
      <c r="AL100" s="35"/>
      <c r="AM100" s="35">
        <v>0</v>
      </c>
      <c r="AN100" s="35"/>
      <c r="AO100" s="35">
        <v>0</v>
      </c>
      <c r="AP100" s="35"/>
      <c r="AQ100" s="35">
        <v>0</v>
      </c>
      <c r="AR100" s="35"/>
      <c r="AS100" s="45">
        <f t="shared" si="13"/>
        <v>0</v>
      </c>
      <c r="AT100" s="45"/>
      <c r="AU100" s="35">
        <v>0</v>
      </c>
      <c r="AV100" s="35"/>
      <c r="AW100" s="35">
        <v>0</v>
      </c>
      <c r="AX100" s="35"/>
      <c r="AY100" s="35">
        <f t="shared" si="19"/>
        <v>0</v>
      </c>
      <c r="AZ100" s="35"/>
      <c r="BA100" s="35" t="s">
        <v>129</v>
      </c>
      <c r="BB100" s="55"/>
      <c r="BC100" s="35" t="s">
        <v>80</v>
      </c>
      <c r="BD100" s="35"/>
      <c r="BE100" s="35"/>
      <c r="BF100" s="35"/>
      <c r="BG100" s="35"/>
      <c r="BH100" s="35"/>
      <c r="BI100" s="35"/>
      <c r="BJ100" s="35"/>
      <c r="BK100" s="35"/>
      <c r="BL100" s="35"/>
      <c r="BM100" s="35">
        <f t="shared" si="22"/>
        <v>0</v>
      </c>
      <c r="BN100" s="54" t="s">
        <v>347</v>
      </c>
    </row>
    <row r="101" spans="1:67" ht="13.2" hidden="1">
      <c r="A101" s="35" t="s">
        <v>130</v>
      </c>
      <c r="C101" s="35" t="s">
        <v>66</v>
      </c>
      <c r="D101" s="35"/>
      <c r="E101" s="35">
        <f t="shared" si="17"/>
        <v>0</v>
      </c>
      <c r="F101" s="35"/>
      <c r="G101" s="35"/>
      <c r="H101" s="35"/>
      <c r="I101" s="35"/>
      <c r="J101" s="35"/>
      <c r="K101" s="35">
        <f t="shared" si="18"/>
        <v>0</v>
      </c>
      <c r="L101" s="35"/>
      <c r="M101" s="35">
        <v>0</v>
      </c>
      <c r="N101" s="35"/>
      <c r="O101" s="35"/>
      <c r="P101" s="35"/>
      <c r="Q101" s="35"/>
      <c r="R101" s="35"/>
      <c r="S101" s="35">
        <v>0</v>
      </c>
      <c r="T101" s="35"/>
      <c r="U101" s="35"/>
      <c r="V101" s="35"/>
      <c r="W101" s="35">
        <f t="shared" si="16"/>
        <v>0</v>
      </c>
      <c r="X101" s="35"/>
      <c r="Y101" s="35" t="s">
        <v>130</v>
      </c>
      <c r="Z101" s="55"/>
      <c r="AA101" s="35" t="s">
        <v>66</v>
      </c>
      <c r="AB101" s="35"/>
      <c r="AC101" s="35">
        <v>0</v>
      </c>
      <c r="AD101" s="35"/>
      <c r="AE101" s="35">
        <v>0</v>
      </c>
      <c r="AF101" s="35"/>
      <c r="AG101" s="35">
        <v>0</v>
      </c>
      <c r="AH101" s="35"/>
      <c r="AI101" s="45">
        <f t="shared" si="21"/>
        <v>0</v>
      </c>
      <c r="AJ101" s="45"/>
      <c r="AK101" s="35"/>
      <c r="AL101" s="35"/>
      <c r="AM101" s="35">
        <v>0</v>
      </c>
      <c r="AN101" s="35"/>
      <c r="AO101" s="35">
        <v>0</v>
      </c>
      <c r="AP101" s="35"/>
      <c r="AQ101" s="35">
        <v>0</v>
      </c>
      <c r="AR101" s="35"/>
      <c r="AS101" s="45">
        <f t="shared" si="13"/>
        <v>0</v>
      </c>
      <c r="AT101" s="45"/>
      <c r="AU101" s="35">
        <v>0</v>
      </c>
      <c r="AV101" s="35"/>
      <c r="AW101" s="35">
        <v>0</v>
      </c>
      <c r="AX101" s="35"/>
      <c r="AY101" s="35">
        <f t="shared" si="19"/>
        <v>0</v>
      </c>
      <c r="AZ101" s="35"/>
      <c r="BA101" s="35" t="s">
        <v>130</v>
      </c>
      <c r="BB101" s="55"/>
      <c r="BC101" s="35" t="s">
        <v>66</v>
      </c>
      <c r="BD101" s="35"/>
      <c r="BE101" s="35"/>
      <c r="BF101" s="35"/>
      <c r="BG101" s="35"/>
      <c r="BH101" s="35"/>
      <c r="BI101" s="35"/>
      <c r="BJ101" s="35"/>
      <c r="BK101" s="35"/>
      <c r="BL101" s="35"/>
      <c r="BM101" s="35">
        <f t="shared" si="22"/>
        <v>0</v>
      </c>
      <c r="BN101" s="54" t="s">
        <v>347</v>
      </c>
    </row>
    <row r="102" spans="1:67" ht="13.2" hidden="1">
      <c r="A102" s="35" t="s">
        <v>131</v>
      </c>
      <c r="C102" s="35" t="s">
        <v>13</v>
      </c>
      <c r="D102" s="35"/>
      <c r="E102" s="35">
        <f t="shared" si="17"/>
        <v>0</v>
      </c>
      <c r="F102" s="35"/>
      <c r="G102" s="35"/>
      <c r="H102" s="35"/>
      <c r="I102" s="35"/>
      <c r="J102" s="35"/>
      <c r="K102" s="35">
        <f t="shared" si="18"/>
        <v>0</v>
      </c>
      <c r="L102" s="35"/>
      <c r="M102" s="35">
        <v>0</v>
      </c>
      <c r="N102" s="35"/>
      <c r="O102" s="35"/>
      <c r="P102" s="35"/>
      <c r="Q102" s="35"/>
      <c r="R102" s="35"/>
      <c r="S102" s="35">
        <v>0</v>
      </c>
      <c r="T102" s="35"/>
      <c r="U102" s="35"/>
      <c r="V102" s="35"/>
      <c r="W102" s="35">
        <f t="shared" si="16"/>
        <v>0</v>
      </c>
      <c r="X102" s="35"/>
      <c r="Y102" s="35" t="s">
        <v>131</v>
      </c>
      <c r="Z102" s="55"/>
      <c r="AA102" s="35" t="s">
        <v>13</v>
      </c>
      <c r="AB102" s="35"/>
      <c r="AC102" s="35">
        <v>0</v>
      </c>
      <c r="AD102" s="35"/>
      <c r="AE102" s="35">
        <v>0</v>
      </c>
      <c r="AF102" s="35"/>
      <c r="AG102" s="35">
        <v>0</v>
      </c>
      <c r="AH102" s="35"/>
      <c r="AI102" s="45">
        <f t="shared" si="21"/>
        <v>0</v>
      </c>
      <c r="AJ102" s="45"/>
      <c r="AK102" s="35"/>
      <c r="AL102" s="35"/>
      <c r="AM102" s="35">
        <v>0</v>
      </c>
      <c r="AN102" s="35"/>
      <c r="AO102" s="35">
        <v>0</v>
      </c>
      <c r="AP102" s="35"/>
      <c r="AQ102" s="35">
        <v>0</v>
      </c>
      <c r="AR102" s="35"/>
      <c r="AS102" s="45">
        <f t="shared" ref="AS102:AS107" si="23">+AI102+AK102+AM102-AO102+AQ102</f>
        <v>0</v>
      </c>
      <c r="AT102" s="45"/>
      <c r="AU102" s="35">
        <v>0</v>
      </c>
      <c r="AV102" s="35"/>
      <c r="AW102" s="35">
        <v>0</v>
      </c>
      <c r="AX102" s="35"/>
      <c r="AY102" s="35">
        <f t="shared" si="19"/>
        <v>0</v>
      </c>
      <c r="AZ102" s="35"/>
      <c r="BA102" s="35" t="s">
        <v>131</v>
      </c>
      <c r="BB102" s="55"/>
      <c r="BC102" s="35" t="s">
        <v>13</v>
      </c>
      <c r="BD102" s="35"/>
      <c r="BE102" s="35"/>
      <c r="BF102" s="35"/>
      <c r="BG102" s="35"/>
      <c r="BH102" s="35"/>
      <c r="BI102" s="35"/>
      <c r="BJ102" s="35"/>
      <c r="BK102" s="35"/>
      <c r="BL102" s="35"/>
      <c r="BM102" s="35">
        <f t="shared" si="22"/>
        <v>0</v>
      </c>
      <c r="BN102" s="54" t="s">
        <v>347</v>
      </c>
    </row>
    <row r="103" spans="1:67" ht="13.2" hidden="1">
      <c r="A103" s="35" t="s">
        <v>38</v>
      </c>
      <c r="C103" s="35" t="s">
        <v>132</v>
      </c>
      <c r="D103" s="35"/>
      <c r="E103" s="35">
        <f t="shared" si="17"/>
        <v>0</v>
      </c>
      <c r="F103" s="35"/>
      <c r="G103" s="35"/>
      <c r="H103" s="35"/>
      <c r="I103" s="35"/>
      <c r="J103" s="35"/>
      <c r="K103" s="35">
        <f t="shared" si="18"/>
        <v>0</v>
      </c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>
        <f t="shared" si="16"/>
        <v>0</v>
      </c>
      <c r="X103" s="35"/>
      <c r="Y103" s="35" t="s">
        <v>38</v>
      </c>
      <c r="Z103" s="55"/>
      <c r="AA103" s="35" t="s">
        <v>132</v>
      </c>
      <c r="AB103" s="35"/>
      <c r="AC103" s="35"/>
      <c r="AD103" s="35"/>
      <c r="AE103" s="35"/>
      <c r="AF103" s="35"/>
      <c r="AG103" s="35"/>
      <c r="AH103" s="35"/>
      <c r="AI103" s="45">
        <f t="shared" si="21"/>
        <v>0</v>
      </c>
      <c r="AJ103" s="45"/>
      <c r="AK103" s="35"/>
      <c r="AL103" s="35"/>
      <c r="AM103" s="35"/>
      <c r="AN103" s="35"/>
      <c r="AO103" s="35"/>
      <c r="AP103" s="35"/>
      <c r="AQ103" s="35"/>
      <c r="AR103" s="35"/>
      <c r="AS103" s="45">
        <f t="shared" si="23"/>
        <v>0</v>
      </c>
      <c r="AT103" s="45"/>
      <c r="AU103" s="35">
        <v>0</v>
      </c>
      <c r="AV103" s="35"/>
      <c r="AW103" s="35">
        <v>0</v>
      </c>
      <c r="AX103" s="35"/>
      <c r="AY103" s="35">
        <f t="shared" si="19"/>
        <v>0</v>
      </c>
      <c r="AZ103" s="35"/>
      <c r="BA103" s="35" t="s">
        <v>38</v>
      </c>
      <c r="BB103" s="55"/>
      <c r="BC103" s="35" t="s">
        <v>132</v>
      </c>
      <c r="BD103" s="35"/>
      <c r="BE103" s="35"/>
      <c r="BF103" s="35"/>
      <c r="BG103" s="35"/>
      <c r="BH103" s="35"/>
      <c r="BI103" s="35"/>
      <c r="BJ103" s="35"/>
      <c r="BK103" s="35"/>
      <c r="BL103" s="35"/>
      <c r="BM103" s="35">
        <f t="shared" si="22"/>
        <v>0</v>
      </c>
      <c r="BN103" s="54" t="s">
        <v>347</v>
      </c>
    </row>
    <row r="104" spans="1:67" ht="13.2" hidden="1">
      <c r="A104" s="35" t="s">
        <v>133</v>
      </c>
      <c r="C104" s="35" t="s">
        <v>27</v>
      </c>
      <c r="D104" s="35"/>
      <c r="E104" s="35">
        <f t="shared" si="17"/>
        <v>0</v>
      </c>
      <c r="F104" s="35"/>
      <c r="G104" s="35"/>
      <c r="H104" s="35"/>
      <c r="I104" s="35"/>
      <c r="J104" s="35"/>
      <c r="K104" s="35">
        <f t="shared" si="18"/>
        <v>0</v>
      </c>
      <c r="L104" s="35"/>
      <c r="M104" s="35">
        <v>0</v>
      </c>
      <c r="N104" s="35"/>
      <c r="O104" s="35"/>
      <c r="P104" s="35"/>
      <c r="Q104" s="35"/>
      <c r="R104" s="35"/>
      <c r="S104" s="35">
        <v>0</v>
      </c>
      <c r="T104" s="35"/>
      <c r="U104" s="35"/>
      <c r="V104" s="35"/>
      <c r="W104" s="35">
        <f t="shared" si="16"/>
        <v>0</v>
      </c>
      <c r="X104" s="35"/>
      <c r="Y104" s="35" t="s">
        <v>133</v>
      </c>
      <c r="Z104" s="55"/>
      <c r="AA104" s="35" t="s">
        <v>27</v>
      </c>
      <c r="AB104" s="35"/>
      <c r="AC104" s="35">
        <v>0</v>
      </c>
      <c r="AD104" s="35"/>
      <c r="AE104" s="35">
        <v>0</v>
      </c>
      <c r="AF104" s="35"/>
      <c r="AG104" s="35">
        <v>0</v>
      </c>
      <c r="AH104" s="35"/>
      <c r="AI104" s="45">
        <v>0</v>
      </c>
      <c r="AJ104" s="45"/>
      <c r="AK104" s="35"/>
      <c r="AL104" s="35"/>
      <c r="AM104" s="35">
        <v>0</v>
      </c>
      <c r="AN104" s="35"/>
      <c r="AO104" s="35">
        <v>0</v>
      </c>
      <c r="AP104" s="35"/>
      <c r="AQ104" s="35">
        <v>0</v>
      </c>
      <c r="AR104" s="35"/>
      <c r="AS104" s="45">
        <f t="shared" si="23"/>
        <v>0</v>
      </c>
      <c r="AT104" s="45"/>
      <c r="AU104" s="35">
        <v>0</v>
      </c>
      <c r="AV104" s="35"/>
      <c r="AW104" s="35">
        <v>0</v>
      </c>
      <c r="AX104" s="35"/>
      <c r="AY104" s="35">
        <f t="shared" si="19"/>
        <v>0</v>
      </c>
      <c r="AZ104" s="35"/>
      <c r="BA104" s="35" t="s">
        <v>133</v>
      </c>
      <c r="BB104" s="55"/>
      <c r="BC104" s="35" t="s">
        <v>27</v>
      </c>
      <c r="BD104" s="35"/>
      <c r="BE104" s="35"/>
      <c r="BF104" s="35"/>
      <c r="BG104" s="35"/>
      <c r="BH104" s="35"/>
      <c r="BI104" s="35"/>
      <c r="BJ104" s="35"/>
      <c r="BK104" s="35"/>
      <c r="BL104" s="35"/>
      <c r="BM104" s="35">
        <f t="shared" si="22"/>
        <v>0</v>
      </c>
      <c r="BN104" s="54" t="s">
        <v>347</v>
      </c>
    </row>
    <row r="105" spans="1:67" ht="13.2" hidden="1">
      <c r="A105" s="35" t="s">
        <v>136</v>
      </c>
      <c r="C105" s="35" t="s">
        <v>136</v>
      </c>
      <c r="D105" s="35"/>
      <c r="E105" s="35">
        <f t="shared" si="17"/>
        <v>0</v>
      </c>
      <c r="F105" s="35"/>
      <c r="G105" s="35"/>
      <c r="H105" s="35"/>
      <c r="I105" s="35"/>
      <c r="J105" s="35"/>
      <c r="K105" s="35">
        <f t="shared" si="18"/>
        <v>0</v>
      </c>
      <c r="L105" s="35"/>
      <c r="M105" s="35">
        <v>0</v>
      </c>
      <c r="N105" s="35"/>
      <c r="O105" s="35"/>
      <c r="P105" s="35"/>
      <c r="Q105" s="35"/>
      <c r="R105" s="35"/>
      <c r="S105" s="35">
        <v>0</v>
      </c>
      <c r="T105" s="35"/>
      <c r="U105" s="35"/>
      <c r="V105" s="35"/>
      <c r="W105" s="35">
        <f t="shared" si="16"/>
        <v>0</v>
      </c>
      <c r="X105" s="35"/>
      <c r="Y105" s="35" t="s">
        <v>136</v>
      </c>
      <c r="Z105" s="55"/>
      <c r="AA105" s="35" t="s">
        <v>136</v>
      </c>
      <c r="AB105" s="35"/>
      <c r="AC105" s="35">
        <v>0</v>
      </c>
      <c r="AD105" s="35"/>
      <c r="AE105" s="35">
        <v>0</v>
      </c>
      <c r="AF105" s="35"/>
      <c r="AG105" s="35">
        <v>0</v>
      </c>
      <c r="AH105" s="35"/>
      <c r="AI105" s="45">
        <f>+AC105-AE105-AG105</f>
        <v>0</v>
      </c>
      <c r="AJ105" s="45"/>
      <c r="AK105" s="35"/>
      <c r="AL105" s="35"/>
      <c r="AM105" s="35">
        <v>0</v>
      </c>
      <c r="AN105" s="35"/>
      <c r="AO105" s="35">
        <v>0</v>
      </c>
      <c r="AP105" s="35"/>
      <c r="AQ105" s="35">
        <v>0</v>
      </c>
      <c r="AR105" s="35"/>
      <c r="AS105" s="45">
        <f t="shared" si="23"/>
        <v>0</v>
      </c>
      <c r="AT105" s="45"/>
      <c r="AU105" s="35">
        <v>0</v>
      </c>
      <c r="AV105" s="35"/>
      <c r="AW105" s="35">
        <v>0</v>
      </c>
      <c r="AX105" s="35"/>
      <c r="AY105" s="35">
        <f t="shared" si="19"/>
        <v>0</v>
      </c>
      <c r="AZ105" s="35"/>
      <c r="BA105" s="35" t="s">
        <v>136</v>
      </c>
      <c r="BB105" s="55"/>
      <c r="BC105" s="35" t="s">
        <v>136</v>
      </c>
      <c r="BD105" s="35"/>
      <c r="BE105" s="35"/>
      <c r="BF105" s="35"/>
      <c r="BG105" s="35"/>
      <c r="BH105" s="35"/>
      <c r="BI105" s="35"/>
      <c r="BJ105" s="35"/>
      <c r="BK105" s="35"/>
      <c r="BL105" s="35"/>
      <c r="BM105" s="35">
        <f t="shared" si="22"/>
        <v>0</v>
      </c>
      <c r="BN105" s="54" t="s">
        <v>347</v>
      </c>
    </row>
    <row r="106" spans="1:67" ht="13.2">
      <c r="A106" s="35" t="s">
        <v>137</v>
      </c>
      <c r="C106" s="35" t="s">
        <v>22</v>
      </c>
      <c r="D106" s="35"/>
      <c r="E106" s="35">
        <f t="shared" si="17"/>
        <v>229243</v>
      </c>
      <c r="F106" s="35"/>
      <c r="G106" s="35">
        <v>1546</v>
      </c>
      <c r="H106" s="35"/>
      <c r="I106" s="35">
        <v>230789</v>
      </c>
      <c r="J106" s="35"/>
      <c r="K106" s="35">
        <f t="shared" si="18"/>
        <v>513189</v>
      </c>
      <c r="L106" s="35"/>
      <c r="M106" s="35">
        <v>521</v>
      </c>
      <c r="N106" s="35"/>
      <c r="O106" s="35">
        <v>513710</v>
      </c>
      <c r="P106" s="35"/>
      <c r="Q106" s="35">
        <v>1546</v>
      </c>
      <c r="R106" s="35"/>
      <c r="S106" s="35">
        <v>0</v>
      </c>
      <c r="T106" s="35"/>
      <c r="U106" s="35">
        <v>-284467</v>
      </c>
      <c r="V106" s="35"/>
      <c r="W106" s="35">
        <f t="shared" ref="W106:W137" si="24">SUM(Q106:U106)</f>
        <v>-282921</v>
      </c>
      <c r="X106" s="35"/>
      <c r="Y106" s="35" t="s">
        <v>137</v>
      </c>
      <c r="Z106" s="55"/>
      <c r="AA106" s="35" t="s">
        <v>22</v>
      </c>
      <c r="AB106" s="35"/>
      <c r="AC106" s="35">
        <v>377750</v>
      </c>
      <c r="AD106" s="35"/>
      <c r="AE106" s="35">
        <f>431628-436</f>
        <v>431192</v>
      </c>
      <c r="AF106" s="35"/>
      <c r="AG106" s="35">
        <v>436</v>
      </c>
      <c r="AH106" s="35"/>
      <c r="AI106" s="45">
        <f>+AC106-AE106-AG106</f>
        <v>-53878</v>
      </c>
      <c r="AJ106" s="45"/>
      <c r="AK106" s="35">
        <v>12500</v>
      </c>
      <c r="AL106" s="35"/>
      <c r="AM106" s="35">
        <v>0</v>
      </c>
      <c r="AN106" s="35"/>
      <c r="AO106" s="35">
        <v>0</v>
      </c>
      <c r="AP106" s="35"/>
      <c r="AQ106" s="35">
        <v>0</v>
      </c>
      <c r="AR106" s="35"/>
      <c r="AS106" s="45">
        <f t="shared" si="23"/>
        <v>-41378</v>
      </c>
      <c r="AT106" s="45"/>
      <c r="AU106" s="35">
        <v>0</v>
      </c>
      <c r="AV106" s="35"/>
      <c r="AW106" s="35">
        <v>0</v>
      </c>
      <c r="AX106" s="35"/>
      <c r="AY106" s="35">
        <f t="shared" si="19"/>
        <v>-283946</v>
      </c>
      <c r="AZ106" s="35"/>
      <c r="BA106" s="35" t="s">
        <v>137</v>
      </c>
      <c r="BB106" s="55"/>
      <c r="BC106" s="35" t="s">
        <v>22</v>
      </c>
      <c r="BD106" s="35"/>
      <c r="BE106" s="35">
        <v>0</v>
      </c>
      <c r="BF106" s="35"/>
      <c r="BG106" s="35">
        <v>0</v>
      </c>
      <c r="BH106" s="35"/>
      <c r="BI106" s="35">
        <v>0</v>
      </c>
      <c r="BJ106" s="35"/>
      <c r="BK106" s="35">
        <v>0</v>
      </c>
      <c r="BL106" s="35"/>
      <c r="BM106" s="35">
        <f t="shared" si="22"/>
        <v>0</v>
      </c>
      <c r="BN106" s="54" t="s">
        <v>347</v>
      </c>
    </row>
    <row r="107" spans="1:67" ht="13.2" hidden="1">
      <c r="A107" s="35" t="s">
        <v>138</v>
      </c>
      <c r="C107" s="35" t="s">
        <v>139</v>
      </c>
      <c r="D107" s="35"/>
      <c r="E107" s="35">
        <f t="shared" si="17"/>
        <v>0</v>
      </c>
      <c r="F107" s="35"/>
      <c r="G107" s="35"/>
      <c r="H107" s="35"/>
      <c r="I107" s="35"/>
      <c r="J107" s="35"/>
      <c r="K107" s="35">
        <f t="shared" si="18"/>
        <v>0</v>
      </c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>
        <f t="shared" si="24"/>
        <v>0</v>
      </c>
      <c r="X107" s="35"/>
      <c r="Y107" s="35" t="s">
        <v>138</v>
      </c>
      <c r="Z107" s="55"/>
      <c r="AA107" s="35" t="s">
        <v>139</v>
      </c>
      <c r="AB107" s="35"/>
      <c r="AC107" s="35"/>
      <c r="AD107" s="35"/>
      <c r="AE107" s="35"/>
      <c r="AF107" s="35"/>
      <c r="AG107" s="35"/>
      <c r="AH107" s="35"/>
      <c r="AI107" s="45">
        <f t="shared" ref="AI107:AI116" si="25">+AC107-AE107-AG107</f>
        <v>0</v>
      </c>
      <c r="AJ107" s="45"/>
      <c r="AK107" s="35"/>
      <c r="AL107" s="35"/>
      <c r="AM107" s="35"/>
      <c r="AN107" s="35"/>
      <c r="AO107" s="35"/>
      <c r="AP107" s="35"/>
      <c r="AQ107" s="35"/>
      <c r="AR107" s="35"/>
      <c r="AS107" s="45">
        <f t="shared" si="23"/>
        <v>0</v>
      </c>
      <c r="AT107" s="45"/>
      <c r="AU107" s="35">
        <v>0</v>
      </c>
      <c r="AV107" s="35"/>
      <c r="AW107" s="35">
        <v>0</v>
      </c>
      <c r="AX107" s="35"/>
      <c r="AY107" s="35">
        <f t="shared" si="19"/>
        <v>0</v>
      </c>
      <c r="AZ107" s="35"/>
      <c r="BA107" s="35" t="s">
        <v>138</v>
      </c>
      <c r="BB107" s="55"/>
      <c r="BC107" s="35" t="s">
        <v>139</v>
      </c>
      <c r="BD107" s="35"/>
      <c r="BE107" s="35"/>
      <c r="BF107" s="35"/>
      <c r="BG107" s="35"/>
      <c r="BH107" s="35"/>
      <c r="BI107" s="35"/>
      <c r="BJ107" s="35"/>
      <c r="BK107" s="35"/>
      <c r="BL107" s="35"/>
      <c r="BM107" s="35">
        <f t="shared" si="22"/>
        <v>0</v>
      </c>
      <c r="BN107" s="54" t="s">
        <v>347</v>
      </c>
    </row>
    <row r="108" spans="1:67" ht="13.2" hidden="1">
      <c r="A108" s="35" t="s">
        <v>140</v>
      </c>
      <c r="C108" s="35" t="s">
        <v>66</v>
      </c>
      <c r="D108" s="35"/>
      <c r="E108" s="35">
        <f t="shared" si="17"/>
        <v>0</v>
      </c>
      <c r="F108" s="35"/>
      <c r="G108" s="35"/>
      <c r="H108" s="35"/>
      <c r="I108" s="35"/>
      <c r="J108" s="35"/>
      <c r="K108" s="35">
        <f t="shared" si="18"/>
        <v>0</v>
      </c>
      <c r="L108" s="35"/>
      <c r="M108" s="35">
        <v>0</v>
      </c>
      <c r="N108" s="35"/>
      <c r="O108" s="35"/>
      <c r="P108" s="35"/>
      <c r="Q108" s="35"/>
      <c r="R108" s="35"/>
      <c r="S108" s="35">
        <v>0</v>
      </c>
      <c r="T108" s="35"/>
      <c r="U108" s="35"/>
      <c r="V108" s="35"/>
      <c r="W108" s="35">
        <f t="shared" si="24"/>
        <v>0</v>
      </c>
      <c r="X108" s="35"/>
      <c r="Y108" s="35" t="s">
        <v>140</v>
      </c>
      <c r="Z108" s="55"/>
      <c r="AA108" s="35" t="s">
        <v>66</v>
      </c>
      <c r="AB108" s="35"/>
      <c r="AC108" s="35">
        <v>0</v>
      </c>
      <c r="AD108" s="35"/>
      <c r="AE108" s="35">
        <v>0</v>
      </c>
      <c r="AF108" s="35"/>
      <c r="AG108" s="35">
        <v>0</v>
      </c>
      <c r="AH108" s="35"/>
      <c r="AI108" s="45">
        <f t="shared" si="25"/>
        <v>0</v>
      </c>
      <c r="AJ108" s="45"/>
      <c r="AK108" s="35"/>
      <c r="AL108" s="35"/>
      <c r="AM108" s="35">
        <v>0</v>
      </c>
      <c r="AN108" s="35"/>
      <c r="AO108" s="35">
        <v>0</v>
      </c>
      <c r="AP108" s="35"/>
      <c r="AQ108" s="35">
        <v>0</v>
      </c>
      <c r="AR108" s="35"/>
      <c r="AS108" s="45">
        <v>0</v>
      </c>
      <c r="AT108" s="45"/>
      <c r="AU108" s="35">
        <v>0</v>
      </c>
      <c r="AV108" s="35"/>
      <c r="AW108" s="35">
        <v>0</v>
      </c>
      <c r="AX108" s="35"/>
      <c r="AY108" s="35">
        <v>0</v>
      </c>
      <c r="AZ108" s="35"/>
      <c r="BA108" s="35" t="s">
        <v>140</v>
      </c>
      <c r="BB108" s="55"/>
      <c r="BC108" s="35" t="s">
        <v>66</v>
      </c>
      <c r="BD108" s="35"/>
      <c r="BE108" s="35"/>
      <c r="BF108" s="35"/>
      <c r="BG108" s="35"/>
      <c r="BH108" s="35"/>
      <c r="BI108" s="35"/>
      <c r="BJ108" s="35"/>
      <c r="BK108" s="35"/>
      <c r="BL108" s="35"/>
      <c r="BM108" s="35">
        <f t="shared" si="22"/>
        <v>0</v>
      </c>
      <c r="BN108" s="54" t="s">
        <v>347</v>
      </c>
    </row>
    <row r="109" spans="1:67" ht="13.2" hidden="1">
      <c r="A109" s="35" t="s">
        <v>141</v>
      </c>
      <c r="C109" s="35" t="s">
        <v>27</v>
      </c>
      <c r="D109" s="35"/>
      <c r="E109" s="35">
        <f t="shared" si="17"/>
        <v>0</v>
      </c>
      <c r="F109" s="35"/>
      <c r="G109" s="35"/>
      <c r="H109" s="35"/>
      <c r="I109" s="35"/>
      <c r="J109" s="35"/>
      <c r="K109" s="35">
        <f t="shared" si="18"/>
        <v>0</v>
      </c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>
        <f t="shared" si="24"/>
        <v>0</v>
      </c>
      <c r="X109" s="35"/>
      <c r="Y109" s="35" t="s">
        <v>141</v>
      </c>
      <c r="Z109" s="55"/>
      <c r="AA109" s="35" t="s">
        <v>27</v>
      </c>
      <c r="AB109" s="35"/>
      <c r="AC109" s="35"/>
      <c r="AD109" s="35"/>
      <c r="AE109" s="35"/>
      <c r="AF109" s="35"/>
      <c r="AG109" s="35"/>
      <c r="AH109" s="35"/>
      <c r="AI109" s="45">
        <f t="shared" si="25"/>
        <v>0</v>
      </c>
      <c r="AJ109" s="45"/>
      <c r="AK109" s="35"/>
      <c r="AL109" s="35"/>
      <c r="AM109" s="35"/>
      <c r="AN109" s="35"/>
      <c r="AO109" s="35"/>
      <c r="AP109" s="35"/>
      <c r="AQ109" s="35"/>
      <c r="AR109" s="35"/>
      <c r="AS109" s="45">
        <f t="shared" ref="AS109:AS172" si="26">+AI109+AK109+AM109-AO109+AQ109</f>
        <v>0</v>
      </c>
      <c r="AT109" s="45"/>
      <c r="AU109" s="35">
        <v>0</v>
      </c>
      <c r="AV109" s="35"/>
      <c r="AW109" s="35">
        <v>0</v>
      </c>
      <c r="AX109" s="35"/>
      <c r="AY109" s="35">
        <f t="shared" ref="AY109:AY172" si="27">+E109-K109</f>
        <v>0</v>
      </c>
      <c r="AZ109" s="35"/>
      <c r="BA109" s="35" t="s">
        <v>141</v>
      </c>
      <c r="BB109" s="55"/>
      <c r="BC109" s="35" t="s">
        <v>27</v>
      </c>
      <c r="BD109" s="35"/>
      <c r="BE109" s="35"/>
      <c r="BF109" s="35"/>
      <c r="BG109" s="35"/>
      <c r="BH109" s="35"/>
      <c r="BI109" s="35"/>
      <c r="BJ109" s="35"/>
      <c r="BK109" s="35"/>
      <c r="BL109" s="35"/>
      <c r="BM109" s="35">
        <f t="shared" si="22"/>
        <v>0</v>
      </c>
      <c r="BN109" s="54" t="s">
        <v>347</v>
      </c>
      <c r="BO109" s="55" t="s">
        <v>372</v>
      </c>
    </row>
    <row r="110" spans="1:67" ht="13.2">
      <c r="A110" s="35" t="s">
        <v>142</v>
      </c>
      <c r="C110" s="35" t="s">
        <v>102</v>
      </c>
      <c r="D110" s="35"/>
      <c r="E110" s="35">
        <f t="shared" si="17"/>
        <v>3001004</v>
      </c>
      <c r="F110" s="35"/>
      <c r="G110" s="35">
        <v>1854496</v>
      </c>
      <c r="H110" s="35"/>
      <c r="I110" s="35">
        <v>4855500</v>
      </c>
      <c r="J110" s="35"/>
      <c r="K110" s="35">
        <f t="shared" si="18"/>
        <v>557327</v>
      </c>
      <c r="L110" s="35"/>
      <c r="M110" s="35">
        <v>4008514</v>
      </c>
      <c r="N110" s="35"/>
      <c r="O110" s="35">
        <v>4565841</v>
      </c>
      <c r="P110" s="35"/>
      <c r="Q110" s="35">
        <v>1376415</v>
      </c>
      <c r="R110" s="35"/>
      <c r="S110" s="35">
        <v>0</v>
      </c>
      <c r="T110" s="35"/>
      <c r="U110" s="35">
        <v>-1083756</v>
      </c>
      <c r="V110" s="35"/>
      <c r="W110" s="35">
        <f t="shared" si="24"/>
        <v>292659</v>
      </c>
      <c r="X110" s="35"/>
      <c r="Y110" s="35" t="s">
        <v>142</v>
      </c>
      <c r="Z110" s="55"/>
      <c r="AA110" s="35" t="s">
        <v>102</v>
      </c>
      <c r="AB110" s="35"/>
      <c r="AC110" s="35">
        <v>3549679</v>
      </c>
      <c r="AD110" s="35"/>
      <c r="AE110" s="35">
        <f>3240331-201093</f>
        <v>3039238</v>
      </c>
      <c r="AF110" s="35"/>
      <c r="AG110" s="35">
        <v>201093</v>
      </c>
      <c r="AH110" s="35"/>
      <c r="AI110" s="45">
        <f t="shared" si="25"/>
        <v>309348</v>
      </c>
      <c r="AJ110" s="45"/>
      <c r="AK110" s="35">
        <v>-75509</v>
      </c>
      <c r="AL110" s="35"/>
      <c r="AM110" s="35">
        <v>0</v>
      </c>
      <c r="AN110" s="35"/>
      <c r="AO110" s="35">
        <v>1850</v>
      </c>
      <c r="AP110" s="35"/>
      <c r="AQ110" s="35">
        <v>0</v>
      </c>
      <c r="AR110" s="35"/>
      <c r="AS110" s="45">
        <f t="shared" si="26"/>
        <v>231989</v>
      </c>
      <c r="AT110" s="45"/>
      <c r="AU110" s="35">
        <v>0</v>
      </c>
      <c r="AV110" s="35"/>
      <c r="AW110" s="35">
        <v>0</v>
      </c>
      <c r="AX110" s="35"/>
      <c r="AY110" s="35">
        <f t="shared" si="27"/>
        <v>2443677</v>
      </c>
      <c r="AZ110" s="35"/>
      <c r="BA110" s="35" t="s">
        <v>142</v>
      </c>
      <c r="BB110" s="55"/>
      <c r="BC110" s="35" t="s">
        <v>102</v>
      </c>
      <c r="BD110" s="35"/>
      <c r="BE110" s="35">
        <v>1696819</v>
      </c>
      <c r="BF110" s="35"/>
      <c r="BG110" s="35">
        <v>0</v>
      </c>
      <c r="BH110" s="35"/>
      <c r="BI110" s="35">
        <v>0</v>
      </c>
      <c r="BJ110" s="35"/>
      <c r="BK110" s="35">
        <v>0</v>
      </c>
      <c r="BL110" s="35"/>
      <c r="BM110" s="35">
        <f t="shared" si="22"/>
        <v>1696819</v>
      </c>
      <c r="BN110" s="54" t="s">
        <v>347</v>
      </c>
      <c r="BO110" s="55" t="s">
        <v>372</v>
      </c>
    </row>
    <row r="111" spans="1:67" ht="13.2">
      <c r="A111" s="35" t="s">
        <v>143</v>
      </c>
      <c r="C111" s="35" t="s">
        <v>111</v>
      </c>
      <c r="D111" s="35"/>
      <c r="E111" s="35">
        <f t="shared" si="17"/>
        <v>488732</v>
      </c>
      <c r="F111" s="35"/>
      <c r="G111" s="35">
        <v>178677</v>
      </c>
      <c r="H111" s="35"/>
      <c r="I111" s="35">
        <v>667409</v>
      </c>
      <c r="J111" s="35"/>
      <c r="K111" s="35">
        <f t="shared" si="18"/>
        <v>100910</v>
      </c>
      <c r="L111" s="35"/>
      <c r="M111" s="35">
        <v>16938</v>
      </c>
      <c r="N111" s="35"/>
      <c r="O111" s="35">
        <v>117848</v>
      </c>
      <c r="P111" s="35"/>
      <c r="Q111" s="35">
        <v>178677</v>
      </c>
      <c r="R111" s="35"/>
      <c r="S111" s="35">
        <v>0</v>
      </c>
      <c r="T111" s="35"/>
      <c r="U111" s="35">
        <v>370884</v>
      </c>
      <c r="V111" s="35"/>
      <c r="W111" s="35">
        <f t="shared" si="24"/>
        <v>549561</v>
      </c>
      <c r="X111" s="35"/>
      <c r="Y111" s="35" t="s">
        <v>143</v>
      </c>
      <c r="Z111" s="55"/>
      <c r="AA111" s="35" t="s">
        <v>111</v>
      </c>
      <c r="AB111" s="35"/>
      <c r="AC111" s="35">
        <v>1255572</v>
      </c>
      <c r="AD111" s="35"/>
      <c r="AE111" s="35">
        <f>1339178-17810</f>
        <v>1321368</v>
      </c>
      <c r="AF111" s="35"/>
      <c r="AG111" s="35">
        <v>17810</v>
      </c>
      <c r="AH111" s="35"/>
      <c r="AI111" s="45">
        <f t="shared" si="25"/>
        <v>-83606</v>
      </c>
      <c r="AJ111" s="45"/>
      <c r="AK111" s="35">
        <v>7671</v>
      </c>
      <c r="AL111" s="35"/>
      <c r="AM111" s="35">
        <v>0</v>
      </c>
      <c r="AN111" s="35"/>
      <c r="AO111" s="35">
        <v>0</v>
      </c>
      <c r="AP111" s="35"/>
      <c r="AQ111" s="35">
        <v>0</v>
      </c>
      <c r="AR111" s="35"/>
      <c r="AS111" s="45">
        <f t="shared" si="26"/>
        <v>-75935</v>
      </c>
      <c r="AT111" s="45"/>
      <c r="AU111" s="35">
        <v>0</v>
      </c>
      <c r="AV111" s="35"/>
      <c r="AW111" s="35">
        <v>0</v>
      </c>
      <c r="AX111" s="35"/>
      <c r="AY111" s="35">
        <f t="shared" si="27"/>
        <v>387822</v>
      </c>
      <c r="AZ111" s="35"/>
      <c r="BA111" s="35" t="s">
        <v>143</v>
      </c>
      <c r="BB111" s="55"/>
      <c r="BC111" s="35" t="s">
        <v>111</v>
      </c>
      <c r="BD111" s="35"/>
      <c r="BE111" s="35">
        <v>0</v>
      </c>
      <c r="BF111" s="35"/>
      <c r="BG111" s="35">
        <v>0</v>
      </c>
      <c r="BH111" s="35"/>
      <c r="BI111" s="35">
        <v>0</v>
      </c>
      <c r="BJ111" s="35"/>
      <c r="BK111" s="35">
        <v>0</v>
      </c>
      <c r="BL111" s="35"/>
      <c r="BM111" s="35">
        <f t="shared" si="22"/>
        <v>0</v>
      </c>
      <c r="BN111" s="54" t="s">
        <v>347</v>
      </c>
      <c r="BO111" s="55" t="s">
        <v>315</v>
      </c>
    </row>
    <row r="112" spans="1:67" ht="13.2">
      <c r="A112" s="35" t="s">
        <v>144</v>
      </c>
      <c r="C112" s="35" t="s">
        <v>88</v>
      </c>
      <c r="D112" s="35"/>
      <c r="E112" s="35">
        <f t="shared" si="17"/>
        <v>1134632</v>
      </c>
      <c r="F112" s="35"/>
      <c r="G112" s="35">
        <v>0</v>
      </c>
      <c r="H112" s="35"/>
      <c r="I112" s="35">
        <v>1134632</v>
      </c>
      <c r="J112" s="35"/>
      <c r="K112" s="35">
        <f t="shared" si="18"/>
        <v>221048</v>
      </c>
      <c r="L112" s="35"/>
      <c r="M112" s="35">
        <v>0</v>
      </c>
      <c r="N112" s="35"/>
      <c r="O112" s="35">
        <v>221048</v>
      </c>
      <c r="P112" s="35"/>
      <c r="Q112" s="35">
        <v>0</v>
      </c>
      <c r="R112" s="35"/>
      <c r="S112" s="35">
        <v>0</v>
      </c>
      <c r="T112" s="35"/>
      <c r="U112" s="35">
        <v>913584</v>
      </c>
      <c r="V112" s="35"/>
      <c r="W112" s="35">
        <f t="shared" si="24"/>
        <v>913584</v>
      </c>
      <c r="X112" s="35"/>
      <c r="Y112" s="35" t="s">
        <v>144</v>
      </c>
      <c r="Z112" s="55"/>
      <c r="AA112" s="35" t="s">
        <v>88</v>
      </c>
      <c r="AB112" s="35"/>
      <c r="AC112" s="35">
        <v>2441942</v>
      </c>
      <c r="AD112" s="35"/>
      <c r="AE112" s="35">
        <f>2871423-0</f>
        <v>2871423</v>
      </c>
      <c r="AF112" s="35"/>
      <c r="AG112" s="35">
        <v>0</v>
      </c>
      <c r="AH112" s="35"/>
      <c r="AI112" s="45">
        <f t="shared" si="25"/>
        <v>-429481</v>
      </c>
      <c r="AJ112" s="45"/>
      <c r="AK112" s="35">
        <v>0</v>
      </c>
      <c r="AL112" s="35"/>
      <c r="AM112" s="35">
        <v>0</v>
      </c>
      <c r="AN112" s="35"/>
      <c r="AO112" s="35">
        <v>0</v>
      </c>
      <c r="AP112" s="35"/>
      <c r="AQ112" s="35">
        <v>0</v>
      </c>
      <c r="AR112" s="35"/>
      <c r="AS112" s="45">
        <f t="shared" si="26"/>
        <v>-429481</v>
      </c>
      <c r="AT112" s="45"/>
      <c r="AU112" s="35">
        <v>0</v>
      </c>
      <c r="AV112" s="35"/>
      <c r="AW112" s="35">
        <v>0</v>
      </c>
      <c r="AX112" s="35"/>
      <c r="AY112" s="35">
        <f t="shared" si="27"/>
        <v>913584</v>
      </c>
      <c r="AZ112" s="35"/>
      <c r="BA112" s="35" t="s">
        <v>144</v>
      </c>
      <c r="BB112" s="55"/>
      <c r="BC112" s="35" t="s">
        <v>88</v>
      </c>
      <c r="BD112" s="35"/>
      <c r="BE112" s="35">
        <v>0</v>
      </c>
      <c r="BF112" s="35"/>
      <c r="BG112" s="35">
        <v>0</v>
      </c>
      <c r="BH112" s="35"/>
      <c r="BI112" s="35">
        <v>0</v>
      </c>
      <c r="BJ112" s="35"/>
      <c r="BK112" s="35">
        <v>0</v>
      </c>
      <c r="BL112" s="35"/>
      <c r="BM112" s="35">
        <f t="shared" si="22"/>
        <v>0</v>
      </c>
      <c r="BN112" s="54" t="s">
        <v>347</v>
      </c>
    </row>
    <row r="113" spans="1:66" ht="13.2">
      <c r="A113" s="35" t="s">
        <v>36</v>
      </c>
      <c r="C113" s="35" t="s">
        <v>145</v>
      </c>
      <c r="D113" s="35"/>
      <c r="E113" s="35">
        <f t="shared" si="17"/>
        <v>948963</v>
      </c>
      <c r="F113" s="35"/>
      <c r="G113" s="35">
        <v>718769</v>
      </c>
      <c r="H113" s="35"/>
      <c r="I113" s="35">
        <v>1667732</v>
      </c>
      <c r="J113" s="35"/>
      <c r="K113" s="35">
        <f t="shared" si="18"/>
        <v>68987</v>
      </c>
      <c r="L113" s="35"/>
      <c r="M113" s="35">
        <v>75181</v>
      </c>
      <c r="N113" s="35"/>
      <c r="O113" s="35">
        <v>144168</v>
      </c>
      <c r="P113" s="35"/>
      <c r="Q113" s="35">
        <v>629071</v>
      </c>
      <c r="R113" s="35"/>
      <c r="S113" s="35">
        <v>0</v>
      </c>
      <c r="T113" s="35"/>
      <c r="U113" s="35">
        <v>894493</v>
      </c>
      <c r="V113" s="35"/>
      <c r="W113" s="35">
        <f t="shared" si="24"/>
        <v>1523564</v>
      </c>
      <c r="X113" s="35"/>
      <c r="Y113" s="35" t="s">
        <v>36</v>
      </c>
      <c r="Z113" s="55"/>
      <c r="AA113" s="35" t="s">
        <v>145</v>
      </c>
      <c r="AB113" s="35"/>
      <c r="AC113" s="35">
        <v>899656</v>
      </c>
      <c r="AD113" s="35"/>
      <c r="AE113" s="35">
        <f>815812-52365</f>
        <v>763447</v>
      </c>
      <c r="AF113" s="35"/>
      <c r="AG113" s="35">
        <v>52365</v>
      </c>
      <c r="AH113" s="35"/>
      <c r="AI113" s="45">
        <f t="shared" si="25"/>
        <v>83844</v>
      </c>
      <c r="AJ113" s="45"/>
      <c r="AK113" s="35">
        <v>17039</v>
      </c>
      <c r="AL113" s="35"/>
      <c r="AM113" s="35">
        <v>0</v>
      </c>
      <c r="AN113" s="35"/>
      <c r="AO113" s="35">
        <v>66000</v>
      </c>
      <c r="AP113" s="35"/>
      <c r="AQ113" s="35">
        <v>373492</v>
      </c>
      <c r="AR113" s="35"/>
      <c r="AS113" s="45">
        <f t="shared" si="26"/>
        <v>408375</v>
      </c>
      <c r="AT113" s="45"/>
      <c r="AU113" s="35">
        <v>0</v>
      </c>
      <c r="AV113" s="35"/>
      <c r="AW113" s="35">
        <v>0</v>
      </c>
      <c r="AX113" s="35"/>
      <c r="AY113" s="35">
        <f t="shared" si="27"/>
        <v>879976</v>
      </c>
      <c r="AZ113" s="35"/>
      <c r="BA113" s="35" t="s">
        <v>36</v>
      </c>
      <c r="BB113" s="55"/>
      <c r="BC113" s="35" t="s">
        <v>145</v>
      </c>
      <c r="BD113" s="35"/>
      <c r="BE113" s="35">
        <v>0</v>
      </c>
      <c r="BF113" s="35"/>
      <c r="BG113" s="35">
        <v>0</v>
      </c>
      <c r="BH113" s="35"/>
      <c r="BI113" s="35">
        <v>0</v>
      </c>
      <c r="BJ113" s="35"/>
      <c r="BK113" s="35">
        <v>0</v>
      </c>
      <c r="BL113" s="35"/>
      <c r="BM113" s="35">
        <f t="shared" si="22"/>
        <v>0</v>
      </c>
      <c r="BN113" s="54" t="s">
        <v>347</v>
      </c>
    </row>
    <row r="114" spans="1:66" ht="13.2" hidden="1">
      <c r="A114" s="35" t="s">
        <v>146</v>
      </c>
      <c r="C114" s="35" t="s">
        <v>147</v>
      </c>
      <c r="D114" s="35"/>
      <c r="E114" s="35">
        <f t="shared" si="17"/>
        <v>0</v>
      </c>
      <c r="F114" s="35"/>
      <c r="G114" s="35"/>
      <c r="H114" s="35"/>
      <c r="I114" s="35"/>
      <c r="J114" s="35"/>
      <c r="K114" s="35">
        <f t="shared" si="18"/>
        <v>0</v>
      </c>
      <c r="L114" s="35"/>
      <c r="M114" s="35">
        <v>0</v>
      </c>
      <c r="N114" s="35"/>
      <c r="O114" s="35"/>
      <c r="P114" s="35"/>
      <c r="Q114" s="35"/>
      <c r="R114" s="35"/>
      <c r="S114" s="35">
        <v>0</v>
      </c>
      <c r="T114" s="35"/>
      <c r="U114" s="35"/>
      <c r="V114" s="35"/>
      <c r="W114" s="35">
        <f t="shared" si="24"/>
        <v>0</v>
      </c>
      <c r="X114" s="35"/>
      <c r="Y114" s="35" t="s">
        <v>146</v>
      </c>
      <c r="Z114" s="55"/>
      <c r="AA114" s="35" t="s">
        <v>147</v>
      </c>
      <c r="AB114" s="35"/>
      <c r="AC114" s="35">
        <v>0</v>
      </c>
      <c r="AD114" s="35"/>
      <c r="AE114" s="35">
        <v>0</v>
      </c>
      <c r="AF114" s="35"/>
      <c r="AG114" s="35">
        <v>0</v>
      </c>
      <c r="AH114" s="35"/>
      <c r="AI114" s="45">
        <f t="shared" si="25"/>
        <v>0</v>
      </c>
      <c r="AJ114" s="45"/>
      <c r="AK114" s="35"/>
      <c r="AL114" s="35"/>
      <c r="AM114" s="35">
        <v>0</v>
      </c>
      <c r="AN114" s="35"/>
      <c r="AO114" s="35">
        <v>0</v>
      </c>
      <c r="AP114" s="35"/>
      <c r="AQ114" s="35">
        <v>0</v>
      </c>
      <c r="AR114" s="35"/>
      <c r="AS114" s="45">
        <f t="shared" si="26"/>
        <v>0</v>
      </c>
      <c r="AT114" s="45"/>
      <c r="AU114" s="35">
        <v>0</v>
      </c>
      <c r="AV114" s="35"/>
      <c r="AW114" s="35">
        <v>0</v>
      </c>
      <c r="AX114" s="35"/>
      <c r="AY114" s="35">
        <f t="shared" si="27"/>
        <v>0</v>
      </c>
      <c r="AZ114" s="35"/>
      <c r="BA114" s="35" t="s">
        <v>146</v>
      </c>
      <c r="BB114" s="55"/>
      <c r="BC114" s="35" t="s">
        <v>147</v>
      </c>
      <c r="BD114" s="35"/>
      <c r="BE114" s="35"/>
      <c r="BF114" s="35"/>
      <c r="BG114" s="35"/>
      <c r="BH114" s="35"/>
      <c r="BI114" s="35"/>
      <c r="BJ114" s="35"/>
      <c r="BK114" s="35"/>
      <c r="BL114" s="35"/>
      <c r="BM114" s="35">
        <f t="shared" si="22"/>
        <v>0</v>
      </c>
      <c r="BN114" s="54" t="s">
        <v>347</v>
      </c>
    </row>
    <row r="115" spans="1:66" ht="13.2" hidden="1">
      <c r="A115" s="35" t="s">
        <v>17</v>
      </c>
      <c r="C115" s="35" t="s">
        <v>17</v>
      </c>
      <c r="D115" s="35"/>
      <c r="E115" s="35">
        <f t="shared" si="17"/>
        <v>0</v>
      </c>
      <c r="F115" s="35"/>
      <c r="G115" s="35"/>
      <c r="H115" s="35"/>
      <c r="I115" s="35"/>
      <c r="J115" s="35"/>
      <c r="K115" s="35">
        <f t="shared" si="18"/>
        <v>0</v>
      </c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>
        <f t="shared" si="24"/>
        <v>0</v>
      </c>
      <c r="X115" s="35"/>
      <c r="Y115" s="35" t="s">
        <v>17</v>
      </c>
      <c r="Z115" s="55"/>
      <c r="AA115" s="35" t="s">
        <v>17</v>
      </c>
      <c r="AB115" s="35"/>
      <c r="AC115" s="35"/>
      <c r="AD115" s="35"/>
      <c r="AE115" s="35"/>
      <c r="AF115" s="35"/>
      <c r="AG115" s="35"/>
      <c r="AH115" s="35"/>
      <c r="AI115" s="45">
        <f t="shared" si="25"/>
        <v>0</v>
      </c>
      <c r="AJ115" s="45"/>
      <c r="AK115" s="35"/>
      <c r="AL115" s="35"/>
      <c r="AM115" s="35"/>
      <c r="AN115" s="35"/>
      <c r="AO115" s="35"/>
      <c r="AP115" s="35"/>
      <c r="AQ115" s="35"/>
      <c r="AR115" s="35"/>
      <c r="AS115" s="45">
        <f t="shared" si="26"/>
        <v>0</v>
      </c>
      <c r="AT115" s="45"/>
      <c r="AU115" s="35">
        <v>0</v>
      </c>
      <c r="AV115" s="35"/>
      <c r="AW115" s="35">
        <v>0</v>
      </c>
      <c r="AX115" s="35"/>
      <c r="AY115" s="35">
        <f t="shared" si="27"/>
        <v>0</v>
      </c>
      <c r="AZ115" s="35"/>
      <c r="BA115" s="35" t="s">
        <v>17</v>
      </c>
      <c r="BB115" s="55"/>
      <c r="BC115" s="35" t="s">
        <v>17</v>
      </c>
      <c r="BD115" s="35"/>
      <c r="BE115" s="35"/>
      <c r="BF115" s="35"/>
      <c r="BG115" s="35"/>
      <c r="BH115" s="35"/>
      <c r="BI115" s="35"/>
      <c r="BJ115" s="35"/>
      <c r="BK115" s="35"/>
      <c r="BL115" s="35"/>
      <c r="BM115" s="35">
        <f t="shared" si="22"/>
        <v>0</v>
      </c>
      <c r="BN115" s="54" t="s">
        <v>347</v>
      </c>
    </row>
    <row r="116" spans="1:66" ht="13.2" hidden="1">
      <c r="A116" s="35" t="s">
        <v>148</v>
      </c>
      <c r="C116" s="35" t="s">
        <v>15</v>
      </c>
      <c r="D116" s="35"/>
      <c r="E116" s="35">
        <f t="shared" si="17"/>
        <v>0</v>
      </c>
      <c r="F116" s="35"/>
      <c r="G116" s="35"/>
      <c r="H116" s="35"/>
      <c r="I116" s="35"/>
      <c r="J116" s="35"/>
      <c r="K116" s="35">
        <f t="shared" si="18"/>
        <v>0</v>
      </c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>
        <f t="shared" si="24"/>
        <v>0</v>
      </c>
      <c r="X116" s="35"/>
      <c r="Y116" s="35" t="s">
        <v>148</v>
      </c>
      <c r="Z116" s="55"/>
      <c r="AA116" s="35" t="s">
        <v>15</v>
      </c>
      <c r="AB116" s="35"/>
      <c r="AC116" s="35"/>
      <c r="AD116" s="35"/>
      <c r="AE116" s="35"/>
      <c r="AF116" s="35"/>
      <c r="AG116" s="35"/>
      <c r="AH116" s="35"/>
      <c r="AI116" s="45">
        <f t="shared" si="25"/>
        <v>0</v>
      </c>
      <c r="AJ116" s="45"/>
      <c r="AK116" s="35"/>
      <c r="AL116" s="35"/>
      <c r="AM116" s="35"/>
      <c r="AN116" s="35"/>
      <c r="AO116" s="35"/>
      <c r="AP116" s="35"/>
      <c r="AQ116" s="35"/>
      <c r="AR116" s="35"/>
      <c r="AS116" s="45">
        <f t="shared" si="26"/>
        <v>0</v>
      </c>
      <c r="AT116" s="45"/>
      <c r="AU116" s="35">
        <v>0</v>
      </c>
      <c r="AV116" s="35"/>
      <c r="AW116" s="35">
        <v>0</v>
      </c>
      <c r="AX116" s="35"/>
      <c r="AY116" s="35">
        <f t="shared" si="27"/>
        <v>0</v>
      </c>
      <c r="AZ116" s="35"/>
      <c r="BA116" s="35" t="s">
        <v>148</v>
      </c>
      <c r="BB116" s="55"/>
      <c r="BC116" s="35" t="s">
        <v>15</v>
      </c>
      <c r="BD116" s="35"/>
      <c r="BE116" s="35"/>
      <c r="BF116" s="35"/>
      <c r="BG116" s="35"/>
      <c r="BH116" s="35"/>
      <c r="BI116" s="35"/>
      <c r="BJ116" s="35"/>
      <c r="BK116" s="35"/>
      <c r="BL116" s="35"/>
      <c r="BM116" s="35">
        <f t="shared" si="22"/>
        <v>0</v>
      </c>
      <c r="BN116" s="54" t="s">
        <v>347</v>
      </c>
    </row>
    <row r="117" spans="1:66" ht="13.2" hidden="1">
      <c r="A117" s="35" t="s">
        <v>149</v>
      </c>
      <c r="C117" s="35" t="s">
        <v>45</v>
      </c>
      <c r="D117" s="35"/>
      <c r="E117" s="35">
        <f t="shared" si="17"/>
        <v>0</v>
      </c>
      <c r="F117" s="35"/>
      <c r="G117" s="35"/>
      <c r="H117" s="35"/>
      <c r="I117" s="35"/>
      <c r="J117" s="35"/>
      <c r="K117" s="35">
        <f t="shared" si="18"/>
        <v>0</v>
      </c>
      <c r="L117" s="35"/>
      <c r="M117" s="35">
        <v>0</v>
      </c>
      <c r="N117" s="35"/>
      <c r="O117" s="35"/>
      <c r="P117" s="35"/>
      <c r="Q117" s="35"/>
      <c r="R117" s="35"/>
      <c r="S117" s="35">
        <v>0</v>
      </c>
      <c r="T117" s="35"/>
      <c r="U117" s="35"/>
      <c r="V117" s="35"/>
      <c r="W117" s="35">
        <f t="shared" si="24"/>
        <v>0</v>
      </c>
      <c r="X117" s="35"/>
      <c r="Y117" s="35" t="s">
        <v>149</v>
      </c>
      <c r="Z117" s="55"/>
      <c r="AA117" s="35" t="s">
        <v>45</v>
      </c>
      <c r="AB117" s="35"/>
      <c r="AC117" s="35">
        <v>0</v>
      </c>
      <c r="AD117" s="35"/>
      <c r="AE117" s="35">
        <v>0</v>
      </c>
      <c r="AF117" s="35"/>
      <c r="AG117" s="35">
        <v>0</v>
      </c>
      <c r="AH117" s="35"/>
      <c r="AI117" s="45">
        <v>0</v>
      </c>
      <c r="AJ117" s="45"/>
      <c r="AK117" s="35"/>
      <c r="AL117" s="35"/>
      <c r="AM117" s="35">
        <v>0</v>
      </c>
      <c r="AN117" s="35"/>
      <c r="AO117" s="35">
        <v>0</v>
      </c>
      <c r="AP117" s="35"/>
      <c r="AQ117" s="35">
        <v>0</v>
      </c>
      <c r="AR117" s="35"/>
      <c r="AS117" s="45">
        <f t="shared" si="26"/>
        <v>0</v>
      </c>
      <c r="AT117" s="45"/>
      <c r="AU117" s="35">
        <v>0</v>
      </c>
      <c r="AV117" s="35"/>
      <c r="AW117" s="35">
        <v>0</v>
      </c>
      <c r="AX117" s="35"/>
      <c r="AY117" s="35">
        <f t="shared" si="27"/>
        <v>0</v>
      </c>
      <c r="AZ117" s="35"/>
      <c r="BA117" s="35" t="s">
        <v>149</v>
      </c>
      <c r="BB117" s="55"/>
      <c r="BC117" s="35" t="s">
        <v>45</v>
      </c>
      <c r="BD117" s="35"/>
      <c r="BE117" s="35"/>
      <c r="BF117" s="35"/>
      <c r="BG117" s="35"/>
      <c r="BH117" s="35"/>
      <c r="BI117" s="35"/>
      <c r="BJ117" s="35"/>
      <c r="BK117" s="35"/>
      <c r="BL117" s="35"/>
      <c r="BM117" s="35">
        <f t="shared" si="22"/>
        <v>0</v>
      </c>
      <c r="BN117" s="54" t="s">
        <v>347</v>
      </c>
    </row>
    <row r="118" spans="1:66" ht="13.2" hidden="1">
      <c r="A118" s="35" t="s">
        <v>150</v>
      </c>
      <c r="C118" s="35" t="s">
        <v>27</v>
      </c>
      <c r="D118" s="35"/>
      <c r="E118" s="35">
        <f t="shared" si="17"/>
        <v>0</v>
      </c>
      <c r="F118" s="35"/>
      <c r="G118" s="35"/>
      <c r="H118" s="35"/>
      <c r="I118" s="35"/>
      <c r="J118" s="35"/>
      <c r="K118" s="35">
        <f t="shared" si="18"/>
        <v>0</v>
      </c>
      <c r="L118" s="35"/>
      <c r="M118" s="35">
        <v>0</v>
      </c>
      <c r="N118" s="35"/>
      <c r="O118" s="35"/>
      <c r="P118" s="35"/>
      <c r="Q118" s="35"/>
      <c r="R118" s="35"/>
      <c r="S118" s="35">
        <v>0</v>
      </c>
      <c r="T118" s="35"/>
      <c r="U118" s="35"/>
      <c r="V118" s="35"/>
      <c r="W118" s="35">
        <f t="shared" si="24"/>
        <v>0</v>
      </c>
      <c r="X118" s="35"/>
      <c r="Y118" s="35" t="s">
        <v>150</v>
      </c>
      <c r="Z118" s="55"/>
      <c r="AA118" s="35" t="s">
        <v>27</v>
      </c>
      <c r="AB118" s="35"/>
      <c r="AC118" s="35">
        <v>0</v>
      </c>
      <c r="AD118" s="35"/>
      <c r="AE118" s="35">
        <v>0</v>
      </c>
      <c r="AF118" s="35"/>
      <c r="AG118" s="35">
        <v>0</v>
      </c>
      <c r="AH118" s="35"/>
      <c r="AI118" s="45">
        <f t="shared" ref="AI118:AI128" si="28">+AC118-AE118-AG118</f>
        <v>0</v>
      </c>
      <c r="AJ118" s="45"/>
      <c r="AK118" s="35"/>
      <c r="AL118" s="35"/>
      <c r="AM118" s="35">
        <v>0</v>
      </c>
      <c r="AN118" s="35"/>
      <c r="AO118" s="35">
        <v>0</v>
      </c>
      <c r="AP118" s="35"/>
      <c r="AQ118" s="35">
        <v>0</v>
      </c>
      <c r="AR118" s="35"/>
      <c r="AS118" s="45">
        <f t="shared" si="26"/>
        <v>0</v>
      </c>
      <c r="AT118" s="45"/>
      <c r="AU118" s="35">
        <v>0</v>
      </c>
      <c r="AV118" s="35"/>
      <c r="AW118" s="35">
        <v>0</v>
      </c>
      <c r="AX118" s="35"/>
      <c r="AY118" s="35">
        <f t="shared" si="27"/>
        <v>0</v>
      </c>
      <c r="AZ118" s="35"/>
      <c r="BA118" s="35" t="s">
        <v>150</v>
      </c>
      <c r="BB118" s="55"/>
      <c r="BC118" s="35" t="s">
        <v>27</v>
      </c>
      <c r="BD118" s="35"/>
      <c r="BE118" s="35"/>
      <c r="BF118" s="35"/>
      <c r="BG118" s="35"/>
      <c r="BH118" s="35"/>
      <c r="BI118" s="35"/>
      <c r="BJ118" s="35"/>
      <c r="BK118" s="35"/>
      <c r="BL118" s="35"/>
      <c r="BM118" s="35">
        <f t="shared" si="22"/>
        <v>0</v>
      </c>
      <c r="BN118" s="54" t="s">
        <v>347</v>
      </c>
    </row>
    <row r="119" spans="1:66" ht="13.2" hidden="1">
      <c r="A119" s="35" t="s">
        <v>151</v>
      </c>
      <c r="C119" s="35" t="s">
        <v>13</v>
      </c>
      <c r="D119" s="35"/>
      <c r="E119" s="35">
        <f t="shared" si="17"/>
        <v>0</v>
      </c>
      <c r="F119" s="35"/>
      <c r="G119" s="35"/>
      <c r="H119" s="35"/>
      <c r="I119" s="35"/>
      <c r="J119" s="35"/>
      <c r="K119" s="35">
        <f t="shared" si="18"/>
        <v>0</v>
      </c>
      <c r="L119" s="35"/>
      <c r="M119" s="35">
        <v>0</v>
      </c>
      <c r="N119" s="35"/>
      <c r="O119" s="35"/>
      <c r="P119" s="35"/>
      <c r="Q119" s="35"/>
      <c r="R119" s="35"/>
      <c r="S119" s="35">
        <v>0</v>
      </c>
      <c r="T119" s="35"/>
      <c r="U119" s="35"/>
      <c r="V119" s="35"/>
      <c r="W119" s="35">
        <f t="shared" si="24"/>
        <v>0</v>
      </c>
      <c r="X119" s="35"/>
      <c r="Y119" s="35" t="s">
        <v>151</v>
      </c>
      <c r="Z119" s="55"/>
      <c r="AA119" s="35" t="s">
        <v>13</v>
      </c>
      <c r="AB119" s="35"/>
      <c r="AC119" s="35">
        <v>0</v>
      </c>
      <c r="AD119" s="35"/>
      <c r="AE119" s="35">
        <v>0</v>
      </c>
      <c r="AF119" s="35"/>
      <c r="AG119" s="35">
        <v>0</v>
      </c>
      <c r="AH119" s="35"/>
      <c r="AI119" s="45">
        <f t="shared" si="28"/>
        <v>0</v>
      </c>
      <c r="AJ119" s="45"/>
      <c r="AK119" s="35"/>
      <c r="AL119" s="35"/>
      <c r="AM119" s="35">
        <v>0</v>
      </c>
      <c r="AN119" s="35"/>
      <c r="AO119" s="35">
        <v>0</v>
      </c>
      <c r="AP119" s="35"/>
      <c r="AQ119" s="35">
        <v>0</v>
      </c>
      <c r="AR119" s="35"/>
      <c r="AS119" s="45">
        <f t="shared" si="26"/>
        <v>0</v>
      </c>
      <c r="AT119" s="45"/>
      <c r="AU119" s="35">
        <v>0</v>
      </c>
      <c r="AV119" s="35"/>
      <c r="AW119" s="35">
        <v>0</v>
      </c>
      <c r="AX119" s="35"/>
      <c r="AY119" s="35">
        <f t="shared" si="27"/>
        <v>0</v>
      </c>
      <c r="AZ119" s="35"/>
      <c r="BA119" s="35" t="s">
        <v>151</v>
      </c>
      <c r="BB119" s="55"/>
      <c r="BC119" s="35" t="s">
        <v>13</v>
      </c>
      <c r="BD119" s="35"/>
      <c r="BE119" s="35"/>
      <c r="BF119" s="35"/>
      <c r="BG119" s="35"/>
      <c r="BH119" s="35"/>
      <c r="BI119" s="35"/>
      <c r="BJ119" s="35"/>
      <c r="BK119" s="35"/>
      <c r="BL119" s="35"/>
      <c r="BM119" s="35">
        <f t="shared" si="22"/>
        <v>0</v>
      </c>
      <c r="BN119" s="54" t="s">
        <v>347</v>
      </c>
    </row>
    <row r="120" spans="1:66" ht="13.2" hidden="1">
      <c r="A120" s="35" t="s">
        <v>152</v>
      </c>
      <c r="C120" s="35" t="s">
        <v>153</v>
      </c>
      <c r="D120" s="35"/>
      <c r="E120" s="35">
        <f t="shared" si="17"/>
        <v>0</v>
      </c>
      <c r="F120" s="35"/>
      <c r="G120" s="35"/>
      <c r="H120" s="35"/>
      <c r="I120" s="35"/>
      <c r="J120" s="35"/>
      <c r="K120" s="35">
        <f t="shared" si="18"/>
        <v>0</v>
      </c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>
        <f t="shared" si="24"/>
        <v>0</v>
      </c>
      <c r="X120" s="35"/>
      <c r="Y120" s="35" t="s">
        <v>152</v>
      </c>
      <c r="Z120" s="55"/>
      <c r="AA120" s="35" t="s">
        <v>153</v>
      </c>
      <c r="AB120" s="35"/>
      <c r="AC120" s="35"/>
      <c r="AD120" s="35"/>
      <c r="AE120" s="35"/>
      <c r="AF120" s="35"/>
      <c r="AG120" s="35"/>
      <c r="AH120" s="35"/>
      <c r="AI120" s="45">
        <f t="shared" si="28"/>
        <v>0</v>
      </c>
      <c r="AJ120" s="45"/>
      <c r="AK120" s="35"/>
      <c r="AL120" s="35"/>
      <c r="AM120" s="35"/>
      <c r="AN120" s="35"/>
      <c r="AO120" s="35"/>
      <c r="AP120" s="35"/>
      <c r="AQ120" s="35"/>
      <c r="AR120" s="35"/>
      <c r="AS120" s="45">
        <f t="shared" si="26"/>
        <v>0</v>
      </c>
      <c r="AT120" s="45"/>
      <c r="AU120" s="35">
        <v>0</v>
      </c>
      <c r="AV120" s="35"/>
      <c r="AW120" s="35">
        <v>0</v>
      </c>
      <c r="AX120" s="35"/>
      <c r="AY120" s="35">
        <f t="shared" si="27"/>
        <v>0</v>
      </c>
      <c r="AZ120" s="35"/>
      <c r="BA120" s="35" t="s">
        <v>152</v>
      </c>
      <c r="BB120" s="55"/>
      <c r="BC120" s="35" t="s">
        <v>153</v>
      </c>
      <c r="BD120" s="35"/>
      <c r="BE120" s="35"/>
      <c r="BF120" s="35"/>
      <c r="BG120" s="35"/>
      <c r="BH120" s="35"/>
      <c r="BI120" s="35"/>
      <c r="BJ120" s="35"/>
      <c r="BK120" s="35"/>
      <c r="BL120" s="35"/>
      <c r="BM120" s="35">
        <f t="shared" si="22"/>
        <v>0</v>
      </c>
      <c r="BN120" s="54" t="s">
        <v>347</v>
      </c>
    </row>
    <row r="121" spans="1:66" ht="13.2" hidden="1">
      <c r="A121" s="35" t="s">
        <v>154</v>
      </c>
      <c r="C121" s="35" t="s">
        <v>27</v>
      </c>
      <c r="D121" s="35"/>
      <c r="E121" s="35">
        <f t="shared" si="17"/>
        <v>0</v>
      </c>
      <c r="F121" s="35"/>
      <c r="G121" s="35"/>
      <c r="H121" s="35"/>
      <c r="I121" s="35"/>
      <c r="J121" s="35"/>
      <c r="K121" s="35">
        <f t="shared" si="18"/>
        <v>0</v>
      </c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>
        <f t="shared" si="24"/>
        <v>0</v>
      </c>
      <c r="X121" s="35"/>
      <c r="Y121" s="35" t="s">
        <v>154</v>
      </c>
      <c r="Z121" s="55"/>
      <c r="AA121" s="35" t="s">
        <v>27</v>
      </c>
      <c r="AB121" s="35"/>
      <c r="AC121" s="35"/>
      <c r="AD121" s="35"/>
      <c r="AE121" s="35"/>
      <c r="AF121" s="35"/>
      <c r="AG121" s="35"/>
      <c r="AH121" s="35"/>
      <c r="AI121" s="45">
        <f t="shared" si="28"/>
        <v>0</v>
      </c>
      <c r="AJ121" s="45"/>
      <c r="AK121" s="35"/>
      <c r="AL121" s="35"/>
      <c r="AM121" s="35"/>
      <c r="AN121" s="35"/>
      <c r="AO121" s="35"/>
      <c r="AP121" s="35"/>
      <c r="AQ121" s="35"/>
      <c r="AR121" s="35"/>
      <c r="AS121" s="45">
        <f t="shared" si="26"/>
        <v>0</v>
      </c>
      <c r="AT121" s="45"/>
      <c r="AU121" s="35">
        <v>0</v>
      </c>
      <c r="AV121" s="35"/>
      <c r="AW121" s="35">
        <v>0</v>
      </c>
      <c r="AX121" s="35"/>
      <c r="AY121" s="35">
        <f t="shared" si="27"/>
        <v>0</v>
      </c>
      <c r="AZ121" s="35"/>
      <c r="BA121" s="35" t="s">
        <v>154</v>
      </c>
      <c r="BB121" s="55"/>
      <c r="BC121" s="35" t="s">
        <v>27</v>
      </c>
      <c r="BD121" s="35"/>
      <c r="BE121" s="35"/>
      <c r="BF121" s="35"/>
      <c r="BG121" s="35"/>
      <c r="BH121" s="35"/>
      <c r="BI121" s="35"/>
      <c r="BJ121" s="35"/>
      <c r="BK121" s="35"/>
      <c r="BL121" s="35"/>
      <c r="BM121" s="35">
        <f t="shared" si="22"/>
        <v>0</v>
      </c>
      <c r="BN121" s="54" t="s">
        <v>347</v>
      </c>
    </row>
    <row r="122" spans="1:66" ht="13.2" hidden="1">
      <c r="A122" s="35" t="s">
        <v>155</v>
      </c>
      <c r="C122" s="35" t="s">
        <v>40</v>
      </c>
      <c r="D122" s="35"/>
      <c r="E122" s="35">
        <f t="shared" si="17"/>
        <v>0</v>
      </c>
      <c r="F122" s="35"/>
      <c r="G122" s="35"/>
      <c r="H122" s="35"/>
      <c r="I122" s="35"/>
      <c r="J122" s="35"/>
      <c r="K122" s="35">
        <f t="shared" si="18"/>
        <v>0</v>
      </c>
      <c r="L122" s="35"/>
      <c r="M122" s="35">
        <v>0</v>
      </c>
      <c r="N122" s="35"/>
      <c r="O122" s="35"/>
      <c r="P122" s="35"/>
      <c r="Q122" s="35"/>
      <c r="R122" s="35"/>
      <c r="S122" s="35">
        <v>0</v>
      </c>
      <c r="T122" s="35"/>
      <c r="U122" s="35"/>
      <c r="V122" s="35"/>
      <c r="W122" s="35">
        <f t="shared" si="24"/>
        <v>0</v>
      </c>
      <c r="X122" s="35"/>
      <c r="Y122" s="35" t="s">
        <v>155</v>
      </c>
      <c r="Z122" s="55"/>
      <c r="AA122" s="35" t="s">
        <v>40</v>
      </c>
      <c r="AB122" s="35"/>
      <c r="AC122" s="35">
        <v>0</v>
      </c>
      <c r="AD122" s="35"/>
      <c r="AE122" s="35">
        <v>0</v>
      </c>
      <c r="AF122" s="35"/>
      <c r="AG122" s="35">
        <v>0</v>
      </c>
      <c r="AH122" s="35"/>
      <c r="AI122" s="45">
        <f t="shared" si="28"/>
        <v>0</v>
      </c>
      <c r="AJ122" s="45"/>
      <c r="AK122" s="35"/>
      <c r="AL122" s="35"/>
      <c r="AM122" s="35">
        <v>0</v>
      </c>
      <c r="AN122" s="35"/>
      <c r="AO122" s="35">
        <v>0</v>
      </c>
      <c r="AP122" s="35"/>
      <c r="AQ122" s="35">
        <v>0</v>
      </c>
      <c r="AR122" s="35"/>
      <c r="AS122" s="45">
        <f t="shared" si="26"/>
        <v>0</v>
      </c>
      <c r="AT122" s="45"/>
      <c r="AU122" s="35">
        <v>0</v>
      </c>
      <c r="AV122" s="35"/>
      <c r="AW122" s="35">
        <v>0</v>
      </c>
      <c r="AX122" s="35"/>
      <c r="AY122" s="35">
        <f t="shared" si="27"/>
        <v>0</v>
      </c>
      <c r="AZ122" s="35"/>
      <c r="BA122" s="35" t="s">
        <v>155</v>
      </c>
      <c r="BB122" s="55"/>
      <c r="BC122" s="35" t="s">
        <v>40</v>
      </c>
      <c r="BD122" s="35"/>
      <c r="BE122" s="35"/>
      <c r="BF122" s="35"/>
      <c r="BG122" s="35"/>
      <c r="BH122" s="35"/>
      <c r="BI122" s="35"/>
      <c r="BJ122" s="35"/>
      <c r="BK122" s="35"/>
      <c r="BL122" s="35"/>
      <c r="BM122" s="35">
        <f t="shared" si="22"/>
        <v>0</v>
      </c>
      <c r="BN122" s="54" t="s">
        <v>347</v>
      </c>
    </row>
    <row r="123" spans="1:66" ht="13.2">
      <c r="A123" s="35" t="s">
        <v>156</v>
      </c>
      <c r="C123" s="35" t="s">
        <v>156</v>
      </c>
      <c r="D123" s="35"/>
      <c r="E123" s="35">
        <f t="shared" si="17"/>
        <v>2568986</v>
      </c>
      <c r="F123" s="35"/>
      <c r="G123" s="35">
        <f>659021+400304</f>
        <v>1059325</v>
      </c>
      <c r="H123" s="35"/>
      <c r="I123" s="35">
        <f>400304+3228007</f>
        <v>3628311</v>
      </c>
      <c r="J123" s="35"/>
      <c r="K123" s="35">
        <f t="shared" si="18"/>
        <v>386113</v>
      </c>
      <c r="L123" s="35"/>
      <c r="M123" s="35">
        <f>3420144+96806</f>
        <v>3516950</v>
      </c>
      <c r="N123" s="35"/>
      <c r="O123" s="35">
        <f>3665043+238020</f>
        <v>3903063</v>
      </c>
      <c r="P123" s="35"/>
      <c r="Q123" s="35">
        <f>162571+617878</f>
        <v>780449</v>
      </c>
      <c r="R123" s="35"/>
      <c r="S123" s="35">
        <v>0</v>
      </c>
      <c r="T123" s="35"/>
      <c r="U123" s="35">
        <f>2372109-3427310</f>
        <v>-1055201</v>
      </c>
      <c r="V123" s="35"/>
      <c r="W123" s="35">
        <f t="shared" si="24"/>
        <v>-274752</v>
      </c>
      <c r="X123" s="35"/>
      <c r="Y123" s="35" t="s">
        <v>156</v>
      </c>
      <c r="Z123" s="55"/>
      <c r="AA123" s="35" t="s">
        <v>156</v>
      </c>
      <c r="AB123" s="35"/>
      <c r="AC123" s="35">
        <f>2206014+387799</f>
        <v>2593813</v>
      </c>
      <c r="AD123" s="35"/>
      <c r="AE123" s="35">
        <f>2205461+9769-78290</f>
        <v>2136940</v>
      </c>
      <c r="AF123" s="35"/>
      <c r="AG123" s="35">
        <v>78290</v>
      </c>
      <c r="AH123" s="35"/>
      <c r="AI123" s="45">
        <f t="shared" si="28"/>
        <v>378583</v>
      </c>
      <c r="AJ123" s="45"/>
      <c r="AK123" s="35">
        <f>-58149-3057</f>
        <v>-61206</v>
      </c>
      <c r="AL123" s="35"/>
      <c r="AM123" s="35">
        <v>0</v>
      </c>
      <c r="AN123" s="35"/>
      <c r="AO123" s="35">
        <v>0</v>
      </c>
      <c r="AP123" s="35"/>
      <c r="AQ123" s="35">
        <v>0</v>
      </c>
      <c r="AR123" s="35"/>
      <c r="AS123" s="45">
        <f t="shared" si="26"/>
        <v>317377</v>
      </c>
      <c r="AT123" s="45"/>
      <c r="AU123" s="35">
        <v>0</v>
      </c>
      <c r="AV123" s="35"/>
      <c r="AW123" s="35">
        <v>0</v>
      </c>
      <c r="AX123" s="35"/>
      <c r="AY123" s="35">
        <f t="shared" si="27"/>
        <v>2182873</v>
      </c>
      <c r="AZ123" s="35"/>
      <c r="BA123" s="35" t="s">
        <v>156</v>
      </c>
      <c r="BB123" s="55"/>
      <c r="BC123" s="35" t="s">
        <v>156</v>
      </c>
      <c r="BD123" s="35"/>
      <c r="BE123" s="35">
        <v>0</v>
      </c>
      <c r="BF123" s="35"/>
      <c r="BG123" s="35">
        <v>0</v>
      </c>
      <c r="BH123" s="35"/>
      <c r="BI123" s="35">
        <v>0</v>
      </c>
      <c r="BJ123" s="35"/>
      <c r="BK123" s="35">
        <v>0</v>
      </c>
      <c r="BL123" s="35"/>
      <c r="BM123" s="35">
        <f t="shared" si="22"/>
        <v>0</v>
      </c>
      <c r="BN123" s="54" t="s">
        <v>347</v>
      </c>
    </row>
    <row r="124" spans="1:66" ht="13.2">
      <c r="A124" s="35" t="s">
        <v>157</v>
      </c>
      <c r="C124" s="35" t="s">
        <v>33</v>
      </c>
      <c r="D124" s="35"/>
      <c r="E124" s="35">
        <f t="shared" si="17"/>
        <v>98358</v>
      </c>
      <c r="F124" s="35"/>
      <c r="G124" s="35">
        <v>286890</v>
      </c>
      <c r="H124" s="35"/>
      <c r="I124" s="35">
        <v>385248</v>
      </c>
      <c r="J124" s="35"/>
      <c r="K124" s="35">
        <f t="shared" si="18"/>
        <v>215515</v>
      </c>
      <c r="L124" s="35"/>
      <c r="M124" s="35">
        <v>16799</v>
      </c>
      <c r="N124" s="35"/>
      <c r="O124" s="35">
        <v>232314</v>
      </c>
      <c r="P124" s="35"/>
      <c r="Q124" s="35">
        <v>285205</v>
      </c>
      <c r="R124" s="35"/>
      <c r="S124" s="35">
        <v>0</v>
      </c>
      <c r="T124" s="35"/>
      <c r="U124" s="35">
        <v>132271</v>
      </c>
      <c r="V124" s="35"/>
      <c r="W124" s="35">
        <f t="shared" si="24"/>
        <v>417476</v>
      </c>
      <c r="X124" s="35"/>
      <c r="Y124" s="35" t="s">
        <v>157</v>
      </c>
      <c r="Z124" s="55"/>
      <c r="AA124" s="35" t="s">
        <v>33</v>
      </c>
      <c r="AB124" s="35"/>
      <c r="AC124" s="35">
        <v>746476</v>
      </c>
      <c r="AD124" s="35"/>
      <c r="AE124" s="35">
        <f>628282-15583</f>
        <v>612699</v>
      </c>
      <c r="AF124" s="35"/>
      <c r="AG124" s="35">
        <v>15583</v>
      </c>
      <c r="AH124" s="35"/>
      <c r="AI124" s="45">
        <f t="shared" si="28"/>
        <v>118194</v>
      </c>
      <c r="AJ124" s="45"/>
      <c r="AK124" s="35">
        <v>0</v>
      </c>
      <c r="AL124" s="35"/>
      <c r="AM124" s="35">
        <v>0</v>
      </c>
      <c r="AN124" s="35"/>
      <c r="AO124" s="35">
        <v>0</v>
      </c>
      <c r="AP124" s="35"/>
      <c r="AQ124" s="35">
        <v>0</v>
      </c>
      <c r="AR124" s="35"/>
      <c r="AS124" s="45">
        <f t="shared" si="26"/>
        <v>118194</v>
      </c>
      <c r="AT124" s="45"/>
      <c r="AU124" s="35">
        <v>0</v>
      </c>
      <c r="AV124" s="35"/>
      <c r="AW124" s="35">
        <v>0</v>
      </c>
      <c r="AX124" s="35"/>
      <c r="AY124" s="35">
        <f t="shared" si="27"/>
        <v>-117157</v>
      </c>
      <c r="AZ124" s="35"/>
      <c r="BA124" s="35" t="s">
        <v>157</v>
      </c>
      <c r="BB124" s="55"/>
      <c r="BC124" s="35" t="s">
        <v>33</v>
      </c>
      <c r="BD124" s="35"/>
      <c r="BE124" s="35">
        <v>0</v>
      </c>
      <c r="BF124" s="35"/>
      <c r="BG124" s="35">
        <v>0</v>
      </c>
      <c r="BH124" s="35"/>
      <c r="BI124" s="35">
        <v>0</v>
      </c>
      <c r="BJ124" s="35"/>
      <c r="BK124" s="35">
        <v>0</v>
      </c>
      <c r="BL124" s="35"/>
      <c r="BM124" s="35">
        <f t="shared" si="22"/>
        <v>0</v>
      </c>
      <c r="BN124" s="54" t="s">
        <v>347</v>
      </c>
    </row>
    <row r="125" spans="1:66" ht="13.2" hidden="1">
      <c r="A125" s="35" t="s">
        <v>158</v>
      </c>
      <c r="C125" s="35" t="s">
        <v>159</v>
      </c>
      <c r="D125" s="35"/>
      <c r="E125" s="35">
        <f t="shared" si="17"/>
        <v>0</v>
      </c>
      <c r="F125" s="35"/>
      <c r="G125" s="35"/>
      <c r="H125" s="35"/>
      <c r="I125" s="35"/>
      <c r="J125" s="35"/>
      <c r="K125" s="35">
        <f t="shared" si="18"/>
        <v>0</v>
      </c>
      <c r="L125" s="35"/>
      <c r="M125" s="35">
        <v>0</v>
      </c>
      <c r="N125" s="35"/>
      <c r="O125" s="35"/>
      <c r="P125" s="35"/>
      <c r="Q125" s="35"/>
      <c r="R125" s="35"/>
      <c r="S125" s="35">
        <v>0</v>
      </c>
      <c r="T125" s="35"/>
      <c r="U125" s="35"/>
      <c r="V125" s="35"/>
      <c r="W125" s="35">
        <f t="shared" si="24"/>
        <v>0</v>
      </c>
      <c r="X125" s="35"/>
      <c r="Y125" s="35" t="s">
        <v>158</v>
      </c>
      <c r="Z125" s="55"/>
      <c r="AA125" s="35" t="s">
        <v>159</v>
      </c>
      <c r="AB125" s="35"/>
      <c r="AC125" s="35">
        <v>0</v>
      </c>
      <c r="AD125" s="35"/>
      <c r="AE125" s="35">
        <v>0</v>
      </c>
      <c r="AF125" s="35"/>
      <c r="AG125" s="35">
        <v>0</v>
      </c>
      <c r="AH125" s="35"/>
      <c r="AI125" s="45">
        <f t="shared" si="28"/>
        <v>0</v>
      </c>
      <c r="AJ125" s="45"/>
      <c r="AK125" s="35"/>
      <c r="AL125" s="35"/>
      <c r="AM125" s="35">
        <v>0</v>
      </c>
      <c r="AN125" s="35"/>
      <c r="AO125" s="35">
        <v>0</v>
      </c>
      <c r="AP125" s="35"/>
      <c r="AQ125" s="35">
        <v>0</v>
      </c>
      <c r="AR125" s="35"/>
      <c r="AS125" s="45">
        <f t="shared" si="26"/>
        <v>0</v>
      </c>
      <c r="AT125" s="45"/>
      <c r="AU125" s="35">
        <v>0</v>
      </c>
      <c r="AV125" s="35"/>
      <c r="AW125" s="35">
        <v>0</v>
      </c>
      <c r="AX125" s="35"/>
      <c r="AY125" s="35">
        <f t="shared" si="27"/>
        <v>0</v>
      </c>
      <c r="AZ125" s="35"/>
      <c r="BA125" s="35" t="s">
        <v>158</v>
      </c>
      <c r="BB125" s="55"/>
      <c r="BC125" s="35" t="s">
        <v>159</v>
      </c>
      <c r="BD125" s="35"/>
      <c r="BE125" s="35"/>
      <c r="BF125" s="35"/>
      <c r="BG125" s="35"/>
      <c r="BH125" s="35"/>
      <c r="BI125" s="35"/>
      <c r="BJ125" s="35"/>
      <c r="BK125" s="35"/>
      <c r="BL125" s="35"/>
      <c r="BM125" s="35">
        <f t="shared" si="22"/>
        <v>0</v>
      </c>
      <c r="BN125" s="54" t="s">
        <v>347</v>
      </c>
    </row>
    <row r="126" spans="1:66" ht="13.2" hidden="1">
      <c r="A126" s="35" t="s">
        <v>160</v>
      </c>
      <c r="C126" s="35" t="s">
        <v>111</v>
      </c>
      <c r="D126" s="35"/>
      <c r="E126" s="35">
        <f t="shared" si="17"/>
        <v>0</v>
      </c>
      <c r="F126" s="35"/>
      <c r="G126" s="35"/>
      <c r="H126" s="35"/>
      <c r="I126" s="35"/>
      <c r="J126" s="35"/>
      <c r="K126" s="35">
        <f t="shared" si="18"/>
        <v>0</v>
      </c>
      <c r="L126" s="35"/>
      <c r="M126" s="35">
        <v>0</v>
      </c>
      <c r="N126" s="35"/>
      <c r="O126" s="35"/>
      <c r="P126" s="35"/>
      <c r="Q126" s="35"/>
      <c r="R126" s="35"/>
      <c r="S126" s="35">
        <v>0</v>
      </c>
      <c r="T126" s="35"/>
      <c r="U126" s="35"/>
      <c r="V126" s="35"/>
      <c r="W126" s="35">
        <f t="shared" si="24"/>
        <v>0</v>
      </c>
      <c r="X126" s="35"/>
      <c r="Y126" s="35" t="s">
        <v>160</v>
      </c>
      <c r="Z126" s="55"/>
      <c r="AA126" s="35" t="s">
        <v>111</v>
      </c>
      <c r="AB126" s="35"/>
      <c r="AC126" s="35">
        <v>0</v>
      </c>
      <c r="AD126" s="35"/>
      <c r="AE126" s="35">
        <v>0</v>
      </c>
      <c r="AF126" s="35"/>
      <c r="AG126" s="35">
        <v>0</v>
      </c>
      <c r="AH126" s="35"/>
      <c r="AI126" s="45">
        <f t="shared" si="28"/>
        <v>0</v>
      </c>
      <c r="AJ126" s="45"/>
      <c r="AK126" s="35"/>
      <c r="AL126" s="35"/>
      <c r="AM126" s="35">
        <v>0</v>
      </c>
      <c r="AN126" s="35"/>
      <c r="AO126" s="35">
        <v>0</v>
      </c>
      <c r="AP126" s="35"/>
      <c r="AQ126" s="35">
        <v>0</v>
      </c>
      <c r="AR126" s="35"/>
      <c r="AS126" s="45">
        <f t="shared" si="26"/>
        <v>0</v>
      </c>
      <c r="AT126" s="45"/>
      <c r="AU126" s="35">
        <v>0</v>
      </c>
      <c r="AV126" s="35"/>
      <c r="AW126" s="35">
        <v>0</v>
      </c>
      <c r="AX126" s="35"/>
      <c r="AY126" s="35">
        <f t="shared" si="27"/>
        <v>0</v>
      </c>
      <c r="AZ126" s="35"/>
      <c r="BA126" s="35" t="s">
        <v>160</v>
      </c>
      <c r="BB126" s="55"/>
      <c r="BC126" s="35" t="s">
        <v>111</v>
      </c>
      <c r="BD126" s="35"/>
      <c r="BE126" s="35"/>
      <c r="BF126" s="35"/>
      <c r="BG126" s="35"/>
      <c r="BH126" s="35"/>
      <c r="BI126" s="35"/>
      <c r="BJ126" s="35"/>
      <c r="BK126" s="35"/>
      <c r="BL126" s="35"/>
      <c r="BM126" s="35">
        <f t="shared" si="22"/>
        <v>0</v>
      </c>
      <c r="BN126" s="54" t="s">
        <v>347</v>
      </c>
    </row>
    <row r="127" spans="1:66" ht="13.2">
      <c r="A127" s="35" t="s">
        <v>161</v>
      </c>
      <c r="C127" s="35" t="s">
        <v>15</v>
      </c>
      <c r="D127" s="35"/>
      <c r="E127" s="35">
        <f t="shared" si="17"/>
        <v>247957</v>
      </c>
      <c r="F127" s="35"/>
      <c r="G127" s="35">
        <v>368154</v>
      </c>
      <c r="H127" s="35"/>
      <c r="I127" s="35">
        <v>616111</v>
      </c>
      <c r="J127" s="35"/>
      <c r="K127" s="35">
        <f t="shared" si="18"/>
        <v>207509</v>
      </c>
      <c r="L127" s="35"/>
      <c r="M127" s="35">
        <v>68637</v>
      </c>
      <c r="N127" s="35"/>
      <c r="O127" s="35">
        <v>276146</v>
      </c>
      <c r="P127" s="35"/>
      <c r="Q127" s="35">
        <v>368154</v>
      </c>
      <c r="R127" s="35"/>
      <c r="S127" s="35">
        <v>0</v>
      </c>
      <c r="T127" s="35"/>
      <c r="U127" s="35">
        <v>-28189</v>
      </c>
      <c r="V127" s="35"/>
      <c r="W127" s="35">
        <f t="shared" si="24"/>
        <v>339965</v>
      </c>
      <c r="X127" s="35"/>
      <c r="Y127" s="35" t="s">
        <v>161</v>
      </c>
      <c r="Z127" s="55"/>
      <c r="AA127" s="35" t="s">
        <v>15</v>
      </c>
      <c r="AB127" s="35"/>
      <c r="AC127" s="35">
        <v>1000320</v>
      </c>
      <c r="AD127" s="35"/>
      <c r="AE127" s="35">
        <f>1131825-53141</f>
        <v>1078684</v>
      </c>
      <c r="AF127" s="35"/>
      <c r="AG127" s="35">
        <v>53141</v>
      </c>
      <c r="AH127" s="35"/>
      <c r="AI127" s="45">
        <f t="shared" si="28"/>
        <v>-131505</v>
      </c>
      <c r="AJ127" s="45"/>
      <c r="AK127" s="35">
        <v>0</v>
      </c>
      <c r="AL127" s="35"/>
      <c r="AM127" s="35">
        <v>0</v>
      </c>
      <c r="AN127" s="35"/>
      <c r="AO127" s="35">
        <v>0</v>
      </c>
      <c r="AP127" s="35"/>
      <c r="AQ127" s="35">
        <v>0</v>
      </c>
      <c r="AR127" s="35"/>
      <c r="AS127" s="45">
        <f t="shared" si="26"/>
        <v>-131505</v>
      </c>
      <c r="AT127" s="45"/>
      <c r="AU127" s="35">
        <v>0</v>
      </c>
      <c r="AV127" s="35"/>
      <c r="AW127" s="35">
        <v>0</v>
      </c>
      <c r="AX127" s="35"/>
      <c r="AY127" s="35">
        <f t="shared" si="27"/>
        <v>40448</v>
      </c>
      <c r="AZ127" s="35"/>
      <c r="BA127" s="35" t="s">
        <v>161</v>
      </c>
      <c r="BB127" s="55"/>
      <c r="BC127" s="35" t="s">
        <v>15</v>
      </c>
      <c r="BD127" s="35"/>
      <c r="BE127" s="35">
        <v>0</v>
      </c>
      <c r="BF127" s="35"/>
      <c r="BG127" s="35">
        <v>0</v>
      </c>
      <c r="BH127" s="35"/>
      <c r="BI127" s="35">
        <v>0</v>
      </c>
      <c r="BJ127" s="35"/>
      <c r="BK127" s="35">
        <v>0</v>
      </c>
      <c r="BL127" s="35"/>
      <c r="BM127" s="35">
        <f t="shared" si="22"/>
        <v>0</v>
      </c>
      <c r="BN127" s="54" t="s">
        <v>347</v>
      </c>
    </row>
    <row r="128" spans="1:66" ht="13.2" hidden="1">
      <c r="A128" s="35" t="s">
        <v>162</v>
      </c>
      <c r="C128" s="35" t="s">
        <v>163</v>
      </c>
      <c r="D128" s="35"/>
      <c r="E128" s="35">
        <f t="shared" si="17"/>
        <v>0</v>
      </c>
      <c r="F128" s="35"/>
      <c r="G128" s="35"/>
      <c r="H128" s="35"/>
      <c r="I128" s="35"/>
      <c r="J128" s="35"/>
      <c r="K128" s="35">
        <f t="shared" si="18"/>
        <v>0</v>
      </c>
      <c r="L128" s="35"/>
      <c r="M128" s="35">
        <v>0</v>
      </c>
      <c r="N128" s="35"/>
      <c r="O128" s="35"/>
      <c r="P128" s="35"/>
      <c r="Q128" s="35"/>
      <c r="R128" s="35"/>
      <c r="S128" s="35">
        <v>0</v>
      </c>
      <c r="T128" s="35"/>
      <c r="U128" s="35"/>
      <c r="V128" s="35"/>
      <c r="W128" s="35">
        <f t="shared" si="24"/>
        <v>0</v>
      </c>
      <c r="X128" s="35"/>
      <c r="Y128" s="35" t="s">
        <v>162</v>
      </c>
      <c r="Z128" s="55"/>
      <c r="AA128" s="35" t="s">
        <v>163</v>
      </c>
      <c r="AB128" s="35"/>
      <c r="AC128" s="35">
        <v>0</v>
      </c>
      <c r="AD128" s="35"/>
      <c r="AE128" s="35">
        <v>0</v>
      </c>
      <c r="AF128" s="35"/>
      <c r="AG128" s="35">
        <v>0</v>
      </c>
      <c r="AH128" s="35"/>
      <c r="AI128" s="45">
        <f t="shared" si="28"/>
        <v>0</v>
      </c>
      <c r="AJ128" s="45"/>
      <c r="AK128" s="35"/>
      <c r="AL128" s="35"/>
      <c r="AM128" s="35">
        <v>0</v>
      </c>
      <c r="AN128" s="35"/>
      <c r="AO128" s="35">
        <v>0</v>
      </c>
      <c r="AP128" s="35"/>
      <c r="AQ128" s="35">
        <v>0</v>
      </c>
      <c r="AR128" s="35"/>
      <c r="AS128" s="45">
        <f t="shared" si="26"/>
        <v>0</v>
      </c>
      <c r="AT128" s="45"/>
      <c r="AU128" s="35">
        <v>0</v>
      </c>
      <c r="AV128" s="35"/>
      <c r="AW128" s="35">
        <v>0</v>
      </c>
      <c r="AX128" s="35"/>
      <c r="AY128" s="35">
        <f t="shared" si="27"/>
        <v>0</v>
      </c>
      <c r="AZ128" s="35"/>
      <c r="BA128" s="35" t="s">
        <v>162</v>
      </c>
      <c r="BB128" s="55"/>
      <c r="BC128" s="35" t="s">
        <v>163</v>
      </c>
      <c r="BD128" s="35"/>
      <c r="BE128" s="35"/>
      <c r="BF128" s="35"/>
      <c r="BG128" s="35"/>
      <c r="BH128" s="35"/>
      <c r="BI128" s="35"/>
      <c r="BJ128" s="35"/>
      <c r="BK128" s="35"/>
      <c r="BL128" s="35"/>
      <c r="BM128" s="35">
        <f t="shared" si="22"/>
        <v>0</v>
      </c>
      <c r="BN128" s="54" t="s">
        <v>347</v>
      </c>
    </row>
    <row r="129" spans="1:66" ht="13.2" hidden="1">
      <c r="A129" s="35" t="s">
        <v>164</v>
      </c>
      <c r="C129" s="35" t="s">
        <v>27</v>
      </c>
      <c r="D129" s="35"/>
      <c r="E129" s="35">
        <f t="shared" si="17"/>
        <v>0</v>
      </c>
      <c r="F129" s="35"/>
      <c r="G129" s="35"/>
      <c r="H129" s="35"/>
      <c r="I129" s="35"/>
      <c r="J129" s="35"/>
      <c r="K129" s="35">
        <f t="shared" si="18"/>
        <v>0</v>
      </c>
      <c r="L129" s="35"/>
      <c r="M129" s="35">
        <v>0</v>
      </c>
      <c r="N129" s="35"/>
      <c r="O129" s="35"/>
      <c r="P129" s="35"/>
      <c r="Q129" s="35"/>
      <c r="R129" s="35"/>
      <c r="S129" s="35">
        <v>0</v>
      </c>
      <c r="T129" s="35"/>
      <c r="U129" s="35"/>
      <c r="V129" s="35"/>
      <c r="W129" s="35">
        <f t="shared" si="24"/>
        <v>0</v>
      </c>
      <c r="X129" s="35"/>
      <c r="Y129" s="35" t="s">
        <v>164</v>
      </c>
      <c r="Z129" s="55"/>
      <c r="AA129" s="35" t="s">
        <v>27</v>
      </c>
      <c r="AB129" s="35"/>
      <c r="AC129" s="35">
        <v>0</v>
      </c>
      <c r="AD129" s="35"/>
      <c r="AE129" s="35">
        <v>0</v>
      </c>
      <c r="AF129" s="35"/>
      <c r="AG129" s="35">
        <v>0</v>
      </c>
      <c r="AH129" s="35"/>
      <c r="AI129" s="45">
        <v>0</v>
      </c>
      <c r="AJ129" s="45"/>
      <c r="AK129" s="35"/>
      <c r="AL129" s="35"/>
      <c r="AM129" s="35">
        <v>0</v>
      </c>
      <c r="AN129" s="35"/>
      <c r="AO129" s="35">
        <v>0</v>
      </c>
      <c r="AP129" s="35"/>
      <c r="AQ129" s="35">
        <v>0</v>
      </c>
      <c r="AR129" s="35"/>
      <c r="AS129" s="45">
        <f t="shared" si="26"/>
        <v>0</v>
      </c>
      <c r="AT129" s="45"/>
      <c r="AU129" s="35">
        <v>0</v>
      </c>
      <c r="AV129" s="35"/>
      <c r="AW129" s="35">
        <v>0</v>
      </c>
      <c r="AX129" s="35"/>
      <c r="AY129" s="35">
        <f t="shared" si="27"/>
        <v>0</v>
      </c>
      <c r="AZ129" s="35"/>
      <c r="BA129" s="35" t="s">
        <v>164</v>
      </c>
      <c r="BB129" s="55"/>
      <c r="BC129" s="35" t="s">
        <v>27</v>
      </c>
      <c r="BD129" s="35"/>
      <c r="BE129" s="35"/>
      <c r="BF129" s="35"/>
      <c r="BG129" s="35"/>
      <c r="BH129" s="35"/>
      <c r="BI129" s="35"/>
      <c r="BJ129" s="35"/>
      <c r="BK129" s="35"/>
      <c r="BL129" s="35"/>
      <c r="BM129" s="35">
        <f t="shared" si="22"/>
        <v>0</v>
      </c>
      <c r="BN129" s="54" t="s">
        <v>347</v>
      </c>
    </row>
    <row r="130" spans="1:66" ht="13.2">
      <c r="A130" s="35" t="s">
        <v>53</v>
      </c>
      <c r="C130" s="35" t="s">
        <v>53</v>
      </c>
      <c r="D130" s="35"/>
      <c r="E130" s="35">
        <f t="shared" si="17"/>
        <v>1887029</v>
      </c>
      <c r="F130" s="35"/>
      <c r="G130" s="35">
        <v>125691</v>
      </c>
      <c r="H130" s="35"/>
      <c r="I130" s="35">
        <v>2012720</v>
      </c>
      <c r="J130" s="35"/>
      <c r="K130" s="35">
        <f t="shared" si="18"/>
        <v>126061</v>
      </c>
      <c r="L130" s="35"/>
      <c r="M130" s="35">
        <v>28800</v>
      </c>
      <c r="N130" s="35"/>
      <c r="O130" s="35">
        <v>154861</v>
      </c>
      <c r="P130" s="35"/>
      <c r="Q130" s="35">
        <v>125691</v>
      </c>
      <c r="R130" s="35"/>
      <c r="S130" s="35">
        <v>0</v>
      </c>
      <c r="T130" s="35"/>
      <c r="U130" s="35">
        <v>1732168</v>
      </c>
      <c r="V130" s="35"/>
      <c r="W130" s="35">
        <f t="shared" si="24"/>
        <v>1857859</v>
      </c>
      <c r="X130" s="35"/>
      <c r="Y130" s="35" t="s">
        <v>53</v>
      </c>
      <c r="Z130" s="55"/>
      <c r="AA130" s="35" t="s">
        <v>53</v>
      </c>
      <c r="AB130" s="35"/>
      <c r="AC130" s="35">
        <v>3017195</v>
      </c>
      <c r="AD130" s="35"/>
      <c r="AE130" s="35">
        <v>3059067</v>
      </c>
      <c r="AF130" s="35"/>
      <c r="AG130" s="35">
        <v>0</v>
      </c>
      <c r="AH130" s="35"/>
      <c r="AI130" s="45">
        <f t="shared" ref="AI130:AI191" si="29">+AC130-AE130-AG130</f>
        <v>-41872</v>
      </c>
      <c r="AJ130" s="45"/>
      <c r="AK130" s="35">
        <v>39048</v>
      </c>
      <c r="AL130" s="35"/>
      <c r="AM130" s="35">
        <v>0</v>
      </c>
      <c r="AN130" s="35"/>
      <c r="AO130" s="35">
        <v>0</v>
      </c>
      <c r="AP130" s="35"/>
      <c r="AQ130" s="35">
        <v>0</v>
      </c>
      <c r="AR130" s="35"/>
      <c r="AS130" s="45">
        <f t="shared" si="26"/>
        <v>-2824</v>
      </c>
      <c r="AT130" s="45"/>
      <c r="AU130" s="35">
        <v>0</v>
      </c>
      <c r="AV130" s="35"/>
      <c r="AW130" s="35">
        <v>0</v>
      </c>
      <c r="AX130" s="35"/>
      <c r="AY130" s="35">
        <f t="shared" si="27"/>
        <v>1760968</v>
      </c>
      <c r="AZ130" s="35"/>
      <c r="BA130" s="35" t="s">
        <v>53</v>
      </c>
      <c r="BB130" s="55"/>
      <c r="BC130" s="35" t="s">
        <v>53</v>
      </c>
      <c r="BD130" s="35"/>
      <c r="BE130" s="35">
        <f>2125000+3620000</f>
        <v>5745000</v>
      </c>
      <c r="BF130" s="35"/>
      <c r="BG130" s="35">
        <v>0</v>
      </c>
      <c r="BH130" s="35"/>
      <c r="BI130" s="35">
        <v>0</v>
      </c>
      <c r="BJ130" s="35"/>
      <c r="BK130" s="35">
        <v>0</v>
      </c>
      <c r="BL130" s="35"/>
      <c r="BM130" s="35">
        <f t="shared" si="22"/>
        <v>5745000</v>
      </c>
      <c r="BN130" s="54" t="s">
        <v>347</v>
      </c>
    </row>
    <row r="131" spans="1:66" ht="13.2" hidden="1">
      <c r="A131" s="35" t="s">
        <v>165</v>
      </c>
      <c r="C131" s="35" t="s">
        <v>92</v>
      </c>
      <c r="D131" s="35"/>
      <c r="E131" s="35">
        <f t="shared" si="17"/>
        <v>0</v>
      </c>
      <c r="F131" s="35"/>
      <c r="G131" s="35"/>
      <c r="H131" s="35"/>
      <c r="I131" s="35"/>
      <c r="J131" s="35"/>
      <c r="K131" s="35">
        <f t="shared" si="18"/>
        <v>0</v>
      </c>
      <c r="L131" s="35"/>
      <c r="M131" s="35">
        <v>0</v>
      </c>
      <c r="N131" s="35"/>
      <c r="O131" s="35"/>
      <c r="P131" s="35"/>
      <c r="Q131" s="35"/>
      <c r="R131" s="35"/>
      <c r="S131" s="35">
        <v>0</v>
      </c>
      <c r="T131" s="35"/>
      <c r="U131" s="35"/>
      <c r="V131" s="35"/>
      <c r="W131" s="35">
        <f t="shared" si="24"/>
        <v>0</v>
      </c>
      <c r="X131" s="35"/>
      <c r="Y131" s="35" t="s">
        <v>165</v>
      </c>
      <c r="Z131" s="55"/>
      <c r="AA131" s="35" t="s">
        <v>92</v>
      </c>
      <c r="AB131" s="35"/>
      <c r="AC131" s="35">
        <v>0</v>
      </c>
      <c r="AD131" s="35"/>
      <c r="AE131" s="35">
        <v>0</v>
      </c>
      <c r="AF131" s="35"/>
      <c r="AG131" s="35">
        <v>0</v>
      </c>
      <c r="AH131" s="35"/>
      <c r="AI131" s="45">
        <f t="shared" si="29"/>
        <v>0</v>
      </c>
      <c r="AJ131" s="45"/>
      <c r="AK131" s="35"/>
      <c r="AL131" s="35"/>
      <c r="AM131" s="35">
        <v>0</v>
      </c>
      <c r="AN131" s="35"/>
      <c r="AO131" s="35">
        <v>0</v>
      </c>
      <c r="AP131" s="35"/>
      <c r="AQ131" s="35">
        <v>0</v>
      </c>
      <c r="AR131" s="35"/>
      <c r="AS131" s="45">
        <f t="shared" si="26"/>
        <v>0</v>
      </c>
      <c r="AT131" s="45"/>
      <c r="AU131" s="35">
        <v>0</v>
      </c>
      <c r="AV131" s="35"/>
      <c r="AW131" s="35">
        <v>0</v>
      </c>
      <c r="AX131" s="35"/>
      <c r="AY131" s="35">
        <f t="shared" si="27"/>
        <v>0</v>
      </c>
      <c r="AZ131" s="35"/>
      <c r="BA131" s="35" t="s">
        <v>165</v>
      </c>
      <c r="BB131" s="55"/>
      <c r="BC131" s="35" t="s">
        <v>92</v>
      </c>
      <c r="BD131" s="35"/>
      <c r="BE131" s="35"/>
      <c r="BF131" s="35"/>
      <c r="BG131" s="35"/>
      <c r="BH131" s="35"/>
      <c r="BI131" s="35"/>
      <c r="BJ131" s="35"/>
      <c r="BK131" s="35"/>
      <c r="BL131" s="35"/>
      <c r="BM131" s="35">
        <f t="shared" si="22"/>
        <v>0</v>
      </c>
      <c r="BN131" s="54" t="s">
        <v>347</v>
      </c>
    </row>
    <row r="132" spans="1:66" ht="13.2" hidden="1">
      <c r="A132" s="35" t="s">
        <v>166</v>
      </c>
      <c r="C132" s="35" t="s">
        <v>92</v>
      </c>
      <c r="D132" s="35"/>
      <c r="E132" s="35">
        <f t="shared" si="17"/>
        <v>0</v>
      </c>
      <c r="F132" s="35"/>
      <c r="G132" s="35"/>
      <c r="H132" s="35"/>
      <c r="I132" s="35"/>
      <c r="J132" s="35"/>
      <c r="K132" s="35">
        <f t="shared" si="18"/>
        <v>0</v>
      </c>
      <c r="L132" s="35"/>
      <c r="M132" s="35">
        <v>0</v>
      </c>
      <c r="N132" s="35"/>
      <c r="O132" s="35"/>
      <c r="P132" s="35"/>
      <c r="Q132" s="35"/>
      <c r="R132" s="35"/>
      <c r="S132" s="35">
        <v>0</v>
      </c>
      <c r="T132" s="35"/>
      <c r="U132" s="35"/>
      <c r="V132" s="35"/>
      <c r="W132" s="35">
        <f t="shared" si="24"/>
        <v>0</v>
      </c>
      <c r="X132" s="35"/>
      <c r="Y132" s="35" t="s">
        <v>166</v>
      </c>
      <c r="Z132" s="55"/>
      <c r="AA132" s="35" t="s">
        <v>92</v>
      </c>
      <c r="AB132" s="35"/>
      <c r="AC132" s="35">
        <v>0</v>
      </c>
      <c r="AD132" s="35"/>
      <c r="AE132" s="35">
        <v>0</v>
      </c>
      <c r="AF132" s="35"/>
      <c r="AG132" s="35">
        <v>0</v>
      </c>
      <c r="AH132" s="35"/>
      <c r="AI132" s="45">
        <f t="shared" si="29"/>
        <v>0</v>
      </c>
      <c r="AJ132" s="45"/>
      <c r="AK132" s="35"/>
      <c r="AL132" s="35"/>
      <c r="AM132" s="35">
        <v>0</v>
      </c>
      <c r="AN132" s="35"/>
      <c r="AO132" s="35">
        <v>0</v>
      </c>
      <c r="AP132" s="35"/>
      <c r="AQ132" s="35">
        <v>0</v>
      </c>
      <c r="AR132" s="35"/>
      <c r="AS132" s="45">
        <f t="shared" si="26"/>
        <v>0</v>
      </c>
      <c r="AT132" s="45"/>
      <c r="AU132" s="35">
        <v>0</v>
      </c>
      <c r="AV132" s="35"/>
      <c r="AW132" s="35">
        <v>0</v>
      </c>
      <c r="AX132" s="35"/>
      <c r="AY132" s="35">
        <f t="shared" si="27"/>
        <v>0</v>
      </c>
      <c r="AZ132" s="35"/>
      <c r="BA132" s="35" t="s">
        <v>166</v>
      </c>
      <c r="BB132" s="55"/>
      <c r="BC132" s="35" t="s">
        <v>92</v>
      </c>
      <c r="BD132" s="35"/>
      <c r="BE132" s="35"/>
      <c r="BF132" s="35"/>
      <c r="BG132" s="35"/>
      <c r="BH132" s="35"/>
      <c r="BI132" s="35"/>
      <c r="BJ132" s="35"/>
      <c r="BK132" s="35"/>
      <c r="BL132" s="35"/>
      <c r="BM132" s="35">
        <f t="shared" si="22"/>
        <v>0</v>
      </c>
      <c r="BN132" s="54" t="s">
        <v>347</v>
      </c>
    </row>
    <row r="133" spans="1:66" ht="13.2" hidden="1">
      <c r="A133" s="35" t="s">
        <v>167</v>
      </c>
      <c r="C133" s="35" t="s">
        <v>66</v>
      </c>
      <c r="D133" s="35"/>
      <c r="E133" s="35">
        <f t="shared" si="17"/>
        <v>0</v>
      </c>
      <c r="F133" s="35"/>
      <c r="G133" s="35"/>
      <c r="H133" s="35"/>
      <c r="I133" s="35"/>
      <c r="J133" s="35"/>
      <c r="K133" s="35">
        <f t="shared" si="18"/>
        <v>0</v>
      </c>
      <c r="L133" s="35"/>
      <c r="M133" s="35">
        <v>0</v>
      </c>
      <c r="N133" s="35"/>
      <c r="O133" s="35"/>
      <c r="P133" s="35"/>
      <c r="Q133" s="35"/>
      <c r="R133" s="35"/>
      <c r="S133" s="35">
        <v>0</v>
      </c>
      <c r="T133" s="35"/>
      <c r="U133" s="35"/>
      <c r="V133" s="35"/>
      <c r="W133" s="35">
        <f t="shared" si="24"/>
        <v>0</v>
      </c>
      <c r="X133" s="35"/>
      <c r="Y133" s="35" t="s">
        <v>167</v>
      </c>
      <c r="Z133" s="55"/>
      <c r="AA133" s="35" t="s">
        <v>66</v>
      </c>
      <c r="AB133" s="35"/>
      <c r="AC133" s="35">
        <v>0</v>
      </c>
      <c r="AD133" s="35"/>
      <c r="AE133" s="35">
        <v>0</v>
      </c>
      <c r="AF133" s="35"/>
      <c r="AG133" s="35">
        <v>0</v>
      </c>
      <c r="AH133" s="35"/>
      <c r="AI133" s="45">
        <f t="shared" si="29"/>
        <v>0</v>
      </c>
      <c r="AJ133" s="45"/>
      <c r="AK133" s="35"/>
      <c r="AL133" s="35"/>
      <c r="AM133" s="35">
        <v>0</v>
      </c>
      <c r="AN133" s="35"/>
      <c r="AO133" s="35">
        <v>0</v>
      </c>
      <c r="AP133" s="35"/>
      <c r="AQ133" s="35">
        <v>0</v>
      </c>
      <c r="AR133" s="35"/>
      <c r="AS133" s="45">
        <f t="shared" si="26"/>
        <v>0</v>
      </c>
      <c r="AT133" s="45"/>
      <c r="AU133" s="35">
        <v>0</v>
      </c>
      <c r="AV133" s="35"/>
      <c r="AW133" s="35">
        <v>0</v>
      </c>
      <c r="AX133" s="35"/>
      <c r="AY133" s="35">
        <f t="shared" si="27"/>
        <v>0</v>
      </c>
      <c r="AZ133" s="35"/>
      <c r="BA133" s="35" t="s">
        <v>167</v>
      </c>
      <c r="BB133" s="55"/>
      <c r="BC133" s="35" t="s">
        <v>66</v>
      </c>
      <c r="BD133" s="35"/>
      <c r="BE133" s="35"/>
      <c r="BF133" s="35"/>
      <c r="BG133" s="35"/>
      <c r="BH133" s="35"/>
      <c r="BI133" s="35"/>
      <c r="BJ133" s="35"/>
      <c r="BK133" s="35"/>
      <c r="BL133" s="35"/>
      <c r="BM133" s="35">
        <f t="shared" si="22"/>
        <v>0</v>
      </c>
      <c r="BN133" s="54" t="s">
        <v>347</v>
      </c>
    </row>
    <row r="134" spans="1:66" ht="13.2" hidden="1">
      <c r="A134" s="44" t="s">
        <v>168</v>
      </c>
      <c r="C134" s="44" t="s">
        <v>27</v>
      </c>
      <c r="D134" s="44"/>
      <c r="E134" s="35">
        <f t="shared" si="17"/>
        <v>0</v>
      </c>
      <c r="F134" s="35"/>
      <c r="G134" s="35"/>
      <c r="H134" s="35"/>
      <c r="I134" s="35"/>
      <c r="J134" s="35"/>
      <c r="K134" s="35">
        <f t="shared" si="18"/>
        <v>0</v>
      </c>
      <c r="L134" s="35"/>
      <c r="M134" s="35">
        <v>0</v>
      </c>
      <c r="N134" s="35"/>
      <c r="O134" s="35"/>
      <c r="P134" s="35"/>
      <c r="Q134" s="35"/>
      <c r="R134" s="35"/>
      <c r="S134" s="35">
        <v>0</v>
      </c>
      <c r="T134" s="35"/>
      <c r="U134" s="35"/>
      <c r="V134" s="35"/>
      <c r="W134" s="35">
        <f t="shared" si="24"/>
        <v>0</v>
      </c>
      <c r="X134" s="35"/>
      <c r="Y134" s="44" t="s">
        <v>168</v>
      </c>
      <c r="Z134" s="55"/>
      <c r="AA134" s="44" t="s">
        <v>27</v>
      </c>
      <c r="AB134" s="44"/>
      <c r="AC134" s="35">
        <v>0</v>
      </c>
      <c r="AD134" s="35"/>
      <c r="AE134" s="35">
        <v>0</v>
      </c>
      <c r="AF134" s="35"/>
      <c r="AG134" s="35">
        <v>0</v>
      </c>
      <c r="AH134" s="35"/>
      <c r="AI134" s="45">
        <f t="shared" si="29"/>
        <v>0</v>
      </c>
      <c r="AJ134" s="45"/>
      <c r="AK134" s="35"/>
      <c r="AL134" s="35"/>
      <c r="AM134" s="35">
        <v>0</v>
      </c>
      <c r="AN134" s="35"/>
      <c r="AO134" s="35">
        <v>0</v>
      </c>
      <c r="AP134" s="35"/>
      <c r="AQ134" s="35">
        <v>0</v>
      </c>
      <c r="AR134" s="35"/>
      <c r="AS134" s="45">
        <f t="shared" si="26"/>
        <v>0</v>
      </c>
      <c r="AT134" s="45"/>
      <c r="AU134" s="35">
        <v>0</v>
      </c>
      <c r="AV134" s="35"/>
      <c r="AW134" s="35">
        <v>0</v>
      </c>
      <c r="AX134" s="35"/>
      <c r="AY134" s="35">
        <f t="shared" si="27"/>
        <v>0</v>
      </c>
      <c r="AZ134" s="35"/>
      <c r="BA134" s="44" t="s">
        <v>168</v>
      </c>
      <c r="BB134" s="55"/>
      <c r="BC134" s="44" t="s">
        <v>27</v>
      </c>
      <c r="BD134" s="44"/>
      <c r="BE134" s="35"/>
      <c r="BF134" s="35"/>
      <c r="BG134" s="35"/>
      <c r="BH134" s="35"/>
      <c r="BI134" s="35"/>
      <c r="BJ134" s="35"/>
      <c r="BK134" s="35"/>
      <c r="BL134" s="35"/>
      <c r="BM134" s="35">
        <f t="shared" si="22"/>
        <v>0</v>
      </c>
      <c r="BN134" s="54" t="s">
        <v>347</v>
      </c>
    </row>
    <row r="135" spans="1:66" ht="13.2">
      <c r="A135" s="35" t="s">
        <v>169</v>
      </c>
      <c r="C135" s="35" t="s">
        <v>103</v>
      </c>
      <c r="D135" s="35"/>
      <c r="E135" s="35">
        <f t="shared" si="17"/>
        <v>551012</v>
      </c>
      <c r="F135" s="35"/>
      <c r="G135" s="35">
        <v>457182</v>
      </c>
      <c r="H135" s="35"/>
      <c r="I135" s="35">
        <v>1008194</v>
      </c>
      <c r="J135" s="35"/>
      <c r="K135" s="35">
        <f t="shared" si="18"/>
        <v>438243</v>
      </c>
      <c r="L135" s="35"/>
      <c r="M135" s="35">
        <v>991745</v>
      </c>
      <c r="N135" s="35"/>
      <c r="O135" s="35">
        <v>1429988</v>
      </c>
      <c r="P135" s="35"/>
      <c r="Q135" s="35">
        <v>-809159</v>
      </c>
      <c r="R135" s="35"/>
      <c r="S135" s="35">
        <v>0</v>
      </c>
      <c r="T135" s="35"/>
      <c r="U135" s="35">
        <v>387365</v>
      </c>
      <c r="V135" s="35"/>
      <c r="W135" s="35">
        <f t="shared" si="24"/>
        <v>-421794</v>
      </c>
      <c r="X135" s="35"/>
      <c r="Y135" s="35" t="s">
        <v>169</v>
      </c>
      <c r="Z135" s="55"/>
      <c r="AA135" s="35" t="s">
        <v>103</v>
      </c>
      <c r="AB135" s="35"/>
      <c r="AC135" s="35">
        <v>2838432</v>
      </c>
      <c r="AD135" s="35"/>
      <c r="AE135" s="35">
        <f>2460307-1659</f>
        <v>2458648</v>
      </c>
      <c r="AF135" s="35"/>
      <c r="AG135" s="35">
        <v>1659</v>
      </c>
      <c r="AH135" s="35"/>
      <c r="AI135" s="45">
        <f t="shared" si="29"/>
        <v>378125</v>
      </c>
      <c r="AJ135" s="45"/>
      <c r="AK135" s="35">
        <v>-35136</v>
      </c>
      <c r="AL135" s="35"/>
      <c r="AM135" s="35">
        <v>0</v>
      </c>
      <c r="AN135" s="35"/>
      <c r="AO135" s="35">
        <v>0</v>
      </c>
      <c r="AP135" s="35"/>
      <c r="AQ135" s="35">
        <v>0</v>
      </c>
      <c r="AR135" s="35"/>
      <c r="AS135" s="45">
        <f t="shared" si="26"/>
        <v>342989</v>
      </c>
      <c r="AT135" s="45"/>
      <c r="AU135" s="35">
        <v>0</v>
      </c>
      <c r="AV135" s="35"/>
      <c r="AW135" s="35">
        <v>0</v>
      </c>
      <c r="AX135" s="35"/>
      <c r="AY135" s="35">
        <f t="shared" si="27"/>
        <v>112769</v>
      </c>
      <c r="AZ135" s="35"/>
      <c r="BA135" s="35" t="s">
        <v>169</v>
      </c>
      <c r="BB135" s="55"/>
      <c r="BC135" s="35" t="s">
        <v>103</v>
      </c>
      <c r="BD135" s="35"/>
      <c r="BE135" s="35">
        <f>1095079+115000</f>
        <v>1210079</v>
      </c>
      <c r="BF135" s="35"/>
      <c r="BG135" s="35">
        <v>0</v>
      </c>
      <c r="BH135" s="35"/>
      <c r="BI135" s="35">
        <v>0</v>
      </c>
      <c r="BJ135" s="35"/>
      <c r="BK135" s="35">
        <v>0</v>
      </c>
      <c r="BL135" s="35"/>
      <c r="BM135" s="35">
        <f t="shared" si="22"/>
        <v>1210079</v>
      </c>
      <c r="BN135" s="54" t="s">
        <v>347</v>
      </c>
    </row>
    <row r="136" spans="1:66" ht="13.2" hidden="1">
      <c r="A136" s="35" t="s">
        <v>170</v>
      </c>
      <c r="C136" s="35" t="s">
        <v>171</v>
      </c>
      <c r="D136" s="35"/>
      <c r="E136" s="35">
        <f t="shared" si="17"/>
        <v>0</v>
      </c>
      <c r="F136" s="35"/>
      <c r="G136" s="35"/>
      <c r="H136" s="35"/>
      <c r="I136" s="35"/>
      <c r="J136" s="35"/>
      <c r="K136" s="35">
        <f t="shared" si="18"/>
        <v>0</v>
      </c>
      <c r="L136" s="35"/>
      <c r="M136" s="35">
        <v>0</v>
      </c>
      <c r="N136" s="35"/>
      <c r="O136" s="35"/>
      <c r="P136" s="35"/>
      <c r="Q136" s="35"/>
      <c r="R136" s="35"/>
      <c r="S136" s="35">
        <v>0</v>
      </c>
      <c r="T136" s="35"/>
      <c r="U136" s="35"/>
      <c r="V136" s="35"/>
      <c r="W136" s="35">
        <f t="shared" si="24"/>
        <v>0</v>
      </c>
      <c r="X136" s="35"/>
      <c r="Y136" s="35" t="s">
        <v>170</v>
      </c>
      <c r="Z136" s="55"/>
      <c r="AA136" s="35" t="s">
        <v>171</v>
      </c>
      <c r="AB136" s="35"/>
      <c r="AC136" s="35">
        <v>0</v>
      </c>
      <c r="AD136" s="35"/>
      <c r="AE136" s="35">
        <v>0</v>
      </c>
      <c r="AF136" s="35"/>
      <c r="AG136" s="35">
        <v>0</v>
      </c>
      <c r="AH136" s="35"/>
      <c r="AI136" s="45">
        <f t="shared" si="29"/>
        <v>0</v>
      </c>
      <c r="AJ136" s="45"/>
      <c r="AK136" s="35"/>
      <c r="AL136" s="35"/>
      <c r="AM136" s="35">
        <v>0</v>
      </c>
      <c r="AN136" s="35"/>
      <c r="AO136" s="35">
        <v>0</v>
      </c>
      <c r="AP136" s="35"/>
      <c r="AQ136" s="35">
        <v>0</v>
      </c>
      <c r="AR136" s="35"/>
      <c r="AS136" s="45">
        <f t="shared" si="26"/>
        <v>0</v>
      </c>
      <c r="AT136" s="45"/>
      <c r="AU136" s="35">
        <v>0</v>
      </c>
      <c r="AV136" s="35"/>
      <c r="AW136" s="35">
        <v>0</v>
      </c>
      <c r="AX136" s="35"/>
      <c r="AY136" s="35">
        <f t="shared" si="27"/>
        <v>0</v>
      </c>
      <c r="AZ136" s="35"/>
      <c r="BA136" s="35" t="s">
        <v>170</v>
      </c>
      <c r="BB136" s="55"/>
      <c r="BC136" s="35" t="s">
        <v>171</v>
      </c>
      <c r="BD136" s="35"/>
      <c r="BE136" s="35"/>
      <c r="BF136" s="35"/>
      <c r="BG136" s="35"/>
      <c r="BH136" s="35"/>
      <c r="BI136" s="35"/>
      <c r="BJ136" s="35"/>
      <c r="BK136" s="35"/>
      <c r="BL136" s="35"/>
      <c r="BM136" s="35">
        <f t="shared" si="22"/>
        <v>0</v>
      </c>
      <c r="BN136" s="54" t="s">
        <v>347</v>
      </c>
    </row>
    <row r="137" spans="1:66" ht="13.2" hidden="1">
      <c r="A137" s="35" t="s">
        <v>172</v>
      </c>
      <c r="C137" s="35" t="s">
        <v>103</v>
      </c>
      <c r="D137" s="35"/>
      <c r="E137" s="35">
        <f t="shared" si="17"/>
        <v>0</v>
      </c>
      <c r="F137" s="35"/>
      <c r="G137" s="35"/>
      <c r="H137" s="35"/>
      <c r="I137" s="35"/>
      <c r="J137" s="35"/>
      <c r="K137" s="35">
        <f t="shared" si="18"/>
        <v>0</v>
      </c>
      <c r="L137" s="35"/>
      <c r="M137" s="35">
        <v>0</v>
      </c>
      <c r="N137" s="35"/>
      <c r="O137" s="35"/>
      <c r="P137" s="35"/>
      <c r="Q137" s="35"/>
      <c r="R137" s="35"/>
      <c r="S137" s="35">
        <v>0</v>
      </c>
      <c r="T137" s="35"/>
      <c r="U137" s="35"/>
      <c r="V137" s="35"/>
      <c r="W137" s="35">
        <f t="shared" si="24"/>
        <v>0</v>
      </c>
      <c r="X137" s="35"/>
      <c r="Y137" s="35" t="s">
        <v>172</v>
      </c>
      <c r="Z137" s="55"/>
      <c r="AA137" s="35" t="s">
        <v>103</v>
      </c>
      <c r="AB137" s="35"/>
      <c r="AC137" s="35">
        <v>0</v>
      </c>
      <c r="AD137" s="35"/>
      <c r="AE137" s="35">
        <v>0</v>
      </c>
      <c r="AF137" s="35"/>
      <c r="AG137" s="35">
        <v>0</v>
      </c>
      <c r="AH137" s="35"/>
      <c r="AI137" s="45">
        <f t="shared" si="29"/>
        <v>0</v>
      </c>
      <c r="AJ137" s="45"/>
      <c r="AK137" s="35"/>
      <c r="AL137" s="35"/>
      <c r="AM137" s="35">
        <v>0</v>
      </c>
      <c r="AN137" s="35"/>
      <c r="AO137" s="35">
        <v>0</v>
      </c>
      <c r="AP137" s="35"/>
      <c r="AQ137" s="35">
        <v>0</v>
      </c>
      <c r="AR137" s="35"/>
      <c r="AS137" s="45">
        <f t="shared" si="26"/>
        <v>0</v>
      </c>
      <c r="AT137" s="45"/>
      <c r="AU137" s="35">
        <v>0</v>
      </c>
      <c r="AV137" s="35"/>
      <c r="AW137" s="35">
        <v>0</v>
      </c>
      <c r="AX137" s="35"/>
      <c r="AY137" s="35">
        <f t="shared" si="27"/>
        <v>0</v>
      </c>
      <c r="AZ137" s="35"/>
      <c r="BA137" s="35" t="s">
        <v>172</v>
      </c>
      <c r="BB137" s="55"/>
      <c r="BC137" s="35" t="s">
        <v>103</v>
      </c>
      <c r="BD137" s="35"/>
      <c r="BE137" s="35"/>
      <c r="BF137" s="35"/>
      <c r="BG137" s="35"/>
      <c r="BH137" s="35"/>
      <c r="BI137" s="35"/>
      <c r="BJ137" s="35"/>
      <c r="BK137" s="35"/>
      <c r="BL137" s="35"/>
      <c r="BM137" s="35">
        <f t="shared" si="22"/>
        <v>0</v>
      </c>
      <c r="BN137" s="54" t="s">
        <v>347</v>
      </c>
    </row>
    <row r="138" spans="1:66" ht="13.2" hidden="1">
      <c r="A138" s="35" t="s">
        <v>66</v>
      </c>
      <c r="C138" s="35" t="s">
        <v>45</v>
      </c>
      <c r="D138" s="35"/>
      <c r="E138" s="35">
        <f t="shared" si="17"/>
        <v>0</v>
      </c>
      <c r="F138" s="35"/>
      <c r="G138" s="35"/>
      <c r="H138" s="35"/>
      <c r="I138" s="35"/>
      <c r="J138" s="35"/>
      <c r="K138" s="35">
        <f t="shared" si="18"/>
        <v>0</v>
      </c>
      <c r="L138" s="35"/>
      <c r="M138" s="35">
        <v>0</v>
      </c>
      <c r="N138" s="35"/>
      <c r="O138" s="35"/>
      <c r="P138" s="35"/>
      <c r="Q138" s="35"/>
      <c r="R138" s="35"/>
      <c r="S138" s="35">
        <v>0</v>
      </c>
      <c r="T138" s="35"/>
      <c r="U138" s="35"/>
      <c r="V138" s="35"/>
      <c r="W138" s="35">
        <f t="shared" ref="W138:W201" si="30">SUM(Q138:U138)</f>
        <v>0</v>
      </c>
      <c r="X138" s="35"/>
      <c r="Y138" s="35" t="s">
        <v>66</v>
      </c>
      <c r="Z138" s="55"/>
      <c r="AA138" s="35" t="s">
        <v>45</v>
      </c>
      <c r="AB138" s="35"/>
      <c r="AC138" s="35">
        <v>0</v>
      </c>
      <c r="AD138" s="35"/>
      <c r="AE138" s="35">
        <v>0</v>
      </c>
      <c r="AF138" s="35"/>
      <c r="AG138" s="35">
        <v>0</v>
      </c>
      <c r="AH138" s="35"/>
      <c r="AI138" s="45">
        <f t="shared" si="29"/>
        <v>0</v>
      </c>
      <c r="AJ138" s="45"/>
      <c r="AK138" s="35"/>
      <c r="AL138" s="35"/>
      <c r="AM138" s="35">
        <v>0</v>
      </c>
      <c r="AN138" s="35"/>
      <c r="AO138" s="35">
        <v>0</v>
      </c>
      <c r="AP138" s="35"/>
      <c r="AQ138" s="35">
        <v>0</v>
      </c>
      <c r="AR138" s="35"/>
      <c r="AS138" s="45">
        <f t="shared" si="26"/>
        <v>0</v>
      </c>
      <c r="AT138" s="45"/>
      <c r="AU138" s="35">
        <v>0</v>
      </c>
      <c r="AV138" s="35"/>
      <c r="AW138" s="35">
        <v>0</v>
      </c>
      <c r="AX138" s="35"/>
      <c r="AY138" s="35">
        <f t="shared" si="27"/>
        <v>0</v>
      </c>
      <c r="AZ138" s="35"/>
      <c r="BA138" s="35" t="s">
        <v>66</v>
      </c>
      <c r="BB138" s="55"/>
      <c r="BC138" s="35" t="s">
        <v>45</v>
      </c>
      <c r="BD138" s="35"/>
      <c r="BE138" s="35"/>
      <c r="BF138" s="35"/>
      <c r="BG138" s="35"/>
      <c r="BH138" s="35"/>
      <c r="BI138" s="35"/>
      <c r="BJ138" s="35"/>
      <c r="BK138" s="35"/>
      <c r="BL138" s="35"/>
      <c r="BM138" s="35">
        <f t="shared" si="22"/>
        <v>0</v>
      </c>
      <c r="BN138" s="54" t="s">
        <v>347</v>
      </c>
    </row>
    <row r="139" spans="1:66" ht="13.2" hidden="1">
      <c r="A139" s="35" t="s">
        <v>173</v>
      </c>
      <c r="C139" s="35" t="s">
        <v>66</v>
      </c>
      <c r="D139" s="35"/>
      <c r="E139" s="35">
        <f t="shared" ref="E139:E202" si="31">I139-G139</f>
        <v>0</v>
      </c>
      <c r="F139" s="35"/>
      <c r="G139" s="35"/>
      <c r="H139" s="35"/>
      <c r="I139" s="35"/>
      <c r="J139" s="35"/>
      <c r="K139" s="35">
        <f t="shared" ref="K139:K202" si="32">O139-M139</f>
        <v>0</v>
      </c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>
        <f t="shared" si="30"/>
        <v>0</v>
      </c>
      <c r="X139" s="35"/>
      <c r="Y139" s="35" t="s">
        <v>173</v>
      </c>
      <c r="Z139" s="55"/>
      <c r="AA139" s="35" t="s">
        <v>66</v>
      </c>
      <c r="AB139" s="35"/>
      <c r="AC139" s="35"/>
      <c r="AD139" s="35"/>
      <c r="AE139" s="35"/>
      <c r="AF139" s="35"/>
      <c r="AG139" s="35"/>
      <c r="AH139" s="35"/>
      <c r="AI139" s="45">
        <f t="shared" si="29"/>
        <v>0</v>
      </c>
      <c r="AJ139" s="45"/>
      <c r="AK139" s="35"/>
      <c r="AL139" s="35"/>
      <c r="AM139" s="35"/>
      <c r="AN139" s="35"/>
      <c r="AO139" s="35"/>
      <c r="AP139" s="35"/>
      <c r="AQ139" s="35"/>
      <c r="AR139" s="35"/>
      <c r="AS139" s="45">
        <f t="shared" si="26"/>
        <v>0</v>
      </c>
      <c r="AT139" s="45"/>
      <c r="AU139" s="35">
        <v>0</v>
      </c>
      <c r="AV139" s="35"/>
      <c r="AW139" s="35">
        <v>0</v>
      </c>
      <c r="AX139" s="35"/>
      <c r="AY139" s="35">
        <f t="shared" si="27"/>
        <v>0</v>
      </c>
      <c r="AZ139" s="35"/>
      <c r="BA139" s="35" t="s">
        <v>173</v>
      </c>
      <c r="BB139" s="55"/>
      <c r="BC139" s="35" t="s">
        <v>66</v>
      </c>
      <c r="BD139" s="35"/>
      <c r="BE139" s="35"/>
      <c r="BF139" s="35"/>
      <c r="BG139" s="35"/>
      <c r="BH139" s="35"/>
      <c r="BI139" s="35"/>
      <c r="BJ139" s="35"/>
      <c r="BK139" s="35"/>
      <c r="BL139" s="35"/>
      <c r="BM139" s="35">
        <f t="shared" si="22"/>
        <v>0</v>
      </c>
      <c r="BN139" s="54" t="s">
        <v>347</v>
      </c>
    </row>
    <row r="140" spans="1:66" ht="13.2" hidden="1">
      <c r="A140" s="35" t="s">
        <v>174</v>
      </c>
      <c r="C140" s="35" t="s">
        <v>45</v>
      </c>
      <c r="D140" s="35"/>
      <c r="E140" s="35">
        <f t="shared" si="31"/>
        <v>0</v>
      </c>
      <c r="F140" s="35"/>
      <c r="G140" s="35"/>
      <c r="H140" s="35"/>
      <c r="I140" s="35"/>
      <c r="J140" s="35"/>
      <c r="K140" s="35">
        <f t="shared" si="32"/>
        <v>0</v>
      </c>
      <c r="L140" s="35"/>
      <c r="M140" s="35">
        <v>0</v>
      </c>
      <c r="N140" s="35"/>
      <c r="O140" s="35"/>
      <c r="P140" s="35"/>
      <c r="Q140" s="35"/>
      <c r="R140" s="35"/>
      <c r="S140" s="35">
        <v>0</v>
      </c>
      <c r="T140" s="35"/>
      <c r="U140" s="35"/>
      <c r="V140" s="35"/>
      <c r="W140" s="35">
        <f t="shared" si="30"/>
        <v>0</v>
      </c>
      <c r="X140" s="35"/>
      <c r="Y140" s="35" t="s">
        <v>174</v>
      </c>
      <c r="Z140" s="55"/>
      <c r="AA140" s="35" t="s">
        <v>45</v>
      </c>
      <c r="AB140" s="35"/>
      <c r="AC140" s="35">
        <v>0</v>
      </c>
      <c r="AD140" s="35"/>
      <c r="AE140" s="35">
        <v>0</v>
      </c>
      <c r="AF140" s="35"/>
      <c r="AG140" s="35">
        <v>0</v>
      </c>
      <c r="AH140" s="35"/>
      <c r="AI140" s="45">
        <f t="shared" si="29"/>
        <v>0</v>
      </c>
      <c r="AJ140" s="45"/>
      <c r="AK140" s="35"/>
      <c r="AL140" s="35"/>
      <c r="AM140" s="35">
        <v>0</v>
      </c>
      <c r="AN140" s="35"/>
      <c r="AO140" s="35">
        <v>0</v>
      </c>
      <c r="AP140" s="35"/>
      <c r="AQ140" s="35">
        <v>0</v>
      </c>
      <c r="AR140" s="35"/>
      <c r="AS140" s="45">
        <f t="shared" si="26"/>
        <v>0</v>
      </c>
      <c r="AT140" s="45"/>
      <c r="AU140" s="35">
        <v>0</v>
      </c>
      <c r="AV140" s="35"/>
      <c r="AW140" s="35">
        <v>0</v>
      </c>
      <c r="AX140" s="35"/>
      <c r="AY140" s="35">
        <f t="shared" si="27"/>
        <v>0</v>
      </c>
      <c r="AZ140" s="35"/>
      <c r="BA140" s="35" t="s">
        <v>174</v>
      </c>
      <c r="BB140" s="55"/>
      <c r="BC140" s="35" t="s">
        <v>45</v>
      </c>
      <c r="BD140" s="35"/>
      <c r="BE140" s="35"/>
      <c r="BF140" s="35"/>
      <c r="BG140" s="35"/>
      <c r="BH140" s="35"/>
      <c r="BI140" s="35"/>
      <c r="BJ140" s="35"/>
      <c r="BK140" s="35"/>
      <c r="BL140" s="35"/>
      <c r="BM140" s="35">
        <f t="shared" si="22"/>
        <v>0</v>
      </c>
      <c r="BN140" s="54" t="s">
        <v>347</v>
      </c>
    </row>
    <row r="141" spans="1:66" ht="13.2" hidden="1">
      <c r="A141" s="35" t="s">
        <v>175</v>
      </c>
      <c r="C141" s="35" t="s">
        <v>176</v>
      </c>
      <c r="D141" s="35"/>
      <c r="E141" s="35">
        <f t="shared" si="31"/>
        <v>0</v>
      </c>
      <c r="F141" s="35"/>
      <c r="G141" s="35"/>
      <c r="H141" s="35"/>
      <c r="I141" s="35"/>
      <c r="J141" s="35"/>
      <c r="K141" s="35">
        <f t="shared" si="32"/>
        <v>0</v>
      </c>
      <c r="L141" s="35"/>
      <c r="M141" s="35">
        <v>0</v>
      </c>
      <c r="N141" s="35"/>
      <c r="O141" s="35"/>
      <c r="P141" s="35"/>
      <c r="Q141" s="35"/>
      <c r="R141" s="35"/>
      <c r="S141" s="35">
        <v>0</v>
      </c>
      <c r="T141" s="35"/>
      <c r="U141" s="35"/>
      <c r="V141" s="35"/>
      <c r="W141" s="35">
        <f t="shared" si="30"/>
        <v>0</v>
      </c>
      <c r="X141" s="35"/>
      <c r="Y141" s="35" t="s">
        <v>175</v>
      </c>
      <c r="Z141" s="55"/>
      <c r="AA141" s="35" t="s">
        <v>176</v>
      </c>
      <c r="AB141" s="35"/>
      <c r="AC141" s="35">
        <v>0</v>
      </c>
      <c r="AD141" s="35"/>
      <c r="AE141" s="35">
        <v>0</v>
      </c>
      <c r="AF141" s="35"/>
      <c r="AG141" s="35">
        <v>0</v>
      </c>
      <c r="AH141" s="35"/>
      <c r="AI141" s="45">
        <f t="shared" si="29"/>
        <v>0</v>
      </c>
      <c r="AJ141" s="45"/>
      <c r="AK141" s="35"/>
      <c r="AL141" s="35"/>
      <c r="AM141" s="35">
        <v>0</v>
      </c>
      <c r="AN141" s="35"/>
      <c r="AO141" s="35">
        <v>0</v>
      </c>
      <c r="AP141" s="35"/>
      <c r="AQ141" s="35">
        <v>0</v>
      </c>
      <c r="AR141" s="35"/>
      <c r="AS141" s="45">
        <f t="shared" si="26"/>
        <v>0</v>
      </c>
      <c r="AT141" s="45"/>
      <c r="AU141" s="35">
        <v>0</v>
      </c>
      <c r="AV141" s="35"/>
      <c r="AW141" s="35">
        <v>0</v>
      </c>
      <c r="AX141" s="35"/>
      <c r="AY141" s="35">
        <f t="shared" si="27"/>
        <v>0</v>
      </c>
      <c r="AZ141" s="35"/>
      <c r="BA141" s="35" t="s">
        <v>175</v>
      </c>
      <c r="BB141" s="55"/>
      <c r="BC141" s="35" t="s">
        <v>176</v>
      </c>
      <c r="BD141" s="35"/>
      <c r="BE141" s="35"/>
      <c r="BF141" s="35"/>
      <c r="BG141" s="35"/>
      <c r="BH141" s="35"/>
      <c r="BI141" s="35"/>
      <c r="BJ141" s="35"/>
      <c r="BK141" s="35"/>
      <c r="BL141" s="35"/>
      <c r="BM141" s="35">
        <v>0</v>
      </c>
      <c r="BN141" s="54" t="s">
        <v>347</v>
      </c>
    </row>
    <row r="142" spans="1:66" ht="13.2" hidden="1">
      <c r="A142" s="35" t="s">
        <v>177</v>
      </c>
      <c r="C142" s="35" t="s">
        <v>13</v>
      </c>
      <c r="D142" s="35"/>
      <c r="E142" s="35">
        <f t="shared" si="31"/>
        <v>0</v>
      </c>
      <c r="F142" s="35"/>
      <c r="G142" s="35"/>
      <c r="H142" s="35"/>
      <c r="I142" s="35"/>
      <c r="J142" s="35"/>
      <c r="K142" s="35">
        <f t="shared" si="32"/>
        <v>0</v>
      </c>
      <c r="L142" s="35"/>
      <c r="M142" s="35">
        <v>0</v>
      </c>
      <c r="N142" s="35"/>
      <c r="O142" s="35"/>
      <c r="P142" s="35"/>
      <c r="Q142" s="35"/>
      <c r="R142" s="35"/>
      <c r="S142" s="35">
        <v>0</v>
      </c>
      <c r="T142" s="35"/>
      <c r="U142" s="35"/>
      <c r="V142" s="35"/>
      <c r="W142" s="35">
        <f t="shared" si="30"/>
        <v>0</v>
      </c>
      <c r="X142" s="35"/>
      <c r="Y142" s="35" t="s">
        <v>177</v>
      </c>
      <c r="Z142" s="55"/>
      <c r="AA142" s="35" t="s">
        <v>13</v>
      </c>
      <c r="AB142" s="35"/>
      <c r="AC142" s="35">
        <v>0</v>
      </c>
      <c r="AD142" s="35"/>
      <c r="AE142" s="35">
        <v>0</v>
      </c>
      <c r="AF142" s="35"/>
      <c r="AG142" s="35">
        <v>0</v>
      </c>
      <c r="AH142" s="35"/>
      <c r="AI142" s="45">
        <f t="shared" si="29"/>
        <v>0</v>
      </c>
      <c r="AJ142" s="45"/>
      <c r="AK142" s="35"/>
      <c r="AL142" s="35"/>
      <c r="AM142" s="35">
        <v>0</v>
      </c>
      <c r="AN142" s="35"/>
      <c r="AO142" s="35">
        <v>0</v>
      </c>
      <c r="AP142" s="35"/>
      <c r="AQ142" s="35">
        <v>0</v>
      </c>
      <c r="AR142" s="35"/>
      <c r="AS142" s="45">
        <f t="shared" si="26"/>
        <v>0</v>
      </c>
      <c r="AT142" s="45"/>
      <c r="AU142" s="35">
        <v>0</v>
      </c>
      <c r="AV142" s="35"/>
      <c r="AW142" s="35">
        <v>0</v>
      </c>
      <c r="AX142" s="35"/>
      <c r="AY142" s="35">
        <f t="shared" si="27"/>
        <v>0</v>
      </c>
      <c r="AZ142" s="35"/>
      <c r="BA142" s="35" t="s">
        <v>177</v>
      </c>
      <c r="BB142" s="55"/>
      <c r="BC142" s="35" t="s">
        <v>13</v>
      </c>
      <c r="BD142" s="35"/>
      <c r="BE142" s="35"/>
      <c r="BF142" s="35"/>
      <c r="BG142" s="35"/>
      <c r="BH142" s="35"/>
      <c r="BI142" s="35"/>
      <c r="BJ142" s="35"/>
      <c r="BK142" s="35"/>
      <c r="BL142" s="35"/>
      <c r="BM142" s="35">
        <f t="shared" ref="BM142:BM187" si="33">SUM(BE142:BK142)</f>
        <v>0</v>
      </c>
      <c r="BN142" s="54" t="s">
        <v>347</v>
      </c>
    </row>
    <row r="143" spans="1:66" ht="13.2" hidden="1">
      <c r="A143" s="35" t="s">
        <v>178</v>
      </c>
      <c r="C143" s="35" t="s">
        <v>179</v>
      </c>
      <c r="D143" s="35"/>
      <c r="E143" s="35">
        <f t="shared" si="31"/>
        <v>0</v>
      </c>
      <c r="F143" s="35"/>
      <c r="G143" s="35"/>
      <c r="H143" s="35"/>
      <c r="I143" s="35"/>
      <c r="J143" s="35"/>
      <c r="K143" s="35">
        <f t="shared" si="32"/>
        <v>0</v>
      </c>
      <c r="L143" s="35"/>
      <c r="M143" s="35">
        <v>0</v>
      </c>
      <c r="N143" s="35"/>
      <c r="O143" s="35"/>
      <c r="P143" s="35"/>
      <c r="Q143" s="35"/>
      <c r="R143" s="35"/>
      <c r="S143" s="35">
        <v>0</v>
      </c>
      <c r="T143" s="35"/>
      <c r="U143" s="35"/>
      <c r="V143" s="35"/>
      <c r="W143" s="35">
        <f t="shared" si="30"/>
        <v>0</v>
      </c>
      <c r="X143" s="35"/>
      <c r="Y143" s="35" t="s">
        <v>178</v>
      </c>
      <c r="Z143" s="55"/>
      <c r="AA143" s="35" t="s">
        <v>179</v>
      </c>
      <c r="AB143" s="35"/>
      <c r="AC143" s="35">
        <v>0</v>
      </c>
      <c r="AD143" s="35"/>
      <c r="AE143" s="35">
        <v>0</v>
      </c>
      <c r="AF143" s="35"/>
      <c r="AG143" s="35">
        <v>0</v>
      </c>
      <c r="AH143" s="35"/>
      <c r="AI143" s="45">
        <f t="shared" si="29"/>
        <v>0</v>
      </c>
      <c r="AJ143" s="45"/>
      <c r="AK143" s="35"/>
      <c r="AL143" s="35"/>
      <c r="AM143" s="35">
        <v>0</v>
      </c>
      <c r="AN143" s="35"/>
      <c r="AO143" s="35">
        <v>0</v>
      </c>
      <c r="AP143" s="35"/>
      <c r="AQ143" s="35">
        <v>0</v>
      </c>
      <c r="AR143" s="35"/>
      <c r="AS143" s="45">
        <f t="shared" si="26"/>
        <v>0</v>
      </c>
      <c r="AT143" s="45"/>
      <c r="AU143" s="35">
        <v>0</v>
      </c>
      <c r="AV143" s="35"/>
      <c r="AW143" s="35">
        <v>0</v>
      </c>
      <c r="AX143" s="35"/>
      <c r="AY143" s="35">
        <f t="shared" si="27"/>
        <v>0</v>
      </c>
      <c r="AZ143" s="35"/>
      <c r="BA143" s="35" t="s">
        <v>178</v>
      </c>
      <c r="BB143" s="55"/>
      <c r="BC143" s="35" t="s">
        <v>179</v>
      </c>
      <c r="BD143" s="35"/>
      <c r="BE143" s="35"/>
      <c r="BF143" s="35"/>
      <c r="BG143" s="35"/>
      <c r="BH143" s="35"/>
      <c r="BI143" s="35"/>
      <c r="BJ143" s="35"/>
      <c r="BK143" s="35"/>
      <c r="BL143" s="35"/>
      <c r="BM143" s="35">
        <f t="shared" si="33"/>
        <v>0</v>
      </c>
      <c r="BN143" s="54" t="s">
        <v>347</v>
      </c>
    </row>
    <row r="144" spans="1:66" ht="13.2" hidden="1">
      <c r="A144" s="35" t="s">
        <v>180</v>
      </c>
      <c r="C144" s="35" t="s">
        <v>20</v>
      </c>
      <c r="D144" s="35"/>
      <c r="E144" s="35">
        <f t="shared" si="31"/>
        <v>0</v>
      </c>
      <c r="F144" s="35"/>
      <c r="G144" s="35"/>
      <c r="H144" s="35"/>
      <c r="I144" s="35"/>
      <c r="J144" s="35"/>
      <c r="K144" s="35">
        <f t="shared" si="32"/>
        <v>0</v>
      </c>
      <c r="L144" s="35"/>
      <c r="M144" s="35">
        <v>0</v>
      </c>
      <c r="N144" s="35"/>
      <c r="O144" s="35"/>
      <c r="P144" s="35"/>
      <c r="Q144" s="35"/>
      <c r="R144" s="35"/>
      <c r="S144" s="35">
        <v>0</v>
      </c>
      <c r="T144" s="35"/>
      <c r="U144" s="35"/>
      <c r="V144" s="35"/>
      <c r="W144" s="35">
        <f t="shared" si="30"/>
        <v>0</v>
      </c>
      <c r="X144" s="35"/>
      <c r="Y144" s="35" t="s">
        <v>180</v>
      </c>
      <c r="Z144" s="55"/>
      <c r="AA144" s="35" t="s">
        <v>20</v>
      </c>
      <c r="AB144" s="35"/>
      <c r="AC144" s="35">
        <v>0</v>
      </c>
      <c r="AD144" s="35"/>
      <c r="AE144" s="35">
        <v>0</v>
      </c>
      <c r="AF144" s="35"/>
      <c r="AG144" s="35">
        <v>0</v>
      </c>
      <c r="AH144" s="35"/>
      <c r="AI144" s="45">
        <f t="shared" si="29"/>
        <v>0</v>
      </c>
      <c r="AJ144" s="45"/>
      <c r="AK144" s="35"/>
      <c r="AL144" s="35"/>
      <c r="AM144" s="35">
        <v>0</v>
      </c>
      <c r="AN144" s="35"/>
      <c r="AO144" s="35">
        <v>0</v>
      </c>
      <c r="AP144" s="35"/>
      <c r="AQ144" s="35">
        <v>0</v>
      </c>
      <c r="AR144" s="35"/>
      <c r="AS144" s="45">
        <f t="shared" si="26"/>
        <v>0</v>
      </c>
      <c r="AT144" s="45"/>
      <c r="AU144" s="35">
        <v>0</v>
      </c>
      <c r="AV144" s="35"/>
      <c r="AW144" s="35">
        <v>0</v>
      </c>
      <c r="AX144" s="35"/>
      <c r="AY144" s="35">
        <f t="shared" si="27"/>
        <v>0</v>
      </c>
      <c r="AZ144" s="35"/>
      <c r="BA144" s="35" t="s">
        <v>180</v>
      </c>
      <c r="BB144" s="55"/>
      <c r="BC144" s="35" t="s">
        <v>20</v>
      </c>
      <c r="BD144" s="35"/>
      <c r="BE144" s="35"/>
      <c r="BF144" s="35"/>
      <c r="BG144" s="35"/>
      <c r="BH144" s="35"/>
      <c r="BI144" s="35"/>
      <c r="BJ144" s="35"/>
      <c r="BK144" s="35"/>
      <c r="BL144" s="35"/>
      <c r="BM144" s="35">
        <f t="shared" si="33"/>
        <v>0</v>
      </c>
      <c r="BN144" s="54" t="s">
        <v>347</v>
      </c>
    </row>
    <row r="145" spans="1:66" ht="13.2" hidden="1">
      <c r="A145" s="35" t="s">
        <v>182</v>
      </c>
      <c r="C145" s="35" t="s">
        <v>183</v>
      </c>
      <c r="D145" s="35"/>
      <c r="E145" s="35">
        <f t="shared" si="31"/>
        <v>0</v>
      </c>
      <c r="F145" s="35"/>
      <c r="G145" s="35"/>
      <c r="H145" s="35"/>
      <c r="I145" s="35"/>
      <c r="J145" s="35"/>
      <c r="K145" s="35">
        <f t="shared" si="32"/>
        <v>0</v>
      </c>
      <c r="L145" s="35"/>
      <c r="M145" s="35">
        <v>0</v>
      </c>
      <c r="N145" s="35"/>
      <c r="O145" s="35"/>
      <c r="P145" s="35"/>
      <c r="Q145" s="35"/>
      <c r="R145" s="35"/>
      <c r="S145" s="35">
        <v>0</v>
      </c>
      <c r="T145" s="35"/>
      <c r="U145" s="35"/>
      <c r="V145" s="35"/>
      <c r="W145" s="35">
        <f t="shared" si="30"/>
        <v>0</v>
      </c>
      <c r="X145" s="35"/>
      <c r="Y145" s="35" t="s">
        <v>182</v>
      </c>
      <c r="Z145" s="55"/>
      <c r="AA145" s="35" t="s">
        <v>183</v>
      </c>
      <c r="AB145" s="35"/>
      <c r="AC145" s="35">
        <v>0</v>
      </c>
      <c r="AD145" s="35"/>
      <c r="AE145" s="35">
        <v>0</v>
      </c>
      <c r="AF145" s="35"/>
      <c r="AG145" s="35">
        <v>0</v>
      </c>
      <c r="AH145" s="35"/>
      <c r="AI145" s="45">
        <f t="shared" si="29"/>
        <v>0</v>
      </c>
      <c r="AJ145" s="45"/>
      <c r="AK145" s="35"/>
      <c r="AL145" s="35"/>
      <c r="AM145" s="35">
        <v>0</v>
      </c>
      <c r="AN145" s="35"/>
      <c r="AO145" s="35">
        <v>0</v>
      </c>
      <c r="AP145" s="35"/>
      <c r="AQ145" s="35">
        <v>0</v>
      </c>
      <c r="AR145" s="35"/>
      <c r="AS145" s="45">
        <f t="shared" si="26"/>
        <v>0</v>
      </c>
      <c r="AT145" s="45"/>
      <c r="AU145" s="35">
        <v>0</v>
      </c>
      <c r="AV145" s="35"/>
      <c r="AW145" s="35">
        <v>0</v>
      </c>
      <c r="AX145" s="35"/>
      <c r="AY145" s="35">
        <f t="shared" si="27"/>
        <v>0</v>
      </c>
      <c r="AZ145" s="35"/>
      <c r="BA145" s="35" t="s">
        <v>182</v>
      </c>
      <c r="BB145" s="55"/>
      <c r="BC145" s="35" t="s">
        <v>183</v>
      </c>
      <c r="BD145" s="35"/>
      <c r="BE145" s="35"/>
      <c r="BF145" s="35"/>
      <c r="BG145" s="35"/>
      <c r="BH145" s="35"/>
      <c r="BI145" s="35"/>
      <c r="BJ145" s="35"/>
      <c r="BK145" s="35"/>
      <c r="BL145" s="35"/>
      <c r="BM145" s="35">
        <f t="shared" si="33"/>
        <v>0</v>
      </c>
      <c r="BN145" s="54" t="s">
        <v>347</v>
      </c>
    </row>
    <row r="146" spans="1:66" ht="13.2" hidden="1">
      <c r="A146" s="35" t="s">
        <v>184</v>
      </c>
      <c r="C146" s="35" t="s">
        <v>89</v>
      </c>
      <c r="D146" s="35"/>
      <c r="E146" s="35">
        <f t="shared" si="31"/>
        <v>0</v>
      </c>
      <c r="F146" s="35"/>
      <c r="G146" s="35"/>
      <c r="H146" s="35"/>
      <c r="I146" s="35"/>
      <c r="J146" s="35"/>
      <c r="K146" s="35">
        <f t="shared" si="32"/>
        <v>0</v>
      </c>
      <c r="L146" s="35"/>
      <c r="M146" s="35">
        <v>0</v>
      </c>
      <c r="N146" s="35"/>
      <c r="O146" s="35"/>
      <c r="P146" s="35"/>
      <c r="Q146" s="35"/>
      <c r="R146" s="35"/>
      <c r="S146" s="35">
        <v>0</v>
      </c>
      <c r="T146" s="35"/>
      <c r="U146" s="35"/>
      <c r="V146" s="35"/>
      <c r="W146" s="35">
        <f t="shared" si="30"/>
        <v>0</v>
      </c>
      <c r="X146" s="35"/>
      <c r="Y146" s="35" t="s">
        <v>184</v>
      </c>
      <c r="Z146" s="55"/>
      <c r="AA146" s="35" t="s">
        <v>89</v>
      </c>
      <c r="AB146" s="35"/>
      <c r="AC146" s="35">
        <v>0</v>
      </c>
      <c r="AD146" s="35"/>
      <c r="AE146" s="35">
        <v>0</v>
      </c>
      <c r="AF146" s="35"/>
      <c r="AG146" s="35">
        <v>0</v>
      </c>
      <c r="AH146" s="35"/>
      <c r="AI146" s="45">
        <f t="shared" si="29"/>
        <v>0</v>
      </c>
      <c r="AJ146" s="45"/>
      <c r="AK146" s="35"/>
      <c r="AL146" s="35"/>
      <c r="AM146" s="35">
        <v>0</v>
      </c>
      <c r="AN146" s="35"/>
      <c r="AO146" s="35">
        <v>0</v>
      </c>
      <c r="AP146" s="35"/>
      <c r="AQ146" s="35">
        <v>0</v>
      </c>
      <c r="AR146" s="35"/>
      <c r="AS146" s="45">
        <f t="shared" si="26"/>
        <v>0</v>
      </c>
      <c r="AT146" s="45"/>
      <c r="AU146" s="35">
        <v>0</v>
      </c>
      <c r="AV146" s="35"/>
      <c r="AW146" s="35">
        <v>0</v>
      </c>
      <c r="AX146" s="35"/>
      <c r="AY146" s="35">
        <f t="shared" si="27"/>
        <v>0</v>
      </c>
      <c r="AZ146" s="35"/>
      <c r="BA146" s="35" t="s">
        <v>184</v>
      </c>
      <c r="BB146" s="55"/>
      <c r="BC146" s="35" t="s">
        <v>89</v>
      </c>
      <c r="BD146" s="35"/>
      <c r="BE146" s="35"/>
      <c r="BF146" s="35"/>
      <c r="BG146" s="35"/>
      <c r="BH146" s="35"/>
      <c r="BI146" s="35"/>
      <c r="BJ146" s="35"/>
      <c r="BK146" s="35"/>
      <c r="BL146" s="35"/>
      <c r="BM146" s="35">
        <f t="shared" si="33"/>
        <v>0</v>
      </c>
      <c r="BN146" s="54" t="s">
        <v>347</v>
      </c>
    </row>
    <row r="147" spans="1:66" ht="13.2" hidden="1">
      <c r="A147" s="35" t="s">
        <v>181</v>
      </c>
      <c r="C147" s="35" t="s">
        <v>125</v>
      </c>
      <c r="D147" s="35"/>
      <c r="E147" s="35">
        <f t="shared" si="31"/>
        <v>0</v>
      </c>
      <c r="F147" s="35"/>
      <c r="G147" s="35"/>
      <c r="H147" s="35"/>
      <c r="I147" s="35"/>
      <c r="J147" s="35"/>
      <c r="K147" s="35">
        <f t="shared" si="32"/>
        <v>0</v>
      </c>
      <c r="L147" s="35"/>
      <c r="M147" s="35">
        <v>0</v>
      </c>
      <c r="N147" s="35"/>
      <c r="O147" s="35"/>
      <c r="P147" s="35"/>
      <c r="Q147" s="35"/>
      <c r="R147" s="35"/>
      <c r="S147" s="35">
        <v>0</v>
      </c>
      <c r="T147" s="35"/>
      <c r="U147" s="35"/>
      <c r="V147" s="35"/>
      <c r="W147" s="35">
        <f t="shared" si="30"/>
        <v>0</v>
      </c>
      <c r="X147" s="35"/>
      <c r="Y147" s="35" t="s">
        <v>181</v>
      </c>
      <c r="Z147" s="55"/>
      <c r="AA147" s="35" t="s">
        <v>125</v>
      </c>
      <c r="AB147" s="35"/>
      <c r="AC147" s="35">
        <v>0</v>
      </c>
      <c r="AD147" s="35"/>
      <c r="AE147" s="35">
        <v>0</v>
      </c>
      <c r="AF147" s="35"/>
      <c r="AG147" s="35">
        <v>0</v>
      </c>
      <c r="AH147" s="35"/>
      <c r="AI147" s="45">
        <f t="shared" si="29"/>
        <v>0</v>
      </c>
      <c r="AJ147" s="45"/>
      <c r="AK147" s="35"/>
      <c r="AL147" s="35"/>
      <c r="AM147" s="35">
        <v>0</v>
      </c>
      <c r="AN147" s="35"/>
      <c r="AO147" s="35">
        <v>0</v>
      </c>
      <c r="AP147" s="35"/>
      <c r="AQ147" s="35">
        <v>0</v>
      </c>
      <c r="AR147" s="35"/>
      <c r="AS147" s="45">
        <f t="shared" si="26"/>
        <v>0</v>
      </c>
      <c r="AT147" s="45"/>
      <c r="AU147" s="35">
        <v>0</v>
      </c>
      <c r="AV147" s="35"/>
      <c r="AW147" s="35">
        <v>0</v>
      </c>
      <c r="AX147" s="35"/>
      <c r="AY147" s="35">
        <f t="shared" si="27"/>
        <v>0</v>
      </c>
      <c r="AZ147" s="35"/>
      <c r="BA147" s="35" t="s">
        <v>181</v>
      </c>
      <c r="BB147" s="55"/>
      <c r="BC147" s="35" t="s">
        <v>125</v>
      </c>
      <c r="BD147" s="35"/>
      <c r="BE147" s="35"/>
      <c r="BF147" s="35"/>
      <c r="BG147" s="35"/>
      <c r="BH147" s="35"/>
      <c r="BI147" s="35"/>
      <c r="BJ147" s="35"/>
      <c r="BK147" s="35"/>
      <c r="BL147" s="35"/>
      <c r="BM147" s="35">
        <f t="shared" si="33"/>
        <v>0</v>
      </c>
      <c r="BN147" s="54" t="s">
        <v>347</v>
      </c>
    </row>
    <row r="148" spans="1:66" ht="13.2" hidden="1">
      <c r="A148" s="35" t="s">
        <v>185</v>
      </c>
      <c r="C148" s="35" t="s">
        <v>80</v>
      </c>
      <c r="D148" s="35"/>
      <c r="E148" s="35">
        <f t="shared" si="31"/>
        <v>0</v>
      </c>
      <c r="F148" s="35"/>
      <c r="G148" s="35"/>
      <c r="H148" s="35"/>
      <c r="I148" s="35"/>
      <c r="J148" s="35"/>
      <c r="K148" s="35">
        <f t="shared" si="32"/>
        <v>0</v>
      </c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>
        <f t="shared" si="30"/>
        <v>0</v>
      </c>
      <c r="X148" s="35"/>
      <c r="Y148" s="35" t="s">
        <v>185</v>
      </c>
      <c r="Z148" s="55"/>
      <c r="AA148" s="35" t="s">
        <v>80</v>
      </c>
      <c r="AB148" s="35"/>
      <c r="AC148" s="35"/>
      <c r="AD148" s="35"/>
      <c r="AE148" s="35"/>
      <c r="AF148" s="35"/>
      <c r="AG148" s="35"/>
      <c r="AH148" s="35"/>
      <c r="AI148" s="45">
        <f t="shared" si="29"/>
        <v>0</v>
      </c>
      <c r="AJ148" s="45"/>
      <c r="AK148" s="35"/>
      <c r="AL148" s="35"/>
      <c r="AM148" s="35"/>
      <c r="AN148" s="35"/>
      <c r="AO148" s="35"/>
      <c r="AP148" s="35"/>
      <c r="AQ148" s="35"/>
      <c r="AR148" s="35"/>
      <c r="AS148" s="45">
        <f t="shared" si="26"/>
        <v>0</v>
      </c>
      <c r="AT148" s="45"/>
      <c r="AU148" s="35">
        <v>0</v>
      </c>
      <c r="AV148" s="35"/>
      <c r="AW148" s="35">
        <v>0</v>
      </c>
      <c r="AX148" s="35"/>
      <c r="AY148" s="35">
        <f t="shared" si="27"/>
        <v>0</v>
      </c>
      <c r="AZ148" s="35"/>
      <c r="BA148" s="35" t="s">
        <v>185</v>
      </c>
      <c r="BB148" s="55"/>
      <c r="BC148" s="35" t="s">
        <v>80</v>
      </c>
      <c r="BD148" s="35"/>
      <c r="BE148" s="35"/>
      <c r="BF148" s="35"/>
      <c r="BG148" s="35"/>
      <c r="BH148" s="35"/>
      <c r="BI148" s="35"/>
      <c r="BJ148" s="35"/>
      <c r="BK148" s="35"/>
      <c r="BL148" s="35"/>
      <c r="BM148" s="35">
        <f t="shared" si="33"/>
        <v>0</v>
      </c>
      <c r="BN148" s="54" t="s">
        <v>347</v>
      </c>
    </row>
    <row r="149" spans="1:66" ht="13.2">
      <c r="A149" s="35" t="s">
        <v>186</v>
      </c>
      <c r="C149" s="35" t="s">
        <v>15</v>
      </c>
      <c r="D149" s="35"/>
      <c r="E149" s="35">
        <f t="shared" si="31"/>
        <v>312665</v>
      </c>
      <c r="F149" s="35"/>
      <c r="G149" s="35">
        <v>0</v>
      </c>
      <c r="H149" s="35"/>
      <c r="I149" s="35">
        <v>312665</v>
      </c>
      <c r="J149" s="35"/>
      <c r="K149" s="35">
        <f t="shared" si="32"/>
        <v>3830</v>
      </c>
      <c r="L149" s="35"/>
      <c r="M149" s="35">
        <v>0</v>
      </c>
      <c r="N149" s="35"/>
      <c r="O149" s="35">
        <v>3830</v>
      </c>
      <c r="P149" s="35"/>
      <c r="Q149" s="35">
        <v>0</v>
      </c>
      <c r="R149" s="35"/>
      <c r="S149" s="35">
        <v>0</v>
      </c>
      <c r="T149" s="35"/>
      <c r="U149" s="35">
        <v>308835</v>
      </c>
      <c r="V149" s="35"/>
      <c r="W149" s="35">
        <f t="shared" ref="W149:W163" si="34">SUM(Q149:U149)</f>
        <v>308835</v>
      </c>
      <c r="X149" s="35"/>
      <c r="Y149" s="35" t="s">
        <v>186</v>
      </c>
      <c r="Z149" s="55"/>
      <c r="AA149" s="35" t="s">
        <v>15</v>
      </c>
      <c r="AB149" s="35"/>
      <c r="AC149" s="35">
        <v>759547</v>
      </c>
      <c r="AD149" s="35"/>
      <c r="AE149" s="35">
        <v>742158</v>
      </c>
      <c r="AF149" s="35"/>
      <c r="AG149" s="35">
        <v>0</v>
      </c>
      <c r="AH149" s="35"/>
      <c r="AI149" s="45">
        <f t="shared" si="29"/>
        <v>17389</v>
      </c>
      <c r="AJ149" s="45"/>
      <c r="AK149" s="35">
        <v>63655</v>
      </c>
      <c r="AL149" s="35"/>
      <c r="AM149" s="35">
        <v>0</v>
      </c>
      <c r="AN149" s="35"/>
      <c r="AO149" s="35">
        <v>0</v>
      </c>
      <c r="AP149" s="35"/>
      <c r="AQ149" s="35">
        <v>0</v>
      </c>
      <c r="AR149" s="35"/>
      <c r="AS149" s="45">
        <f t="shared" si="26"/>
        <v>81044</v>
      </c>
      <c r="AT149" s="45"/>
      <c r="AU149" s="35">
        <v>0</v>
      </c>
      <c r="AV149" s="35"/>
      <c r="AW149" s="35">
        <v>0</v>
      </c>
      <c r="AX149" s="35"/>
      <c r="AY149" s="35">
        <f t="shared" si="27"/>
        <v>308835</v>
      </c>
      <c r="AZ149" s="35"/>
      <c r="BA149" s="35" t="s">
        <v>186</v>
      </c>
      <c r="BB149" s="55"/>
      <c r="BC149" s="35" t="s">
        <v>15</v>
      </c>
      <c r="BD149" s="35"/>
      <c r="BE149" s="35">
        <v>0</v>
      </c>
      <c r="BF149" s="35"/>
      <c r="BG149" s="35">
        <v>0</v>
      </c>
      <c r="BH149" s="35"/>
      <c r="BI149" s="35">
        <v>0</v>
      </c>
      <c r="BJ149" s="35"/>
      <c r="BK149" s="35">
        <v>0</v>
      </c>
      <c r="BL149" s="35"/>
      <c r="BM149" s="35">
        <f t="shared" ref="BM149:BM163" si="35">SUM(BE149:BK149)</f>
        <v>0</v>
      </c>
      <c r="BN149" s="54" t="s">
        <v>347</v>
      </c>
    </row>
    <row r="150" spans="1:66" ht="13.2" hidden="1">
      <c r="A150" s="35" t="s">
        <v>187</v>
      </c>
      <c r="C150" s="35" t="s">
        <v>27</v>
      </c>
      <c r="D150" s="35"/>
      <c r="E150" s="35">
        <f t="shared" si="31"/>
        <v>0</v>
      </c>
      <c r="F150" s="35"/>
      <c r="G150" s="35"/>
      <c r="H150" s="35"/>
      <c r="I150" s="35"/>
      <c r="J150" s="35"/>
      <c r="K150" s="35">
        <f t="shared" si="32"/>
        <v>0</v>
      </c>
      <c r="L150" s="35"/>
      <c r="M150" s="35">
        <v>0</v>
      </c>
      <c r="N150" s="35"/>
      <c r="O150" s="35"/>
      <c r="P150" s="35"/>
      <c r="Q150" s="35"/>
      <c r="R150" s="35"/>
      <c r="S150" s="35">
        <v>0</v>
      </c>
      <c r="T150" s="35"/>
      <c r="U150" s="35"/>
      <c r="V150" s="35"/>
      <c r="W150" s="35">
        <f t="shared" si="34"/>
        <v>0</v>
      </c>
      <c r="X150" s="35"/>
      <c r="Y150" s="35" t="s">
        <v>187</v>
      </c>
      <c r="Z150" s="55"/>
      <c r="AA150" s="35" t="s">
        <v>27</v>
      </c>
      <c r="AB150" s="35"/>
      <c r="AC150" s="35">
        <v>0</v>
      </c>
      <c r="AD150" s="35"/>
      <c r="AE150" s="35">
        <v>0</v>
      </c>
      <c r="AF150" s="35"/>
      <c r="AG150" s="35">
        <v>0</v>
      </c>
      <c r="AH150" s="35"/>
      <c r="AI150" s="45">
        <f t="shared" si="29"/>
        <v>0</v>
      </c>
      <c r="AJ150" s="45"/>
      <c r="AK150" s="35"/>
      <c r="AL150" s="35"/>
      <c r="AM150" s="35">
        <v>0</v>
      </c>
      <c r="AN150" s="35"/>
      <c r="AO150" s="35">
        <v>0</v>
      </c>
      <c r="AP150" s="35"/>
      <c r="AQ150" s="35">
        <v>0</v>
      </c>
      <c r="AR150" s="35"/>
      <c r="AS150" s="45">
        <f t="shared" si="26"/>
        <v>0</v>
      </c>
      <c r="AT150" s="45"/>
      <c r="AU150" s="35">
        <v>0</v>
      </c>
      <c r="AV150" s="35"/>
      <c r="AW150" s="35">
        <v>0</v>
      </c>
      <c r="AX150" s="35"/>
      <c r="AY150" s="35">
        <f t="shared" si="27"/>
        <v>0</v>
      </c>
      <c r="AZ150" s="35"/>
      <c r="BA150" s="35" t="s">
        <v>187</v>
      </c>
      <c r="BB150" s="55"/>
      <c r="BC150" s="35" t="s">
        <v>27</v>
      </c>
      <c r="BD150" s="35"/>
      <c r="BE150" s="35"/>
      <c r="BF150" s="35"/>
      <c r="BG150" s="35"/>
      <c r="BH150" s="35"/>
      <c r="BI150" s="35"/>
      <c r="BJ150" s="35"/>
      <c r="BK150" s="35"/>
      <c r="BL150" s="35"/>
      <c r="BM150" s="35">
        <f t="shared" si="35"/>
        <v>0</v>
      </c>
      <c r="BN150" s="54" t="s">
        <v>347</v>
      </c>
    </row>
    <row r="151" spans="1:66" ht="13.2" hidden="1">
      <c r="A151" s="35" t="s">
        <v>189</v>
      </c>
      <c r="C151" s="35" t="s">
        <v>17</v>
      </c>
      <c r="D151" s="35"/>
      <c r="E151" s="35">
        <f t="shared" si="31"/>
        <v>0</v>
      </c>
      <c r="F151" s="35"/>
      <c r="G151" s="35"/>
      <c r="H151" s="35"/>
      <c r="I151" s="35"/>
      <c r="J151" s="35"/>
      <c r="K151" s="35">
        <f t="shared" si="32"/>
        <v>0</v>
      </c>
      <c r="L151" s="35"/>
      <c r="M151" s="35">
        <v>0</v>
      </c>
      <c r="N151" s="35"/>
      <c r="O151" s="35"/>
      <c r="P151" s="35"/>
      <c r="Q151" s="35"/>
      <c r="R151" s="35"/>
      <c r="S151" s="35">
        <v>0</v>
      </c>
      <c r="T151" s="35"/>
      <c r="U151" s="35"/>
      <c r="V151" s="35"/>
      <c r="W151" s="35">
        <f t="shared" si="34"/>
        <v>0</v>
      </c>
      <c r="X151" s="35"/>
      <c r="Y151" s="35" t="s">
        <v>189</v>
      </c>
      <c r="Z151" s="55"/>
      <c r="AA151" s="35" t="s">
        <v>17</v>
      </c>
      <c r="AB151" s="35"/>
      <c r="AC151" s="35">
        <v>0</v>
      </c>
      <c r="AD151" s="35"/>
      <c r="AE151" s="35">
        <v>0</v>
      </c>
      <c r="AF151" s="35"/>
      <c r="AG151" s="35">
        <v>0</v>
      </c>
      <c r="AH151" s="35"/>
      <c r="AI151" s="45">
        <f t="shared" si="29"/>
        <v>0</v>
      </c>
      <c r="AJ151" s="45"/>
      <c r="AK151" s="35"/>
      <c r="AL151" s="35"/>
      <c r="AM151" s="35">
        <v>0</v>
      </c>
      <c r="AN151" s="35"/>
      <c r="AO151" s="35">
        <v>0</v>
      </c>
      <c r="AP151" s="35"/>
      <c r="AQ151" s="35">
        <v>0</v>
      </c>
      <c r="AR151" s="35"/>
      <c r="AS151" s="45">
        <f t="shared" si="26"/>
        <v>0</v>
      </c>
      <c r="AT151" s="45"/>
      <c r="AU151" s="35">
        <v>0</v>
      </c>
      <c r="AV151" s="35"/>
      <c r="AW151" s="35">
        <v>0</v>
      </c>
      <c r="AX151" s="35"/>
      <c r="AY151" s="35">
        <f t="shared" si="27"/>
        <v>0</v>
      </c>
      <c r="AZ151" s="35"/>
      <c r="BA151" s="35" t="s">
        <v>189</v>
      </c>
      <c r="BB151" s="55"/>
      <c r="BC151" s="35" t="s">
        <v>17</v>
      </c>
      <c r="BD151" s="35"/>
      <c r="BE151" s="35"/>
      <c r="BF151" s="35"/>
      <c r="BG151" s="35"/>
      <c r="BH151" s="35"/>
      <c r="BI151" s="35"/>
      <c r="BJ151" s="35"/>
      <c r="BK151" s="35"/>
      <c r="BL151" s="35"/>
      <c r="BM151" s="35">
        <f t="shared" si="35"/>
        <v>0</v>
      </c>
      <c r="BN151" s="54" t="s">
        <v>347</v>
      </c>
    </row>
    <row r="152" spans="1:66" ht="13.2" hidden="1">
      <c r="A152" s="35" t="s">
        <v>188</v>
      </c>
      <c r="C152" s="35" t="s">
        <v>27</v>
      </c>
      <c r="D152" s="35"/>
      <c r="E152" s="35">
        <f t="shared" si="31"/>
        <v>0</v>
      </c>
      <c r="F152" s="35"/>
      <c r="G152" s="35"/>
      <c r="H152" s="35"/>
      <c r="I152" s="35"/>
      <c r="J152" s="35"/>
      <c r="K152" s="35">
        <f t="shared" si="32"/>
        <v>0</v>
      </c>
      <c r="L152" s="35"/>
      <c r="M152" s="35">
        <v>0</v>
      </c>
      <c r="N152" s="35"/>
      <c r="O152" s="35"/>
      <c r="P152" s="35"/>
      <c r="Q152" s="35"/>
      <c r="R152" s="35"/>
      <c r="S152" s="35">
        <v>0</v>
      </c>
      <c r="T152" s="35"/>
      <c r="U152" s="35"/>
      <c r="V152" s="35"/>
      <c r="W152" s="35">
        <f t="shared" si="34"/>
        <v>0</v>
      </c>
      <c r="X152" s="35"/>
      <c r="Y152" s="35" t="s">
        <v>188</v>
      </c>
      <c r="Z152" s="55"/>
      <c r="AA152" s="35" t="s">
        <v>27</v>
      </c>
      <c r="AB152" s="35"/>
      <c r="AC152" s="35">
        <v>0</v>
      </c>
      <c r="AD152" s="35"/>
      <c r="AE152" s="35">
        <v>0</v>
      </c>
      <c r="AF152" s="35"/>
      <c r="AG152" s="35">
        <v>0</v>
      </c>
      <c r="AH152" s="35"/>
      <c r="AI152" s="45">
        <f t="shared" si="29"/>
        <v>0</v>
      </c>
      <c r="AJ152" s="45"/>
      <c r="AK152" s="35"/>
      <c r="AL152" s="35"/>
      <c r="AM152" s="35">
        <v>0</v>
      </c>
      <c r="AN152" s="35"/>
      <c r="AO152" s="35">
        <v>0</v>
      </c>
      <c r="AP152" s="35"/>
      <c r="AQ152" s="35">
        <v>0</v>
      </c>
      <c r="AR152" s="35"/>
      <c r="AS152" s="45">
        <f t="shared" si="26"/>
        <v>0</v>
      </c>
      <c r="AT152" s="45"/>
      <c r="AU152" s="35">
        <v>0</v>
      </c>
      <c r="AV152" s="35"/>
      <c r="AW152" s="35">
        <v>0</v>
      </c>
      <c r="AX152" s="35"/>
      <c r="AY152" s="35">
        <f t="shared" si="27"/>
        <v>0</v>
      </c>
      <c r="AZ152" s="35"/>
      <c r="BA152" s="35" t="s">
        <v>188</v>
      </c>
      <c r="BB152" s="55"/>
      <c r="BC152" s="35" t="s">
        <v>27</v>
      </c>
      <c r="BD152" s="35"/>
      <c r="BE152" s="35"/>
      <c r="BF152" s="35"/>
      <c r="BG152" s="35"/>
      <c r="BH152" s="35"/>
      <c r="BI152" s="35"/>
      <c r="BJ152" s="35"/>
      <c r="BK152" s="35"/>
      <c r="BL152" s="35"/>
      <c r="BM152" s="35">
        <f t="shared" si="35"/>
        <v>0</v>
      </c>
      <c r="BN152" s="54" t="s">
        <v>347</v>
      </c>
    </row>
    <row r="153" spans="1:66" ht="13.2" hidden="1">
      <c r="A153" s="35" t="s">
        <v>190</v>
      </c>
      <c r="C153" s="35" t="s">
        <v>47</v>
      </c>
      <c r="D153" s="35"/>
      <c r="E153" s="35">
        <f t="shared" si="31"/>
        <v>0</v>
      </c>
      <c r="F153" s="35"/>
      <c r="G153" s="35"/>
      <c r="H153" s="35"/>
      <c r="I153" s="35"/>
      <c r="J153" s="35"/>
      <c r="K153" s="35">
        <f t="shared" si="32"/>
        <v>0</v>
      </c>
      <c r="L153" s="35"/>
      <c r="M153" s="35">
        <v>0</v>
      </c>
      <c r="N153" s="35"/>
      <c r="O153" s="35"/>
      <c r="P153" s="35"/>
      <c r="Q153" s="35"/>
      <c r="R153" s="35"/>
      <c r="S153" s="35">
        <v>0</v>
      </c>
      <c r="T153" s="35"/>
      <c r="U153" s="35"/>
      <c r="V153" s="35"/>
      <c r="W153" s="35">
        <f t="shared" si="34"/>
        <v>0</v>
      </c>
      <c r="X153" s="35"/>
      <c r="Y153" s="35" t="s">
        <v>190</v>
      </c>
      <c r="Z153" s="55"/>
      <c r="AA153" s="35" t="s">
        <v>47</v>
      </c>
      <c r="AB153" s="35"/>
      <c r="AC153" s="35">
        <v>0</v>
      </c>
      <c r="AD153" s="35"/>
      <c r="AE153" s="35">
        <v>0</v>
      </c>
      <c r="AF153" s="35"/>
      <c r="AG153" s="35">
        <v>0</v>
      </c>
      <c r="AH153" s="35"/>
      <c r="AI153" s="45">
        <f t="shared" si="29"/>
        <v>0</v>
      </c>
      <c r="AJ153" s="45"/>
      <c r="AK153" s="35"/>
      <c r="AL153" s="35"/>
      <c r="AM153" s="35">
        <v>0</v>
      </c>
      <c r="AN153" s="35"/>
      <c r="AO153" s="35">
        <v>0</v>
      </c>
      <c r="AP153" s="35"/>
      <c r="AQ153" s="35">
        <v>0</v>
      </c>
      <c r="AR153" s="35"/>
      <c r="AS153" s="45">
        <f t="shared" si="26"/>
        <v>0</v>
      </c>
      <c r="AT153" s="45"/>
      <c r="AU153" s="35">
        <v>0</v>
      </c>
      <c r="AV153" s="35"/>
      <c r="AW153" s="35">
        <v>0</v>
      </c>
      <c r="AX153" s="35"/>
      <c r="AY153" s="35">
        <f t="shared" si="27"/>
        <v>0</v>
      </c>
      <c r="AZ153" s="35"/>
      <c r="BA153" s="35" t="s">
        <v>190</v>
      </c>
      <c r="BB153" s="55"/>
      <c r="BC153" s="35" t="s">
        <v>47</v>
      </c>
      <c r="BD153" s="35"/>
      <c r="BE153" s="35"/>
      <c r="BF153" s="35"/>
      <c r="BG153" s="35"/>
      <c r="BH153" s="35"/>
      <c r="BI153" s="35"/>
      <c r="BJ153" s="35"/>
      <c r="BK153" s="35"/>
      <c r="BL153" s="35"/>
      <c r="BM153" s="35">
        <f t="shared" si="35"/>
        <v>0</v>
      </c>
      <c r="BN153" s="54" t="s">
        <v>347</v>
      </c>
    </row>
    <row r="154" spans="1:66" ht="13.2" hidden="1">
      <c r="A154" s="35" t="s">
        <v>191</v>
      </c>
      <c r="C154" s="35" t="s">
        <v>13</v>
      </c>
      <c r="D154" s="35"/>
      <c r="E154" s="35">
        <f t="shared" si="31"/>
        <v>0</v>
      </c>
      <c r="F154" s="35"/>
      <c r="G154" s="35"/>
      <c r="H154" s="35"/>
      <c r="I154" s="35"/>
      <c r="J154" s="35"/>
      <c r="K154" s="35">
        <f t="shared" si="32"/>
        <v>0</v>
      </c>
      <c r="L154" s="35"/>
      <c r="M154" s="35">
        <v>0</v>
      </c>
      <c r="N154" s="35"/>
      <c r="O154" s="35"/>
      <c r="P154" s="35"/>
      <c r="Q154" s="35"/>
      <c r="R154" s="35"/>
      <c r="S154" s="35">
        <v>0</v>
      </c>
      <c r="T154" s="35"/>
      <c r="U154" s="35"/>
      <c r="V154" s="35"/>
      <c r="W154" s="35">
        <f t="shared" si="34"/>
        <v>0</v>
      </c>
      <c r="X154" s="35"/>
      <c r="Y154" s="35" t="s">
        <v>191</v>
      </c>
      <c r="Z154" s="55"/>
      <c r="AA154" s="35" t="s">
        <v>13</v>
      </c>
      <c r="AB154" s="35"/>
      <c r="AC154" s="35">
        <v>0</v>
      </c>
      <c r="AD154" s="35"/>
      <c r="AE154" s="35">
        <v>0</v>
      </c>
      <c r="AF154" s="35"/>
      <c r="AG154" s="35">
        <v>0</v>
      </c>
      <c r="AH154" s="35"/>
      <c r="AI154" s="45">
        <f t="shared" si="29"/>
        <v>0</v>
      </c>
      <c r="AJ154" s="45"/>
      <c r="AK154" s="35"/>
      <c r="AL154" s="35"/>
      <c r="AM154" s="35">
        <v>0</v>
      </c>
      <c r="AN154" s="35"/>
      <c r="AO154" s="35">
        <v>0</v>
      </c>
      <c r="AP154" s="35"/>
      <c r="AQ154" s="35">
        <v>0</v>
      </c>
      <c r="AR154" s="35"/>
      <c r="AS154" s="45">
        <f t="shared" si="26"/>
        <v>0</v>
      </c>
      <c r="AT154" s="45"/>
      <c r="AU154" s="35">
        <v>0</v>
      </c>
      <c r="AV154" s="35"/>
      <c r="AW154" s="35">
        <v>0</v>
      </c>
      <c r="AX154" s="35"/>
      <c r="AY154" s="35">
        <f t="shared" si="27"/>
        <v>0</v>
      </c>
      <c r="AZ154" s="35"/>
      <c r="BA154" s="35" t="s">
        <v>191</v>
      </c>
      <c r="BB154" s="55"/>
      <c r="BC154" s="35" t="s">
        <v>13</v>
      </c>
      <c r="BD154" s="35"/>
      <c r="BE154" s="35"/>
      <c r="BF154" s="35"/>
      <c r="BG154" s="35"/>
      <c r="BH154" s="35"/>
      <c r="BI154" s="35"/>
      <c r="BJ154" s="35"/>
      <c r="BK154" s="35"/>
      <c r="BL154" s="35"/>
      <c r="BM154" s="35">
        <f t="shared" si="35"/>
        <v>0</v>
      </c>
      <c r="BN154" s="54" t="s">
        <v>347</v>
      </c>
    </row>
    <row r="155" spans="1:66" ht="13.2">
      <c r="A155" s="35" t="s">
        <v>192</v>
      </c>
      <c r="C155" s="35" t="s">
        <v>38</v>
      </c>
      <c r="D155" s="35"/>
      <c r="E155" s="35">
        <f t="shared" si="31"/>
        <v>1291638</v>
      </c>
      <c r="F155" s="35"/>
      <c r="G155" s="35">
        <v>549064</v>
      </c>
      <c r="H155" s="35"/>
      <c r="I155" s="35">
        <v>1840702</v>
      </c>
      <c r="J155" s="35"/>
      <c r="K155" s="35">
        <f t="shared" si="32"/>
        <v>250992</v>
      </c>
      <c r="L155" s="35"/>
      <c r="M155" s="35">
        <v>0</v>
      </c>
      <c r="N155" s="35"/>
      <c r="O155" s="35">
        <v>250992</v>
      </c>
      <c r="P155" s="35"/>
      <c r="Q155" s="35">
        <v>549064</v>
      </c>
      <c r="R155" s="35"/>
      <c r="S155" s="35">
        <v>0</v>
      </c>
      <c r="T155" s="35"/>
      <c r="U155" s="35">
        <v>1040646</v>
      </c>
      <c r="V155" s="35"/>
      <c r="W155" s="35">
        <f t="shared" si="34"/>
        <v>1589710</v>
      </c>
      <c r="X155" s="35"/>
      <c r="Y155" s="35" t="s">
        <v>192</v>
      </c>
      <c r="Z155" s="55"/>
      <c r="AA155" s="35" t="s">
        <v>38</v>
      </c>
      <c r="AB155" s="35"/>
      <c r="AC155" s="35">
        <v>70203</v>
      </c>
      <c r="AD155" s="35"/>
      <c r="AE155" s="35">
        <f>1333764-62872</f>
        <v>1270892</v>
      </c>
      <c r="AF155" s="35"/>
      <c r="AG155" s="35">
        <v>62872</v>
      </c>
      <c r="AH155" s="35"/>
      <c r="AI155" s="45">
        <f t="shared" si="29"/>
        <v>-1263561</v>
      </c>
      <c r="AJ155" s="45"/>
      <c r="AK155" s="35">
        <v>1129087</v>
      </c>
      <c r="AL155" s="35"/>
      <c r="AM155" s="35">
        <v>0</v>
      </c>
      <c r="AN155" s="35"/>
      <c r="AO155" s="35">
        <v>0</v>
      </c>
      <c r="AP155" s="35"/>
      <c r="AQ155" s="35">
        <v>0</v>
      </c>
      <c r="AR155" s="35"/>
      <c r="AS155" s="45">
        <f t="shared" si="26"/>
        <v>-134474</v>
      </c>
      <c r="AT155" s="45"/>
      <c r="AU155" s="35">
        <v>0</v>
      </c>
      <c r="AV155" s="35"/>
      <c r="AW155" s="35">
        <v>0</v>
      </c>
      <c r="AX155" s="35"/>
      <c r="AY155" s="35">
        <f t="shared" si="27"/>
        <v>1040646</v>
      </c>
      <c r="AZ155" s="35"/>
      <c r="BA155" s="35" t="s">
        <v>192</v>
      </c>
      <c r="BB155" s="55"/>
      <c r="BC155" s="35" t="s">
        <v>38</v>
      </c>
      <c r="BD155" s="35"/>
      <c r="BE155" s="35">
        <v>0</v>
      </c>
      <c r="BF155" s="35"/>
      <c r="BG155" s="35">
        <v>0</v>
      </c>
      <c r="BH155" s="35"/>
      <c r="BI155" s="35">
        <v>0</v>
      </c>
      <c r="BJ155" s="35"/>
      <c r="BK155" s="35">
        <v>0</v>
      </c>
      <c r="BL155" s="35"/>
      <c r="BM155" s="35">
        <f t="shared" si="35"/>
        <v>0</v>
      </c>
      <c r="BN155" s="54" t="s">
        <v>347</v>
      </c>
    </row>
    <row r="156" spans="1:66" ht="13.2" hidden="1">
      <c r="A156" s="35" t="s">
        <v>193</v>
      </c>
      <c r="C156" s="35" t="s">
        <v>45</v>
      </c>
      <c r="D156" s="35"/>
      <c r="E156" s="35">
        <f t="shared" si="31"/>
        <v>0</v>
      </c>
      <c r="F156" s="35"/>
      <c r="G156" s="35"/>
      <c r="H156" s="35"/>
      <c r="I156" s="35"/>
      <c r="J156" s="35"/>
      <c r="K156" s="35">
        <f t="shared" si="32"/>
        <v>0</v>
      </c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>
        <f t="shared" si="34"/>
        <v>0</v>
      </c>
      <c r="X156" s="35"/>
      <c r="Y156" s="35" t="s">
        <v>193</v>
      </c>
      <c r="Z156" s="55"/>
      <c r="AA156" s="35" t="s">
        <v>45</v>
      </c>
      <c r="AB156" s="35"/>
      <c r="AC156" s="35"/>
      <c r="AD156" s="35"/>
      <c r="AE156" s="35"/>
      <c r="AF156" s="35"/>
      <c r="AG156" s="35"/>
      <c r="AH156" s="35"/>
      <c r="AI156" s="45">
        <f t="shared" si="29"/>
        <v>0</v>
      </c>
      <c r="AJ156" s="45"/>
      <c r="AK156" s="35"/>
      <c r="AL156" s="35"/>
      <c r="AM156" s="35"/>
      <c r="AN156" s="35"/>
      <c r="AO156" s="35"/>
      <c r="AP156" s="35"/>
      <c r="AQ156" s="35"/>
      <c r="AR156" s="35"/>
      <c r="AS156" s="45">
        <f t="shared" si="26"/>
        <v>0</v>
      </c>
      <c r="AT156" s="45"/>
      <c r="AU156" s="35">
        <v>0</v>
      </c>
      <c r="AV156" s="35"/>
      <c r="AW156" s="35">
        <v>0</v>
      </c>
      <c r="AX156" s="35"/>
      <c r="AY156" s="35">
        <f t="shared" si="27"/>
        <v>0</v>
      </c>
      <c r="AZ156" s="35"/>
      <c r="BA156" s="35" t="s">
        <v>193</v>
      </c>
      <c r="BB156" s="55"/>
      <c r="BC156" s="35" t="s">
        <v>45</v>
      </c>
      <c r="BD156" s="35"/>
      <c r="BE156" s="35"/>
      <c r="BF156" s="35"/>
      <c r="BG156" s="35"/>
      <c r="BH156" s="35"/>
      <c r="BI156" s="35"/>
      <c r="BJ156" s="35"/>
      <c r="BK156" s="35"/>
      <c r="BL156" s="35"/>
      <c r="BM156" s="35">
        <f t="shared" si="35"/>
        <v>0</v>
      </c>
      <c r="BN156" s="54" t="s">
        <v>347</v>
      </c>
    </row>
    <row r="157" spans="1:66" ht="13.2" hidden="1">
      <c r="A157" s="35" t="s">
        <v>194</v>
      </c>
      <c r="C157" s="35" t="s">
        <v>66</v>
      </c>
      <c r="D157" s="35"/>
      <c r="E157" s="35">
        <f t="shared" si="31"/>
        <v>0</v>
      </c>
      <c r="F157" s="35"/>
      <c r="G157" s="35"/>
      <c r="H157" s="35"/>
      <c r="I157" s="35"/>
      <c r="J157" s="35"/>
      <c r="K157" s="35">
        <f t="shared" si="32"/>
        <v>0</v>
      </c>
      <c r="L157" s="35"/>
      <c r="M157" s="35">
        <v>0</v>
      </c>
      <c r="N157" s="35"/>
      <c r="O157" s="35"/>
      <c r="P157" s="35"/>
      <c r="Q157" s="35"/>
      <c r="R157" s="35"/>
      <c r="S157" s="35">
        <v>0</v>
      </c>
      <c r="T157" s="35"/>
      <c r="U157" s="35"/>
      <c r="V157" s="35"/>
      <c r="W157" s="35">
        <f t="shared" si="34"/>
        <v>0</v>
      </c>
      <c r="X157" s="35"/>
      <c r="Y157" s="35" t="s">
        <v>194</v>
      </c>
      <c r="Z157" s="55"/>
      <c r="AA157" s="35" t="s">
        <v>66</v>
      </c>
      <c r="AB157" s="35"/>
      <c r="AC157" s="35">
        <v>0</v>
      </c>
      <c r="AD157" s="35"/>
      <c r="AE157" s="35">
        <v>0</v>
      </c>
      <c r="AF157" s="35"/>
      <c r="AG157" s="35">
        <v>0</v>
      </c>
      <c r="AH157" s="35"/>
      <c r="AI157" s="45">
        <f t="shared" si="29"/>
        <v>0</v>
      </c>
      <c r="AJ157" s="45"/>
      <c r="AK157" s="35"/>
      <c r="AL157" s="35"/>
      <c r="AM157" s="35">
        <v>0</v>
      </c>
      <c r="AN157" s="35"/>
      <c r="AO157" s="35">
        <v>0</v>
      </c>
      <c r="AP157" s="35"/>
      <c r="AQ157" s="35">
        <v>0</v>
      </c>
      <c r="AR157" s="35"/>
      <c r="AS157" s="45">
        <f t="shared" si="26"/>
        <v>0</v>
      </c>
      <c r="AT157" s="45"/>
      <c r="AU157" s="35">
        <v>0</v>
      </c>
      <c r="AV157" s="35"/>
      <c r="AW157" s="35">
        <v>0</v>
      </c>
      <c r="AX157" s="35"/>
      <c r="AY157" s="35">
        <f t="shared" si="27"/>
        <v>0</v>
      </c>
      <c r="AZ157" s="35"/>
      <c r="BA157" s="35" t="s">
        <v>194</v>
      </c>
      <c r="BB157" s="55"/>
      <c r="BC157" s="35" t="s">
        <v>66</v>
      </c>
      <c r="BD157" s="35"/>
      <c r="BE157" s="35"/>
      <c r="BF157" s="35"/>
      <c r="BG157" s="35"/>
      <c r="BH157" s="35"/>
      <c r="BI157" s="35"/>
      <c r="BJ157" s="35"/>
      <c r="BK157" s="35"/>
      <c r="BL157" s="35"/>
      <c r="BM157" s="35">
        <f t="shared" si="35"/>
        <v>0</v>
      </c>
      <c r="BN157" s="54" t="s">
        <v>347</v>
      </c>
    </row>
    <row r="158" spans="1:66" ht="13.2" hidden="1">
      <c r="A158" s="35" t="s">
        <v>195</v>
      </c>
      <c r="C158" s="35" t="s">
        <v>17</v>
      </c>
      <c r="D158" s="35"/>
      <c r="E158" s="35">
        <f t="shared" si="31"/>
        <v>0</v>
      </c>
      <c r="F158" s="35"/>
      <c r="G158" s="35"/>
      <c r="H158" s="35"/>
      <c r="I158" s="35"/>
      <c r="J158" s="35"/>
      <c r="K158" s="35">
        <f t="shared" si="32"/>
        <v>0</v>
      </c>
      <c r="L158" s="35"/>
      <c r="M158" s="35">
        <v>0</v>
      </c>
      <c r="N158" s="35"/>
      <c r="O158" s="35"/>
      <c r="P158" s="35"/>
      <c r="Q158" s="35"/>
      <c r="R158" s="35"/>
      <c r="S158" s="35">
        <v>0</v>
      </c>
      <c r="T158" s="35"/>
      <c r="U158" s="35"/>
      <c r="V158" s="35"/>
      <c r="W158" s="35">
        <f t="shared" si="34"/>
        <v>0</v>
      </c>
      <c r="X158" s="35"/>
      <c r="Y158" s="35" t="s">
        <v>195</v>
      </c>
      <c r="Z158" s="55"/>
      <c r="AA158" s="35" t="s">
        <v>17</v>
      </c>
      <c r="AB158" s="35"/>
      <c r="AC158" s="35">
        <v>0</v>
      </c>
      <c r="AD158" s="35"/>
      <c r="AE158" s="35">
        <v>0</v>
      </c>
      <c r="AF158" s="35"/>
      <c r="AG158" s="35">
        <v>0</v>
      </c>
      <c r="AH158" s="35"/>
      <c r="AI158" s="45">
        <f t="shared" si="29"/>
        <v>0</v>
      </c>
      <c r="AJ158" s="45"/>
      <c r="AK158" s="35"/>
      <c r="AL158" s="35"/>
      <c r="AM158" s="35">
        <v>0</v>
      </c>
      <c r="AN158" s="35"/>
      <c r="AO158" s="35">
        <v>0</v>
      </c>
      <c r="AP158" s="35"/>
      <c r="AQ158" s="35">
        <v>0</v>
      </c>
      <c r="AR158" s="35"/>
      <c r="AS158" s="45">
        <f>+AI158+AK158+AM158-AO158+AQ158</f>
        <v>0</v>
      </c>
      <c r="AT158" s="45"/>
      <c r="AU158" s="35">
        <v>0</v>
      </c>
      <c r="AV158" s="35"/>
      <c r="AW158" s="35">
        <v>0</v>
      </c>
      <c r="AX158" s="35"/>
      <c r="AY158" s="35">
        <f t="shared" si="27"/>
        <v>0</v>
      </c>
      <c r="AZ158" s="35"/>
      <c r="BA158" s="35" t="s">
        <v>195</v>
      </c>
      <c r="BB158" s="55"/>
      <c r="BC158" s="35" t="s">
        <v>17</v>
      </c>
      <c r="BD158" s="35"/>
      <c r="BE158" s="35"/>
      <c r="BF158" s="35"/>
      <c r="BG158" s="35"/>
      <c r="BH158" s="35"/>
      <c r="BI158" s="35"/>
      <c r="BJ158" s="35"/>
      <c r="BK158" s="35"/>
      <c r="BL158" s="35"/>
      <c r="BM158" s="35">
        <f t="shared" si="35"/>
        <v>0</v>
      </c>
      <c r="BN158" s="54" t="s">
        <v>347</v>
      </c>
    </row>
    <row r="159" spans="1:66" ht="13.2" hidden="1">
      <c r="A159" s="35" t="s">
        <v>196</v>
      </c>
      <c r="C159" s="35" t="s">
        <v>27</v>
      </c>
      <c r="D159" s="35"/>
      <c r="E159" s="35">
        <f t="shared" si="31"/>
        <v>0</v>
      </c>
      <c r="F159" s="35"/>
      <c r="G159" s="35"/>
      <c r="H159" s="35"/>
      <c r="I159" s="35"/>
      <c r="J159" s="35"/>
      <c r="K159" s="35">
        <f t="shared" si="32"/>
        <v>0</v>
      </c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>
        <f t="shared" si="34"/>
        <v>0</v>
      </c>
      <c r="X159" s="35"/>
      <c r="Y159" s="35" t="s">
        <v>196</v>
      </c>
      <c r="Z159" s="55"/>
      <c r="AA159" s="35" t="s">
        <v>27</v>
      </c>
      <c r="AB159" s="35"/>
      <c r="AC159" s="35"/>
      <c r="AD159" s="35"/>
      <c r="AE159" s="35"/>
      <c r="AF159" s="35"/>
      <c r="AG159" s="35"/>
      <c r="AH159" s="35"/>
      <c r="AI159" s="45">
        <f t="shared" si="29"/>
        <v>0</v>
      </c>
      <c r="AJ159" s="45"/>
      <c r="AK159" s="35"/>
      <c r="AL159" s="35"/>
      <c r="AM159" s="35"/>
      <c r="AN159" s="35"/>
      <c r="AO159" s="35"/>
      <c r="AP159" s="35"/>
      <c r="AQ159" s="35"/>
      <c r="AR159" s="35"/>
      <c r="AS159" s="45">
        <f t="shared" si="26"/>
        <v>0</v>
      </c>
      <c r="AT159" s="45"/>
      <c r="AU159" s="35">
        <v>0</v>
      </c>
      <c r="AV159" s="35"/>
      <c r="AW159" s="35">
        <v>0</v>
      </c>
      <c r="AX159" s="35"/>
      <c r="AY159" s="35">
        <f t="shared" si="27"/>
        <v>0</v>
      </c>
      <c r="AZ159" s="35"/>
      <c r="BA159" s="35" t="s">
        <v>196</v>
      </c>
      <c r="BB159" s="55"/>
      <c r="BC159" s="35" t="s">
        <v>27</v>
      </c>
      <c r="BD159" s="35"/>
      <c r="BE159" s="35"/>
      <c r="BF159" s="35"/>
      <c r="BG159" s="35"/>
      <c r="BH159" s="35"/>
      <c r="BI159" s="35"/>
      <c r="BJ159" s="35"/>
      <c r="BK159" s="35"/>
      <c r="BL159" s="35"/>
      <c r="BM159" s="35">
        <f t="shared" si="35"/>
        <v>0</v>
      </c>
      <c r="BN159" s="54" t="s">
        <v>347</v>
      </c>
    </row>
    <row r="160" spans="1:66" ht="13.2" hidden="1">
      <c r="A160" s="35" t="s">
        <v>402</v>
      </c>
      <c r="C160" s="35" t="s">
        <v>153</v>
      </c>
      <c r="D160" s="35"/>
      <c r="E160" s="35">
        <f t="shared" si="31"/>
        <v>0</v>
      </c>
      <c r="F160" s="35"/>
      <c r="G160" s="35"/>
      <c r="H160" s="35"/>
      <c r="I160" s="35"/>
      <c r="J160" s="35"/>
      <c r="K160" s="35">
        <f t="shared" si="32"/>
        <v>0</v>
      </c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>
        <f t="shared" si="34"/>
        <v>0</v>
      </c>
      <c r="X160" s="35"/>
      <c r="Y160" s="35" t="s">
        <v>402</v>
      </c>
      <c r="Z160" s="55"/>
      <c r="AA160" s="35" t="s">
        <v>153</v>
      </c>
      <c r="AB160" s="35"/>
      <c r="AC160" s="35"/>
      <c r="AD160" s="35"/>
      <c r="AE160" s="35"/>
      <c r="AF160" s="35"/>
      <c r="AG160" s="35"/>
      <c r="AH160" s="35"/>
      <c r="AI160" s="45">
        <f t="shared" si="29"/>
        <v>0</v>
      </c>
      <c r="AJ160" s="45"/>
      <c r="AK160" s="35"/>
      <c r="AL160" s="35"/>
      <c r="AM160" s="35"/>
      <c r="AN160" s="35"/>
      <c r="AO160" s="35"/>
      <c r="AP160" s="35"/>
      <c r="AQ160" s="35"/>
      <c r="AR160" s="35"/>
      <c r="AS160" s="45">
        <f t="shared" si="26"/>
        <v>0</v>
      </c>
      <c r="AT160" s="45"/>
      <c r="AU160" s="35">
        <v>0</v>
      </c>
      <c r="AV160" s="35"/>
      <c r="AW160" s="35">
        <v>0</v>
      </c>
      <c r="AX160" s="35"/>
      <c r="AY160" s="35">
        <f t="shared" si="27"/>
        <v>0</v>
      </c>
      <c r="AZ160" s="35"/>
      <c r="BA160" s="35" t="s">
        <v>402</v>
      </c>
      <c r="BB160" s="55"/>
      <c r="BC160" s="35" t="s">
        <v>153</v>
      </c>
      <c r="BD160" s="35"/>
      <c r="BE160" s="35"/>
      <c r="BF160" s="35"/>
      <c r="BG160" s="35"/>
      <c r="BH160" s="35"/>
      <c r="BI160" s="35"/>
      <c r="BJ160" s="35"/>
      <c r="BK160" s="35"/>
      <c r="BL160" s="35"/>
      <c r="BM160" s="35">
        <f t="shared" si="35"/>
        <v>0</v>
      </c>
      <c r="BN160" s="54" t="s">
        <v>347</v>
      </c>
    </row>
    <row r="161" spans="1:67" ht="13.2" hidden="1">
      <c r="A161" s="35" t="s">
        <v>197</v>
      </c>
      <c r="C161" s="35" t="s">
        <v>163</v>
      </c>
      <c r="D161" s="35"/>
      <c r="E161" s="35">
        <f t="shared" si="31"/>
        <v>0</v>
      </c>
      <c r="F161" s="35"/>
      <c r="G161" s="35"/>
      <c r="H161" s="35"/>
      <c r="I161" s="35"/>
      <c r="J161" s="35"/>
      <c r="K161" s="35">
        <f t="shared" si="32"/>
        <v>0</v>
      </c>
      <c r="L161" s="35"/>
      <c r="M161" s="35">
        <v>0</v>
      </c>
      <c r="N161" s="35"/>
      <c r="O161" s="35"/>
      <c r="P161" s="35"/>
      <c r="Q161" s="35"/>
      <c r="R161" s="35"/>
      <c r="S161" s="35">
        <v>0</v>
      </c>
      <c r="T161" s="35"/>
      <c r="U161" s="35"/>
      <c r="V161" s="35"/>
      <c r="W161" s="35">
        <f t="shared" si="34"/>
        <v>0</v>
      </c>
      <c r="X161" s="35"/>
      <c r="Y161" s="35" t="s">
        <v>197</v>
      </c>
      <c r="Z161" s="55"/>
      <c r="AA161" s="35" t="s">
        <v>163</v>
      </c>
      <c r="AB161" s="35"/>
      <c r="AC161" s="35">
        <v>0</v>
      </c>
      <c r="AD161" s="35"/>
      <c r="AE161" s="35">
        <v>0</v>
      </c>
      <c r="AF161" s="35"/>
      <c r="AG161" s="35">
        <v>0</v>
      </c>
      <c r="AH161" s="35"/>
      <c r="AI161" s="45">
        <f t="shared" si="29"/>
        <v>0</v>
      </c>
      <c r="AJ161" s="45"/>
      <c r="AK161" s="35"/>
      <c r="AL161" s="35"/>
      <c r="AM161" s="35">
        <v>0</v>
      </c>
      <c r="AN161" s="35"/>
      <c r="AO161" s="35">
        <v>0</v>
      </c>
      <c r="AP161" s="35"/>
      <c r="AQ161" s="35">
        <v>0</v>
      </c>
      <c r="AR161" s="35"/>
      <c r="AS161" s="45">
        <f t="shared" si="26"/>
        <v>0</v>
      </c>
      <c r="AT161" s="45"/>
      <c r="AU161" s="35">
        <v>0</v>
      </c>
      <c r="AV161" s="35"/>
      <c r="AW161" s="35">
        <v>0</v>
      </c>
      <c r="AX161" s="35"/>
      <c r="AY161" s="35">
        <f t="shared" si="27"/>
        <v>0</v>
      </c>
      <c r="AZ161" s="35"/>
      <c r="BA161" s="35" t="s">
        <v>197</v>
      </c>
      <c r="BB161" s="55"/>
      <c r="BC161" s="35" t="s">
        <v>163</v>
      </c>
      <c r="BD161" s="35"/>
      <c r="BE161" s="35"/>
      <c r="BF161" s="35"/>
      <c r="BG161" s="35"/>
      <c r="BH161" s="35"/>
      <c r="BI161" s="35"/>
      <c r="BJ161" s="35"/>
      <c r="BK161" s="35"/>
      <c r="BL161" s="35"/>
      <c r="BM161" s="35">
        <f t="shared" si="35"/>
        <v>0</v>
      </c>
      <c r="BN161" s="54" t="s">
        <v>347</v>
      </c>
    </row>
    <row r="162" spans="1:67" ht="13.2" hidden="1">
      <c r="A162" s="35" t="s">
        <v>198</v>
      </c>
      <c r="C162" s="35" t="s">
        <v>199</v>
      </c>
      <c r="D162" s="35"/>
      <c r="E162" s="35">
        <f t="shared" si="31"/>
        <v>0</v>
      </c>
      <c r="F162" s="35"/>
      <c r="G162" s="35"/>
      <c r="H162" s="35"/>
      <c r="I162" s="35"/>
      <c r="J162" s="35"/>
      <c r="K162" s="35">
        <f t="shared" si="32"/>
        <v>0</v>
      </c>
      <c r="L162" s="35"/>
      <c r="M162" s="35">
        <v>0</v>
      </c>
      <c r="N162" s="35"/>
      <c r="O162" s="35"/>
      <c r="P162" s="35"/>
      <c r="Q162" s="35"/>
      <c r="R162" s="35"/>
      <c r="S162" s="35">
        <v>0</v>
      </c>
      <c r="T162" s="35"/>
      <c r="U162" s="35"/>
      <c r="V162" s="35"/>
      <c r="W162" s="35">
        <f t="shared" si="34"/>
        <v>0</v>
      </c>
      <c r="X162" s="35"/>
      <c r="Y162" s="35" t="s">
        <v>198</v>
      </c>
      <c r="Z162" s="55"/>
      <c r="AA162" s="35" t="s">
        <v>199</v>
      </c>
      <c r="AB162" s="35"/>
      <c r="AC162" s="35">
        <v>0</v>
      </c>
      <c r="AD162" s="35"/>
      <c r="AE162" s="35">
        <v>0</v>
      </c>
      <c r="AF162" s="35"/>
      <c r="AG162" s="35">
        <v>0</v>
      </c>
      <c r="AH162" s="35"/>
      <c r="AI162" s="45">
        <f t="shared" si="29"/>
        <v>0</v>
      </c>
      <c r="AJ162" s="45"/>
      <c r="AK162" s="35"/>
      <c r="AL162" s="35"/>
      <c r="AM162" s="35">
        <v>0</v>
      </c>
      <c r="AN162" s="35"/>
      <c r="AO162" s="35">
        <v>0</v>
      </c>
      <c r="AP162" s="35"/>
      <c r="AQ162" s="35">
        <v>0</v>
      </c>
      <c r="AR162" s="35"/>
      <c r="AS162" s="45">
        <f t="shared" si="26"/>
        <v>0</v>
      </c>
      <c r="AT162" s="45"/>
      <c r="AU162" s="35">
        <v>0</v>
      </c>
      <c r="AV162" s="35"/>
      <c r="AW162" s="35">
        <v>0</v>
      </c>
      <c r="AX162" s="35"/>
      <c r="AY162" s="35">
        <f t="shared" si="27"/>
        <v>0</v>
      </c>
      <c r="AZ162" s="35"/>
      <c r="BA162" s="35" t="s">
        <v>198</v>
      </c>
      <c r="BB162" s="55"/>
      <c r="BC162" s="35" t="s">
        <v>199</v>
      </c>
      <c r="BD162" s="35"/>
      <c r="BE162" s="35"/>
      <c r="BF162" s="35"/>
      <c r="BG162" s="35"/>
      <c r="BH162" s="35"/>
      <c r="BI162" s="35"/>
      <c r="BJ162" s="35"/>
      <c r="BK162" s="35"/>
      <c r="BL162" s="35"/>
      <c r="BM162" s="35">
        <f t="shared" si="35"/>
        <v>0</v>
      </c>
      <c r="BN162" s="54" t="s">
        <v>347</v>
      </c>
      <c r="BO162" s="55" t="s">
        <v>371</v>
      </c>
    </row>
    <row r="163" spans="1:67" ht="13.2">
      <c r="A163" s="35" t="s">
        <v>200</v>
      </c>
      <c r="C163" s="35" t="s">
        <v>103</v>
      </c>
      <c r="D163" s="35"/>
      <c r="E163" s="35">
        <f t="shared" si="31"/>
        <v>3034124</v>
      </c>
      <c r="F163" s="35"/>
      <c r="G163" s="35">
        <v>81791</v>
      </c>
      <c r="H163" s="35"/>
      <c r="I163" s="35">
        <v>3115915</v>
      </c>
      <c r="J163" s="35"/>
      <c r="K163" s="35">
        <f t="shared" si="32"/>
        <v>0</v>
      </c>
      <c r="L163" s="35"/>
      <c r="M163" s="35">
        <v>2729476</v>
      </c>
      <c r="N163" s="35"/>
      <c r="O163" s="35">
        <v>2729476</v>
      </c>
      <c r="P163" s="35"/>
      <c r="Q163" s="35">
        <v>81791</v>
      </c>
      <c r="R163" s="35"/>
      <c r="S163" s="35">
        <v>0</v>
      </c>
      <c r="T163" s="35"/>
      <c r="U163" s="35">
        <v>-30446</v>
      </c>
      <c r="V163" s="35"/>
      <c r="W163" s="35">
        <f t="shared" si="34"/>
        <v>51345</v>
      </c>
      <c r="X163" s="35"/>
      <c r="Y163" s="35" t="s">
        <v>200</v>
      </c>
      <c r="Z163" s="55"/>
      <c r="AA163" s="35" t="s">
        <v>103</v>
      </c>
      <c r="AB163" s="35"/>
      <c r="AC163" s="35">
        <v>1585236</v>
      </c>
      <c r="AD163" s="35"/>
      <c r="AE163" s="35">
        <f>1327042-6226</f>
        <v>1320816</v>
      </c>
      <c r="AF163" s="35"/>
      <c r="AG163" s="35">
        <v>6226</v>
      </c>
      <c r="AH163" s="35"/>
      <c r="AI163" s="45">
        <f t="shared" si="29"/>
        <v>258194</v>
      </c>
      <c r="AJ163" s="45"/>
      <c r="AK163" s="35">
        <v>132481</v>
      </c>
      <c r="AL163" s="35"/>
      <c r="AM163" s="35">
        <v>0</v>
      </c>
      <c r="AN163" s="35"/>
      <c r="AO163" s="35">
        <v>0</v>
      </c>
      <c r="AP163" s="35"/>
      <c r="AQ163" s="35">
        <v>0</v>
      </c>
      <c r="AR163" s="35"/>
      <c r="AS163" s="45">
        <f t="shared" si="26"/>
        <v>390675</v>
      </c>
      <c r="AT163" s="45"/>
      <c r="AU163" s="35">
        <v>0</v>
      </c>
      <c r="AV163" s="35"/>
      <c r="AW163" s="35">
        <v>0</v>
      </c>
      <c r="AX163" s="35"/>
      <c r="AY163" s="35">
        <f t="shared" si="27"/>
        <v>3034124</v>
      </c>
      <c r="AZ163" s="35"/>
      <c r="BA163" s="35" t="s">
        <v>200</v>
      </c>
      <c r="BB163" s="55"/>
      <c r="BC163" s="35" t="s">
        <v>103</v>
      </c>
      <c r="BD163" s="35"/>
      <c r="BE163" s="35">
        <v>0</v>
      </c>
      <c r="BF163" s="35"/>
      <c r="BG163" s="35">
        <v>0</v>
      </c>
      <c r="BH163" s="35"/>
      <c r="BI163" s="35">
        <v>1681905</v>
      </c>
      <c r="BJ163" s="35"/>
      <c r="BK163" s="35">
        <v>1266680</v>
      </c>
      <c r="BL163" s="35"/>
      <c r="BM163" s="35">
        <f t="shared" si="35"/>
        <v>2948585</v>
      </c>
      <c r="BN163" s="54" t="s">
        <v>347</v>
      </c>
    </row>
    <row r="164" spans="1:67" ht="13.2" hidden="1">
      <c r="A164" s="35" t="s">
        <v>201</v>
      </c>
      <c r="C164" s="35" t="s">
        <v>92</v>
      </c>
      <c r="D164" s="35"/>
      <c r="E164" s="35">
        <f t="shared" si="31"/>
        <v>0</v>
      </c>
      <c r="F164" s="35"/>
      <c r="G164" s="35"/>
      <c r="H164" s="35"/>
      <c r="I164" s="35"/>
      <c r="J164" s="35"/>
      <c r="K164" s="35">
        <f t="shared" si="32"/>
        <v>0</v>
      </c>
      <c r="L164" s="35"/>
      <c r="M164" s="35">
        <v>0</v>
      </c>
      <c r="N164" s="35"/>
      <c r="O164" s="35"/>
      <c r="P164" s="35"/>
      <c r="Q164" s="35"/>
      <c r="R164" s="35"/>
      <c r="S164" s="35">
        <v>0</v>
      </c>
      <c r="T164" s="35"/>
      <c r="U164" s="35"/>
      <c r="V164" s="35"/>
      <c r="W164" s="35">
        <f t="shared" si="30"/>
        <v>0</v>
      </c>
      <c r="X164" s="35"/>
      <c r="Y164" s="35" t="s">
        <v>201</v>
      </c>
      <c r="Z164" s="55"/>
      <c r="AA164" s="35" t="s">
        <v>92</v>
      </c>
      <c r="AB164" s="35"/>
      <c r="AC164" s="35">
        <v>0</v>
      </c>
      <c r="AD164" s="35"/>
      <c r="AE164" s="35">
        <v>0</v>
      </c>
      <c r="AF164" s="35"/>
      <c r="AG164" s="35">
        <v>0</v>
      </c>
      <c r="AH164" s="35"/>
      <c r="AI164" s="45">
        <f t="shared" si="29"/>
        <v>0</v>
      </c>
      <c r="AJ164" s="45"/>
      <c r="AK164" s="35"/>
      <c r="AL164" s="35"/>
      <c r="AM164" s="35">
        <v>0</v>
      </c>
      <c r="AN164" s="35"/>
      <c r="AO164" s="35">
        <v>0</v>
      </c>
      <c r="AP164" s="35"/>
      <c r="AQ164" s="35">
        <v>0</v>
      </c>
      <c r="AR164" s="35"/>
      <c r="AS164" s="45">
        <f t="shared" si="26"/>
        <v>0</v>
      </c>
      <c r="AT164" s="45"/>
      <c r="AU164" s="35">
        <v>0</v>
      </c>
      <c r="AV164" s="35"/>
      <c r="AW164" s="35">
        <v>0</v>
      </c>
      <c r="AX164" s="35"/>
      <c r="AY164" s="35">
        <f t="shared" si="27"/>
        <v>0</v>
      </c>
      <c r="AZ164" s="35"/>
      <c r="BA164" s="35" t="s">
        <v>201</v>
      </c>
      <c r="BB164" s="55"/>
      <c r="BC164" s="35" t="s">
        <v>92</v>
      </c>
      <c r="BD164" s="35"/>
      <c r="BE164" s="35"/>
      <c r="BF164" s="35"/>
      <c r="BG164" s="35"/>
      <c r="BH164" s="35"/>
      <c r="BI164" s="35"/>
      <c r="BJ164" s="35"/>
      <c r="BK164" s="35"/>
      <c r="BL164" s="35"/>
      <c r="BM164" s="35">
        <f t="shared" si="33"/>
        <v>0</v>
      </c>
      <c r="BN164" s="54" t="s">
        <v>347</v>
      </c>
    </row>
    <row r="165" spans="1:67" ht="13.2" hidden="1">
      <c r="A165" s="35" t="s">
        <v>202</v>
      </c>
      <c r="C165" s="35" t="s">
        <v>27</v>
      </c>
      <c r="D165" s="35"/>
      <c r="E165" s="35">
        <f t="shared" si="31"/>
        <v>0</v>
      </c>
      <c r="F165" s="35"/>
      <c r="G165" s="35"/>
      <c r="H165" s="35"/>
      <c r="I165" s="35"/>
      <c r="J165" s="35"/>
      <c r="K165" s="35">
        <f t="shared" si="32"/>
        <v>0</v>
      </c>
      <c r="L165" s="35"/>
      <c r="M165" s="35">
        <v>0</v>
      </c>
      <c r="N165" s="35"/>
      <c r="O165" s="35"/>
      <c r="P165" s="35"/>
      <c r="Q165" s="35"/>
      <c r="R165" s="35"/>
      <c r="S165" s="35">
        <v>0</v>
      </c>
      <c r="T165" s="35"/>
      <c r="U165" s="35"/>
      <c r="V165" s="35"/>
      <c r="W165" s="35">
        <f t="shared" si="30"/>
        <v>0</v>
      </c>
      <c r="X165" s="35"/>
      <c r="Y165" s="35" t="s">
        <v>202</v>
      </c>
      <c r="Z165" s="55"/>
      <c r="AA165" s="35" t="s">
        <v>27</v>
      </c>
      <c r="AB165" s="35"/>
      <c r="AC165" s="35">
        <v>0</v>
      </c>
      <c r="AD165" s="35"/>
      <c r="AE165" s="35">
        <v>0</v>
      </c>
      <c r="AF165" s="35"/>
      <c r="AG165" s="35">
        <v>0</v>
      </c>
      <c r="AH165" s="35"/>
      <c r="AI165" s="45">
        <f t="shared" si="29"/>
        <v>0</v>
      </c>
      <c r="AJ165" s="45"/>
      <c r="AK165" s="35"/>
      <c r="AL165" s="35"/>
      <c r="AM165" s="35">
        <v>0</v>
      </c>
      <c r="AN165" s="35"/>
      <c r="AO165" s="35">
        <v>0</v>
      </c>
      <c r="AP165" s="35"/>
      <c r="AQ165" s="35">
        <v>0</v>
      </c>
      <c r="AR165" s="35"/>
      <c r="AS165" s="45">
        <f t="shared" si="26"/>
        <v>0</v>
      </c>
      <c r="AT165" s="45"/>
      <c r="AU165" s="35">
        <v>0</v>
      </c>
      <c r="AV165" s="35"/>
      <c r="AW165" s="35">
        <v>0</v>
      </c>
      <c r="AX165" s="35"/>
      <c r="AY165" s="35">
        <f t="shared" si="27"/>
        <v>0</v>
      </c>
      <c r="AZ165" s="35"/>
      <c r="BA165" s="35" t="s">
        <v>202</v>
      </c>
      <c r="BB165" s="55"/>
      <c r="BC165" s="35" t="s">
        <v>27</v>
      </c>
      <c r="BD165" s="35"/>
      <c r="BE165" s="35"/>
      <c r="BF165" s="35"/>
      <c r="BG165" s="35"/>
      <c r="BH165" s="35"/>
      <c r="BI165" s="35"/>
      <c r="BJ165" s="35"/>
      <c r="BK165" s="35"/>
      <c r="BL165" s="35"/>
      <c r="BM165" s="35">
        <f t="shared" si="33"/>
        <v>0</v>
      </c>
      <c r="BN165" s="54" t="s">
        <v>347</v>
      </c>
    </row>
    <row r="166" spans="1:67" ht="13.2" hidden="1">
      <c r="A166" s="35" t="s">
        <v>203</v>
      </c>
      <c r="C166" s="35" t="s">
        <v>27</v>
      </c>
      <c r="D166" s="35"/>
      <c r="E166" s="35">
        <f t="shared" si="31"/>
        <v>0</v>
      </c>
      <c r="F166" s="35"/>
      <c r="G166" s="35"/>
      <c r="H166" s="35"/>
      <c r="I166" s="35"/>
      <c r="J166" s="35"/>
      <c r="K166" s="35">
        <f t="shared" si="32"/>
        <v>0</v>
      </c>
      <c r="L166" s="35"/>
      <c r="M166" s="35">
        <v>0</v>
      </c>
      <c r="N166" s="35"/>
      <c r="O166" s="35"/>
      <c r="P166" s="35"/>
      <c r="Q166" s="35"/>
      <c r="R166" s="35"/>
      <c r="S166" s="35">
        <v>0</v>
      </c>
      <c r="T166" s="35"/>
      <c r="U166" s="35"/>
      <c r="V166" s="35"/>
      <c r="W166" s="35">
        <f t="shared" si="30"/>
        <v>0</v>
      </c>
      <c r="X166" s="35"/>
      <c r="Y166" s="35" t="s">
        <v>203</v>
      </c>
      <c r="Z166" s="55"/>
      <c r="AA166" s="35" t="s">
        <v>27</v>
      </c>
      <c r="AB166" s="35"/>
      <c r="AC166" s="35">
        <v>0</v>
      </c>
      <c r="AD166" s="35"/>
      <c r="AE166" s="35">
        <v>0</v>
      </c>
      <c r="AF166" s="35"/>
      <c r="AG166" s="35">
        <v>0</v>
      </c>
      <c r="AH166" s="35"/>
      <c r="AI166" s="45">
        <f t="shared" si="29"/>
        <v>0</v>
      </c>
      <c r="AJ166" s="45"/>
      <c r="AK166" s="35"/>
      <c r="AL166" s="35"/>
      <c r="AM166" s="35">
        <v>0</v>
      </c>
      <c r="AN166" s="35"/>
      <c r="AO166" s="35">
        <v>0</v>
      </c>
      <c r="AP166" s="35"/>
      <c r="AQ166" s="35">
        <v>0</v>
      </c>
      <c r="AR166" s="35"/>
      <c r="AS166" s="45">
        <f t="shared" si="26"/>
        <v>0</v>
      </c>
      <c r="AT166" s="45"/>
      <c r="AU166" s="35">
        <v>0</v>
      </c>
      <c r="AV166" s="35"/>
      <c r="AW166" s="35">
        <v>0</v>
      </c>
      <c r="AX166" s="35"/>
      <c r="AY166" s="35">
        <f t="shared" si="27"/>
        <v>0</v>
      </c>
      <c r="AZ166" s="35"/>
      <c r="BA166" s="35" t="s">
        <v>203</v>
      </c>
      <c r="BB166" s="55"/>
      <c r="BC166" s="35" t="s">
        <v>27</v>
      </c>
      <c r="BD166" s="35"/>
      <c r="BE166" s="35"/>
      <c r="BF166" s="35"/>
      <c r="BG166" s="35"/>
      <c r="BH166" s="35"/>
      <c r="BI166" s="35"/>
      <c r="BJ166" s="35"/>
      <c r="BK166" s="35"/>
      <c r="BL166" s="35"/>
      <c r="BM166" s="35">
        <f t="shared" si="33"/>
        <v>0</v>
      </c>
      <c r="BN166" s="54" t="s">
        <v>347</v>
      </c>
    </row>
    <row r="167" spans="1:67" ht="13.2" hidden="1">
      <c r="A167" s="35" t="s">
        <v>204</v>
      </c>
      <c r="C167" s="35" t="s">
        <v>125</v>
      </c>
      <c r="D167" s="35"/>
      <c r="E167" s="35">
        <f t="shared" si="31"/>
        <v>0</v>
      </c>
      <c r="F167" s="35"/>
      <c r="G167" s="35"/>
      <c r="H167" s="35"/>
      <c r="I167" s="35"/>
      <c r="J167" s="35"/>
      <c r="K167" s="35">
        <f t="shared" si="32"/>
        <v>0</v>
      </c>
      <c r="L167" s="35"/>
      <c r="M167" s="35">
        <v>0</v>
      </c>
      <c r="N167" s="35"/>
      <c r="O167" s="35"/>
      <c r="P167" s="35"/>
      <c r="Q167" s="35"/>
      <c r="R167" s="35"/>
      <c r="S167" s="35">
        <v>0</v>
      </c>
      <c r="T167" s="35"/>
      <c r="U167" s="35"/>
      <c r="V167" s="35"/>
      <c r="W167" s="35">
        <f t="shared" si="30"/>
        <v>0</v>
      </c>
      <c r="X167" s="35"/>
      <c r="Y167" s="35" t="s">
        <v>204</v>
      </c>
      <c r="Z167" s="55"/>
      <c r="AA167" s="35" t="s">
        <v>125</v>
      </c>
      <c r="AB167" s="35"/>
      <c r="AC167" s="35">
        <v>0</v>
      </c>
      <c r="AD167" s="35"/>
      <c r="AE167" s="35">
        <v>0</v>
      </c>
      <c r="AF167" s="35"/>
      <c r="AG167" s="35">
        <v>0</v>
      </c>
      <c r="AH167" s="35"/>
      <c r="AI167" s="45">
        <f t="shared" si="29"/>
        <v>0</v>
      </c>
      <c r="AJ167" s="45"/>
      <c r="AK167" s="35"/>
      <c r="AL167" s="35"/>
      <c r="AM167" s="35">
        <v>0</v>
      </c>
      <c r="AN167" s="35"/>
      <c r="AO167" s="35">
        <v>0</v>
      </c>
      <c r="AP167" s="35"/>
      <c r="AQ167" s="35">
        <v>0</v>
      </c>
      <c r="AR167" s="35"/>
      <c r="AS167" s="45">
        <f t="shared" si="26"/>
        <v>0</v>
      </c>
      <c r="AT167" s="45"/>
      <c r="AU167" s="35">
        <v>0</v>
      </c>
      <c r="AV167" s="35"/>
      <c r="AW167" s="35">
        <v>0</v>
      </c>
      <c r="AX167" s="35"/>
      <c r="AY167" s="35">
        <f t="shared" si="27"/>
        <v>0</v>
      </c>
      <c r="AZ167" s="35"/>
      <c r="BA167" s="35" t="s">
        <v>204</v>
      </c>
      <c r="BB167" s="55"/>
      <c r="BC167" s="35" t="s">
        <v>125</v>
      </c>
      <c r="BD167" s="35"/>
      <c r="BE167" s="35"/>
      <c r="BF167" s="35"/>
      <c r="BG167" s="35"/>
      <c r="BH167" s="35"/>
      <c r="BI167" s="35"/>
      <c r="BJ167" s="35"/>
      <c r="BK167" s="35"/>
      <c r="BL167" s="35"/>
      <c r="BM167" s="35">
        <f t="shared" si="33"/>
        <v>0</v>
      </c>
      <c r="BN167" s="54" t="s">
        <v>347</v>
      </c>
    </row>
    <row r="168" spans="1:67" ht="13.2" hidden="1">
      <c r="A168" s="35" t="s">
        <v>205</v>
      </c>
      <c r="C168" s="35" t="s">
        <v>27</v>
      </c>
      <c r="D168" s="35"/>
      <c r="E168" s="35">
        <f t="shared" si="31"/>
        <v>0</v>
      </c>
      <c r="F168" s="35"/>
      <c r="G168" s="35"/>
      <c r="H168" s="35"/>
      <c r="I168" s="35"/>
      <c r="J168" s="35"/>
      <c r="K168" s="35">
        <f t="shared" si="32"/>
        <v>0</v>
      </c>
      <c r="L168" s="35"/>
      <c r="M168" s="35">
        <v>0</v>
      </c>
      <c r="N168" s="35"/>
      <c r="O168" s="35"/>
      <c r="P168" s="35"/>
      <c r="Q168" s="35"/>
      <c r="R168" s="35"/>
      <c r="S168" s="35">
        <v>0</v>
      </c>
      <c r="T168" s="35"/>
      <c r="U168" s="35"/>
      <c r="V168" s="35"/>
      <c r="W168" s="35">
        <f t="shared" si="30"/>
        <v>0</v>
      </c>
      <c r="X168" s="35"/>
      <c r="Y168" s="35" t="s">
        <v>205</v>
      </c>
      <c r="Z168" s="55"/>
      <c r="AA168" s="35" t="s">
        <v>27</v>
      </c>
      <c r="AB168" s="35"/>
      <c r="AC168" s="35">
        <v>0</v>
      </c>
      <c r="AD168" s="35"/>
      <c r="AE168" s="35">
        <v>0</v>
      </c>
      <c r="AF168" s="35"/>
      <c r="AG168" s="35">
        <v>0</v>
      </c>
      <c r="AH168" s="35"/>
      <c r="AI168" s="45">
        <f t="shared" si="29"/>
        <v>0</v>
      </c>
      <c r="AJ168" s="45"/>
      <c r="AK168" s="35"/>
      <c r="AL168" s="35"/>
      <c r="AM168" s="35">
        <v>0</v>
      </c>
      <c r="AN168" s="35"/>
      <c r="AO168" s="35">
        <v>0</v>
      </c>
      <c r="AP168" s="35"/>
      <c r="AQ168" s="35">
        <v>0</v>
      </c>
      <c r="AR168" s="35"/>
      <c r="AS168" s="45">
        <f t="shared" si="26"/>
        <v>0</v>
      </c>
      <c r="AT168" s="45"/>
      <c r="AU168" s="35">
        <v>0</v>
      </c>
      <c r="AV168" s="35"/>
      <c r="AW168" s="35">
        <v>0</v>
      </c>
      <c r="AX168" s="35"/>
      <c r="AY168" s="35">
        <f t="shared" si="27"/>
        <v>0</v>
      </c>
      <c r="AZ168" s="35"/>
      <c r="BA168" s="35" t="s">
        <v>205</v>
      </c>
      <c r="BB168" s="55"/>
      <c r="BC168" s="35" t="s">
        <v>27</v>
      </c>
      <c r="BD168" s="35"/>
      <c r="BE168" s="35"/>
      <c r="BF168" s="35"/>
      <c r="BG168" s="35"/>
      <c r="BH168" s="35"/>
      <c r="BI168" s="35"/>
      <c r="BJ168" s="35"/>
      <c r="BK168" s="35"/>
      <c r="BL168" s="35"/>
      <c r="BM168" s="35">
        <f t="shared" si="33"/>
        <v>0</v>
      </c>
      <c r="BN168" s="54" t="s">
        <v>347</v>
      </c>
    </row>
    <row r="169" spans="1:67" ht="13.2" hidden="1">
      <c r="A169" s="35" t="s">
        <v>206</v>
      </c>
      <c r="C169" s="35" t="s">
        <v>47</v>
      </c>
      <c r="D169" s="35"/>
      <c r="E169" s="35">
        <f t="shared" si="31"/>
        <v>0</v>
      </c>
      <c r="F169" s="35"/>
      <c r="G169" s="35"/>
      <c r="H169" s="35"/>
      <c r="I169" s="35"/>
      <c r="J169" s="35"/>
      <c r="K169" s="35">
        <f t="shared" si="32"/>
        <v>0</v>
      </c>
      <c r="L169" s="35"/>
      <c r="M169" s="35">
        <v>0</v>
      </c>
      <c r="N169" s="35"/>
      <c r="O169" s="35"/>
      <c r="P169" s="35"/>
      <c r="Q169" s="35"/>
      <c r="R169" s="35"/>
      <c r="S169" s="35">
        <v>0</v>
      </c>
      <c r="T169" s="35"/>
      <c r="U169" s="35"/>
      <c r="V169" s="35"/>
      <c r="W169" s="35">
        <f t="shared" si="30"/>
        <v>0</v>
      </c>
      <c r="X169" s="35"/>
      <c r="Y169" s="35" t="s">
        <v>206</v>
      </c>
      <c r="Z169" s="55"/>
      <c r="AA169" s="35" t="s">
        <v>47</v>
      </c>
      <c r="AB169" s="35"/>
      <c r="AC169" s="35">
        <v>0</v>
      </c>
      <c r="AD169" s="35"/>
      <c r="AE169" s="35">
        <v>0</v>
      </c>
      <c r="AF169" s="35"/>
      <c r="AG169" s="35">
        <v>0</v>
      </c>
      <c r="AH169" s="35"/>
      <c r="AI169" s="45">
        <f t="shared" si="29"/>
        <v>0</v>
      </c>
      <c r="AJ169" s="45"/>
      <c r="AK169" s="35"/>
      <c r="AL169" s="35"/>
      <c r="AM169" s="35">
        <v>0</v>
      </c>
      <c r="AN169" s="35"/>
      <c r="AO169" s="35">
        <v>0</v>
      </c>
      <c r="AP169" s="35"/>
      <c r="AQ169" s="35">
        <v>0</v>
      </c>
      <c r="AR169" s="35"/>
      <c r="AS169" s="45">
        <f t="shared" si="26"/>
        <v>0</v>
      </c>
      <c r="AT169" s="45"/>
      <c r="AU169" s="35">
        <v>0</v>
      </c>
      <c r="AV169" s="35"/>
      <c r="AW169" s="35">
        <v>0</v>
      </c>
      <c r="AX169" s="35"/>
      <c r="AY169" s="35">
        <f t="shared" si="27"/>
        <v>0</v>
      </c>
      <c r="AZ169" s="35"/>
      <c r="BA169" s="35" t="s">
        <v>206</v>
      </c>
      <c r="BB169" s="55"/>
      <c r="BC169" s="35" t="s">
        <v>47</v>
      </c>
      <c r="BD169" s="35"/>
      <c r="BE169" s="35"/>
      <c r="BF169" s="35"/>
      <c r="BG169" s="35"/>
      <c r="BH169" s="35"/>
      <c r="BI169" s="35"/>
      <c r="BJ169" s="35"/>
      <c r="BK169" s="35"/>
      <c r="BL169" s="35"/>
      <c r="BM169" s="35">
        <f t="shared" si="33"/>
        <v>0</v>
      </c>
      <c r="BN169" s="54" t="s">
        <v>347</v>
      </c>
    </row>
    <row r="170" spans="1:67" ht="13.2" hidden="1">
      <c r="A170" s="35" t="s">
        <v>207</v>
      </c>
      <c r="C170" s="35" t="s">
        <v>102</v>
      </c>
      <c r="D170" s="35"/>
      <c r="E170" s="35">
        <f t="shared" si="31"/>
        <v>0</v>
      </c>
      <c r="F170" s="35"/>
      <c r="G170" s="35"/>
      <c r="H170" s="35"/>
      <c r="I170" s="35"/>
      <c r="J170" s="35"/>
      <c r="K170" s="35">
        <f t="shared" si="32"/>
        <v>0</v>
      </c>
      <c r="L170" s="35"/>
      <c r="M170" s="35">
        <v>0</v>
      </c>
      <c r="N170" s="35"/>
      <c r="O170" s="35"/>
      <c r="P170" s="35"/>
      <c r="Q170" s="35"/>
      <c r="R170" s="35"/>
      <c r="S170" s="35">
        <v>0</v>
      </c>
      <c r="T170" s="35"/>
      <c r="U170" s="35"/>
      <c r="V170" s="35"/>
      <c r="W170" s="35">
        <f t="shared" si="30"/>
        <v>0</v>
      </c>
      <c r="X170" s="35"/>
      <c r="Y170" s="35" t="s">
        <v>207</v>
      </c>
      <c r="Z170" s="55"/>
      <c r="AA170" s="35" t="s">
        <v>102</v>
      </c>
      <c r="AB170" s="35"/>
      <c r="AC170" s="35">
        <v>0</v>
      </c>
      <c r="AD170" s="35"/>
      <c r="AE170" s="35">
        <v>0</v>
      </c>
      <c r="AF170" s="35"/>
      <c r="AG170" s="35">
        <v>0</v>
      </c>
      <c r="AH170" s="35"/>
      <c r="AI170" s="45">
        <f t="shared" si="29"/>
        <v>0</v>
      </c>
      <c r="AJ170" s="45"/>
      <c r="AK170" s="35"/>
      <c r="AL170" s="35"/>
      <c r="AM170" s="35">
        <v>0</v>
      </c>
      <c r="AN170" s="35"/>
      <c r="AO170" s="35">
        <v>0</v>
      </c>
      <c r="AP170" s="35"/>
      <c r="AQ170" s="35">
        <v>0</v>
      </c>
      <c r="AR170" s="35"/>
      <c r="AS170" s="45">
        <f t="shared" si="26"/>
        <v>0</v>
      </c>
      <c r="AT170" s="45"/>
      <c r="AU170" s="35">
        <v>0</v>
      </c>
      <c r="AV170" s="35"/>
      <c r="AW170" s="35">
        <v>0</v>
      </c>
      <c r="AX170" s="35"/>
      <c r="AY170" s="35">
        <f t="shared" si="27"/>
        <v>0</v>
      </c>
      <c r="AZ170" s="35"/>
      <c r="BA170" s="35" t="s">
        <v>207</v>
      </c>
      <c r="BB170" s="55"/>
      <c r="BC170" s="35" t="s">
        <v>102</v>
      </c>
      <c r="BD170" s="35"/>
      <c r="BE170" s="35"/>
      <c r="BF170" s="35"/>
      <c r="BG170" s="35"/>
      <c r="BH170" s="35"/>
      <c r="BI170" s="35"/>
      <c r="BJ170" s="35"/>
      <c r="BK170" s="35"/>
      <c r="BL170" s="35"/>
      <c r="BM170" s="35">
        <f t="shared" si="33"/>
        <v>0</v>
      </c>
      <c r="BN170" s="54" t="s">
        <v>347</v>
      </c>
    </row>
    <row r="171" spans="1:67" ht="13.2" hidden="1">
      <c r="A171" s="35" t="s">
        <v>208</v>
      </c>
      <c r="C171" s="35" t="s">
        <v>209</v>
      </c>
      <c r="D171" s="35"/>
      <c r="E171" s="35">
        <f t="shared" si="31"/>
        <v>0</v>
      </c>
      <c r="F171" s="35"/>
      <c r="G171" s="35"/>
      <c r="H171" s="35"/>
      <c r="I171" s="35"/>
      <c r="J171" s="35"/>
      <c r="K171" s="35">
        <f t="shared" si="32"/>
        <v>0</v>
      </c>
      <c r="L171" s="35"/>
      <c r="M171" s="35">
        <v>0</v>
      </c>
      <c r="N171" s="35"/>
      <c r="O171" s="35"/>
      <c r="P171" s="35"/>
      <c r="Q171" s="35"/>
      <c r="R171" s="35"/>
      <c r="S171" s="35">
        <v>0</v>
      </c>
      <c r="T171" s="35"/>
      <c r="U171" s="35"/>
      <c r="V171" s="35"/>
      <c r="W171" s="35">
        <f t="shared" si="30"/>
        <v>0</v>
      </c>
      <c r="X171" s="35"/>
      <c r="Y171" s="35" t="s">
        <v>208</v>
      </c>
      <c r="Z171" s="55"/>
      <c r="AA171" s="35" t="s">
        <v>209</v>
      </c>
      <c r="AB171" s="35"/>
      <c r="AC171" s="35">
        <v>0</v>
      </c>
      <c r="AD171" s="35"/>
      <c r="AE171" s="35">
        <v>0</v>
      </c>
      <c r="AF171" s="35"/>
      <c r="AG171" s="35">
        <v>0</v>
      </c>
      <c r="AH171" s="35"/>
      <c r="AI171" s="45">
        <f t="shared" si="29"/>
        <v>0</v>
      </c>
      <c r="AJ171" s="45"/>
      <c r="AK171" s="35"/>
      <c r="AL171" s="35"/>
      <c r="AM171" s="35">
        <v>0</v>
      </c>
      <c r="AN171" s="35"/>
      <c r="AO171" s="35">
        <v>0</v>
      </c>
      <c r="AP171" s="35"/>
      <c r="AQ171" s="35">
        <v>0</v>
      </c>
      <c r="AR171" s="35"/>
      <c r="AS171" s="45">
        <f t="shared" si="26"/>
        <v>0</v>
      </c>
      <c r="AT171" s="45"/>
      <c r="AU171" s="35">
        <v>0</v>
      </c>
      <c r="AV171" s="35"/>
      <c r="AW171" s="35">
        <v>0</v>
      </c>
      <c r="AX171" s="35"/>
      <c r="AY171" s="35">
        <f t="shared" si="27"/>
        <v>0</v>
      </c>
      <c r="AZ171" s="35"/>
      <c r="BA171" s="35" t="s">
        <v>208</v>
      </c>
      <c r="BB171" s="55"/>
      <c r="BC171" s="35" t="s">
        <v>209</v>
      </c>
      <c r="BD171" s="35"/>
      <c r="BE171" s="35"/>
      <c r="BF171" s="35"/>
      <c r="BG171" s="35"/>
      <c r="BH171" s="35"/>
      <c r="BI171" s="35"/>
      <c r="BJ171" s="35"/>
      <c r="BK171" s="35"/>
      <c r="BL171" s="35"/>
      <c r="BM171" s="35">
        <f t="shared" si="33"/>
        <v>0</v>
      </c>
      <c r="BN171" s="54" t="s">
        <v>347</v>
      </c>
    </row>
    <row r="172" spans="1:67" ht="13.2" hidden="1">
      <c r="A172" s="44" t="s">
        <v>210</v>
      </c>
      <c r="C172" s="44" t="s">
        <v>211</v>
      </c>
      <c r="D172" s="44"/>
      <c r="E172" s="35">
        <f t="shared" si="31"/>
        <v>0</v>
      </c>
      <c r="F172" s="35"/>
      <c r="G172" s="35"/>
      <c r="H172" s="35"/>
      <c r="I172" s="35"/>
      <c r="J172" s="35"/>
      <c r="K172" s="35">
        <f t="shared" si="32"/>
        <v>0</v>
      </c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>
        <f t="shared" si="30"/>
        <v>0</v>
      </c>
      <c r="X172" s="35"/>
      <c r="Y172" s="44" t="s">
        <v>210</v>
      </c>
      <c r="Z172" s="55"/>
      <c r="AA172" s="44" t="s">
        <v>211</v>
      </c>
      <c r="AB172" s="44"/>
      <c r="AC172" s="35"/>
      <c r="AD172" s="35"/>
      <c r="AE172" s="35"/>
      <c r="AF172" s="35"/>
      <c r="AG172" s="35"/>
      <c r="AH172" s="35"/>
      <c r="AI172" s="45">
        <f t="shared" si="29"/>
        <v>0</v>
      </c>
      <c r="AJ172" s="45"/>
      <c r="AK172" s="35"/>
      <c r="AL172" s="35"/>
      <c r="AM172" s="35"/>
      <c r="AN172" s="35"/>
      <c r="AO172" s="35"/>
      <c r="AP172" s="35"/>
      <c r="AQ172" s="35"/>
      <c r="AR172" s="35"/>
      <c r="AS172" s="45">
        <f t="shared" si="26"/>
        <v>0</v>
      </c>
      <c r="AT172" s="45"/>
      <c r="AU172" s="35">
        <v>0</v>
      </c>
      <c r="AV172" s="35"/>
      <c r="AW172" s="35">
        <v>0</v>
      </c>
      <c r="AX172" s="35"/>
      <c r="AY172" s="35">
        <f t="shared" si="27"/>
        <v>0</v>
      </c>
      <c r="AZ172" s="35"/>
      <c r="BA172" s="44" t="s">
        <v>210</v>
      </c>
      <c r="BB172" s="55"/>
      <c r="BC172" s="44" t="s">
        <v>211</v>
      </c>
      <c r="BD172" s="44"/>
      <c r="BE172" s="35"/>
      <c r="BF172" s="35"/>
      <c r="BG172" s="35"/>
      <c r="BH172" s="35"/>
      <c r="BI172" s="35"/>
      <c r="BJ172" s="35"/>
      <c r="BK172" s="35"/>
      <c r="BL172" s="35"/>
      <c r="BM172" s="35">
        <f t="shared" si="33"/>
        <v>0</v>
      </c>
      <c r="BN172" s="54" t="s">
        <v>347</v>
      </c>
    </row>
    <row r="173" spans="1:67" ht="13.2" hidden="1">
      <c r="A173" s="44" t="s">
        <v>212</v>
      </c>
      <c r="C173" s="44" t="s">
        <v>213</v>
      </c>
      <c r="D173" s="44"/>
      <c r="E173" s="35">
        <f t="shared" si="31"/>
        <v>0</v>
      </c>
      <c r="F173" s="35"/>
      <c r="G173" s="35"/>
      <c r="H173" s="35"/>
      <c r="I173" s="35"/>
      <c r="J173" s="35"/>
      <c r="K173" s="35">
        <f t="shared" si="32"/>
        <v>0</v>
      </c>
      <c r="L173" s="35"/>
      <c r="M173" s="35">
        <v>0</v>
      </c>
      <c r="N173" s="35"/>
      <c r="O173" s="35"/>
      <c r="P173" s="35"/>
      <c r="Q173" s="35"/>
      <c r="R173" s="35"/>
      <c r="S173" s="35">
        <v>0</v>
      </c>
      <c r="T173" s="35"/>
      <c r="U173" s="35"/>
      <c r="V173" s="35"/>
      <c r="W173" s="35">
        <f t="shared" si="30"/>
        <v>0</v>
      </c>
      <c r="X173" s="35"/>
      <c r="Y173" s="44" t="s">
        <v>212</v>
      </c>
      <c r="Z173" s="55"/>
      <c r="AA173" s="44" t="s">
        <v>213</v>
      </c>
      <c r="AB173" s="44"/>
      <c r="AC173" s="35">
        <v>0</v>
      </c>
      <c r="AD173" s="35"/>
      <c r="AE173" s="35">
        <v>0</v>
      </c>
      <c r="AF173" s="35"/>
      <c r="AG173" s="35">
        <v>0</v>
      </c>
      <c r="AH173" s="35"/>
      <c r="AI173" s="45">
        <f t="shared" si="29"/>
        <v>0</v>
      </c>
      <c r="AJ173" s="45"/>
      <c r="AK173" s="35"/>
      <c r="AL173" s="35"/>
      <c r="AM173" s="35">
        <v>0</v>
      </c>
      <c r="AN173" s="35"/>
      <c r="AO173" s="35">
        <v>0</v>
      </c>
      <c r="AP173" s="35"/>
      <c r="AQ173" s="35">
        <v>0</v>
      </c>
      <c r="AR173" s="35"/>
      <c r="AS173" s="45">
        <f t="shared" ref="AS173:AS236" si="36">+AI173+AK173+AM173-AO173+AQ173</f>
        <v>0</v>
      </c>
      <c r="AT173" s="45"/>
      <c r="AU173" s="35">
        <v>0</v>
      </c>
      <c r="AV173" s="35"/>
      <c r="AW173" s="35">
        <v>0</v>
      </c>
      <c r="AX173" s="35"/>
      <c r="AY173" s="35">
        <f t="shared" ref="AY173:AY236" si="37">+E173-K173</f>
        <v>0</v>
      </c>
      <c r="AZ173" s="35"/>
      <c r="BA173" s="44" t="s">
        <v>212</v>
      </c>
      <c r="BB173" s="55"/>
      <c r="BC173" s="44" t="s">
        <v>213</v>
      </c>
      <c r="BD173" s="44"/>
      <c r="BE173" s="35"/>
      <c r="BF173" s="35"/>
      <c r="BG173" s="35"/>
      <c r="BH173" s="35"/>
      <c r="BI173" s="35"/>
      <c r="BJ173" s="35"/>
      <c r="BK173" s="35"/>
      <c r="BL173" s="35"/>
      <c r="BM173" s="35">
        <f t="shared" si="33"/>
        <v>0</v>
      </c>
      <c r="BN173" s="54" t="s">
        <v>347</v>
      </c>
    </row>
    <row r="174" spans="1:67" ht="13.2" hidden="1">
      <c r="A174" s="44" t="s">
        <v>214</v>
      </c>
      <c r="C174" s="44" t="s">
        <v>86</v>
      </c>
      <c r="D174" s="44"/>
      <c r="E174" s="35">
        <f t="shared" si="31"/>
        <v>0</v>
      </c>
      <c r="F174" s="35"/>
      <c r="G174" s="35"/>
      <c r="H174" s="35"/>
      <c r="I174" s="35"/>
      <c r="J174" s="35"/>
      <c r="K174" s="35">
        <f t="shared" si="32"/>
        <v>0</v>
      </c>
      <c r="L174" s="35"/>
      <c r="M174" s="35">
        <v>0</v>
      </c>
      <c r="N174" s="35"/>
      <c r="O174" s="35"/>
      <c r="P174" s="35"/>
      <c r="Q174" s="35"/>
      <c r="R174" s="35"/>
      <c r="S174" s="35">
        <v>0</v>
      </c>
      <c r="T174" s="35"/>
      <c r="U174" s="35"/>
      <c r="V174" s="35"/>
      <c r="W174" s="35">
        <f t="shared" si="30"/>
        <v>0</v>
      </c>
      <c r="X174" s="35"/>
      <c r="Y174" s="44" t="s">
        <v>214</v>
      </c>
      <c r="Z174" s="55"/>
      <c r="AA174" s="44" t="s">
        <v>86</v>
      </c>
      <c r="AB174" s="44"/>
      <c r="AC174" s="35">
        <v>0</v>
      </c>
      <c r="AD174" s="35"/>
      <c r="AE174" s="35">
        <v>0</v>
      </c>
      <c r="AF174" s="35"/>
      <c r="AG174" s="35">
        <v>0</v>
      </c>
      <c r="AH174" s="35"/>
      <c r="AI174" s="45">
        <f t="shared" si="29"/>
        <v>0</v>
      </c>
      <c r="AJ174" s="45"/>
      <c r="AK174" s="35"/>
      <c r="AL174" s="35"/>
      <c r="AM174" s="35">
        <v>0</v>
      </c>
      <c r="AN174" s="35"/>
      <c r="AO174" s="35">
        <v>0</v>
      </c>
      <c r="AP174" s="35"/>
      <c r="AQ174" s="35">
        <v>0</v>
      </c>
      <c r="AR174" s="35"/>
      <c r="AS174" s="45">
        <f t="shared" si="36"/>
        <v>0</v>
      </c>
      <c r="AT174" s="45"/>
      <c r="AU174" s="35">
        <v>0</v>
      </c>
      <c r="AV174" s="35"/>
      <c r="AW174" s="35">
        <v>0</v>
      </c>
      <c r="AX174" s="35"/>
      <c r="AY174" s="35">
        <f t="shared" si="37"/>
        <v>0</v>
      </c>
      <c r="AZ174" s="35"/>
      <c r="BA174" s="44" t="s">
        <v>214</v>
      </c>
      <c r="BB174" s="55"/>
      <c r="BC174" s="44" t="s">
        <v>86</v>
      </c>
      <c r="BD174" s="44"/>
      <c r="BE174" s="35"/>
      <c r="BF174" s="35"/>
      <c r="BG174" s="35"/>
      <c r="BH174" s="35"/>
      <c r="BI174" s="35"/>
      <c r="BJ174" s="35"/>
      <c r="BK174" s="35"/>
      <c r="BL174" s="35"/>
      <c r="BM174" s="35">
        <f t="shared" si="33"/>
        <v>0</v>
      </c>
      <c r="BN174" s="54" t="s">
        <v>347</v>
      </c>
    </row>
    <row r="175" spans="1:67" ht="13.2" hidden="1">
      <c r="A175" s="35" t="s">
        <v>215</v>
      </c>
      <c r="C175" s="35" t="s">
        <v>22</v>
      </c>
      <c r="D175" s="35"/>
      <c r="E175" s="35">
        <f t="shared" si="31"/>
        <v>0</v>
      </c>
      <c r="F175" s="35"/>
      <c r="G175" s="35"/>
      <c r="H175" s="35"/>
      <c r="I175" s="35"/>
      <c r="J175" s="35"/>
      <c r="K175" s="35">
        <f t="shared" si="32"/>
        <v>0</v>
      </c>
      <c r="L175" s="35"/>
      <c r="M175" s="35">
        <v>0</v>
      </c>
      <c r="N175" s="35"/>
      <c r="O175" s="35"/>
      <c r="P175" s="35"/>
      <c r="Q175" s="35"/>
      <c r="R175" s="35"/>
      <c r="S175" s="35">
        <v>0</v>
      </c>
      <c r="T175" s="35"/>
      <c r="U175" s="35"/>
      <c r="V175" s="35"/>
      <c r="W175" s="35">
        <f t="shared" si="30"/>
        <v>0</v>
      </c>
      <c r="X175" s="35"/>
      <c r="Y175" s="35" t="s">
        <v>215</v>
      </c>
      <c r="Z175" s="55"/>
      <c r="AA175" s="35" t="s">
        <v>22</v>
      </c>
      <c r="AB175" s="35"/>
      <c r="AC175" s="35">
        <v>0</v>
      </c>
      <c r="AD175" s="35"/>
      <c r="AE175" s="35">
        <v>0</v>
      </c>
      <c r="AF175" s="35"/>
      <c r="AG175" s="35">
        <v>0</v>
      </c>
      <c r="AH175" s="35"/>
      <c r="AI175" s="45">
        <f t="shared" si="29"/>
        <v>0</v>
      </c>
      <c r="AJ175" s="45"/>
      <c r="AK175" s="35"/>
      <c r="AL175" s="35"/>
      <c r="AM175" s="35">
        <v>0</v>
      </c>
      <c r="AN175" s="35"/>
      <c r="AO175" s="35">
        <v>0</v>
      </c>
      <c r="AP175" s="35"/>
      <c r="AQ175" s="35">
        <v>0</v>
      </c>
      <c r="AR175" s="35"/>
      <c r="AS175" s="45">
        <f t="shared" si="36"/>
        <v>0</v>
      </c>
      <c r="AT175" s="45"/>
      <c r="AU175" s="35">
        <v>0</v>
      </c>
      <c r="AV175" s="35"/>
      <c r="AW175" s="35">
        <v>0</v>
      </c>
      <c r="AX175" s="35"/>
      <c r="AY175" s="35">
        <f t="shared" si="37"/>
        <v>0</v>
      </c>
      <c r="AZ175" s="35"/>
      <c r="BA175" s="35" t="s">
        <v>215</v>
      </c>
      <c r="BB175" s="55"/>
      <c r="BC175" s="35" t="s">
        <v>22</v>
      </c>
      <c r="BD175" s="35"/>
      <c r="BE175" s="35"/>
      <c r="BF175" s="35"/>
      <c r="BG175" s="35"/>
      <c r="BH175" s="35"/>
      <c r="BI175" s="35"/>
      <c r="BJ175" s="35"/>
      <c r="BK175" s="35"/>
      <c r="BL175" s="35"/>
      <c r="BM175" s="35">
        <f t="shared" si="33"/>
        <v>0</v>
      </c>
      <c r="BN175" s="54" t="s">
        <v>347</v>
      </c>
    </row>
    <row r="176" spans="1:67" ht="13.2" hidden="1">
      <c r="A176" s="35" t="s">
        <v>216</v>
      </c>
      <c r="C176" s="35" t="s">
        <v>45</v>
      </c>
      <c r="D176" s="35"/>
      <c r="E176" s="35">
        <f t="shared" si="31"/>
        <v>0</v>
      </c>
      <c r="F176" s="35"/>
      <c r="G176" s="35"/>
      <c r="H176" s="35"/>
      <c r="I176" s="35"/>
      <c r="J176" s="35"/>
      <c r="K176" s="35">
        <f t="shared" si="32"/>
        <v>0</v>
      </c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>
        <f t="shared" si="30"/>
        <v>0</v>
      </c>
      <c r="X176" s="35"/>
      <c r="Y176" s="35" t="s">
        <v>216</v>
      </c>
      <c r="Z176" s="55"/>
      <c r="AA176" s="35" t="s">
        <v>45</v>
      </c>
      <c r="AB176" s="35"/>
      <c r="AC176" s="35"/>
      <c r="AD176" s="35"/>
      <c r="AE176" s="35"/>
      <c r="AF176" s="35"/>
      <c r="AG176" s="35"/>
      <c r="AH176" s="35"/>
      <c r="AI176" s="45">
        <f t="shared" si="29"/>
        <v>0</v>
      </c>
      <c r="AJ176" s="45"/>
      <c r="AK176" s="35"/>
      <c r="AL176" s="35"/>
      <c r="AM176" s="35"/>
      <c r="AN176" s="35"/>
      <c r="AO176" s="35"/>
      <c r="AP176" s="35"/>
      <c r="AQ176" s="35"/>
      <c r="AR176" s="35"/>
      <c r="AS176" s="45">
        <f t="shared" si="36"/>
        <v>0</v>
      </c>
      <c r="AT176" s="45"/>
      <c r="AU176" s="35">
        <v>0</v>
      </c>
      <c r="AV176" s="35"/>
      <c r="AW176" s="35">
        <v>0</v>
      </c>
      <c r="AX176" s="35"/>
      <c r="AY176" s="35">
        <f t="shared" si="37"/>
        <v>0</v>
      </c>
      <c r="AZ176" s="35"/>
      <c r="BA176" s="35" t="s">
        <v>216</v>
      </c>
      <c r="BB176" s="55"/>
      <c r="BC176" s="35" t="s">
        <v>45</v>
      </c>
      <c r="BD176" s="35"/>
      <c r="BE176" s="35"/>
      <c r="BF176" s="35"/>
      <c r="BG176" s="35"/>
      <c r="BH176" s="35"/>
      <c r="BI176" s="35"/>
      <c r="BJ176" s="35"/>
      <c r="BK176" s="35"/>
      <c r="BL176" s="35"/>
      <c r="BM176" s="35">
        <f t="shared" si="33"/>
        <v>0</v>
      </c>
      <c r="BN176" s="54" t="s">
        <v>347</v>
      </c>
    </row>
    <row r="177" spans="1:68" ht="13.2" hidden="1">
      <c r="A177" s="35" t="s">
        <v>217</v>
      </c>
      <c r="C177" s="35" t="s">
        <v>43</v>
      </c>
      <c r="D177" s="35"/>
      <c r="E177" s="35">
        <f t="shared" si="31"/>
        <v>0</v>
      </c>
      <c r="F177" s="35"/>
      <c r="G177" s="35"/>
      <c r="H177" s="35"/>
      <c r="I177" s="35"/>
      <c r="J177" s="35"/>
      <c r="K177" s="35">
        <f t="shared" si="32"/>
        <v>0</v>
      </c>
      <c r="L177" s="35"/>
      <c r="M177" s="35">
        <v>0</v>
      </c>
      <c r="N177" s="35"/>
      <c r="O177" s="35"/>
      <c r="P177" s="35"/>
      <c r="Q177" s="35"/>
      <c r="R177" s="35"/>
      <c r="S177" s="35">
        <v>0</v>
      </c>
      <c r="T177" s="35"/>
      <c r="U177" s="35"/>
      <c r="V177" s="35"/>
      <c r="W177" s="35">
        <f t="shared" si="30"/>
        <v>0</v>
      </c>
      <c r="X177" s="35"/>
      <c r="Y177" s="35" t="s">
        <v>217</v>
      </c>
      <c r="Z177" s="55"/>
      <c r="AA177" s="35" t="s">
        <v>43</v>
      </c>
      <c r="AB177" s="35"/>
      <c r="AC177" s="35">
        <v>0</v>
      </c>
      <c r="AD177" s="35"/>
      <c r="AE177" s="35">
        <v>0</v>
      </c>
      <c r="AF177" s="35"/>
      <c r="AG177" s="35">
        <v>0</v>
      </c>
      <c r="AH177" s="35"/>
      <c r="AI177" s="45">
        <f t="shared" si="29"/>
        <v>0</v>
      </c>
      <c r="AJ177" s="45"/>
      <c r="AK177" s="35"/>
      <c r="AL177" s="35"/>
      <c r="AM177" s="35">
        <v>0</v>
      </c>
      <c r="AN177" s="35"/>
      <c r="AO177" s="35">
        <v>0</v>
      </c>
      <c r="AP177" s="35"/>
      <c r="AQ177" s="35">
        <v>0</v>
      </c>
      <c r="AR177" s="35"/>
      <c r="AS177" s="45">
        <f t="shared" si="36"/>
        <v>0</v>
      </c>
      <c r="AT177" s="45"/>
      <c r="AU177" s="35">
        <v>0</v>
      </c>
      <c r="AV177" s="35"/>
      <c r="AW177" s="35">
        <v>0</v>
      </c>
      <c r="AX177" s="35"/>
      <c r="AY177" s="35">
        <f t="shared" si="37"/>
        <v>0</v>
      </c>
      <c r="AZ177" s="35"/>
      <c r="BA177" s="35" t="s">
        <v>217</v>
      </c>
      <c r="BB177" s="55"/>
      <c r="BC177" s="35" t="s">
        <v>43</v>
      </c>
      <c r="BD177" s="35"/>
      <c r="BE177" s="35"/>
      <c r="BF177" s="35"/>
      <c r="BG177" s="35"/>
      <c r="BH177" s="35"/>
      <c r="BI177" s="35"/>
      <c r="BJ177" s="35"/>
      <c r="BK177" s="35"/>
      <c r="BL177" s="35"/>
      <c r="BM177" s="35">
        <f t="shared" si="33"/>
        <v>0</v>
      </c>
      <c r="BN177" s="54" t="s">
        <v>347</v>
      </c>
    </row>
    <row r="178" spans="1:68" ht="13.2" hidden="1">
      <c r="A178" s="35" t="s">
        <v>218</v>
      </c>
      <c r="C178" s="35" t="s">
        <v>27</v>
      </c>
      <c r="D178" s="35"/>
      <c r="E178" s="35">
        <f t="shared" si="31"/>
        <v>0</v>
      </c>
      <c r="F178" s="35"/>
      <c r="G178" s="35"/>
      <c r="H178" s="35"/>
      <c r="I178" s="35"/>
      <c r="J178" s="35"/>
      <c r="K178" s="35">
        <f t="shared" si="32"/>
        <v>0</v>
      </c>
      <c r="L178" s="35"/>
      <c r="M178" s="35">
        <v>0</v>
      </c>
      <c r="N178" s="35"/>
      <c r="O178" s="35"/>
      <c r="P178" s="35"/>
      <c r="Q178" s="35"/>
      <c r="R178" s="35"/>
      <c r="S178" s="35">
        <v>0</v>
      </c>
      <c r="T178" s="35"/>
      <c r="U178" s="35"/>
      <c r="V178" s="35"/>
      <c r="W178" s="35">
        <f t="shared" si="30"/>
        <v>0</v>
      </c>
      <c r="X178" s="35"/>
      <c r="Y178" s="35" t="s">
        <v>218</v>
      </c>
      <c r="Z178" s="55"/>
      <c r="AA178" s="35" t="s">
        <v>27</v>
      </c>
      <c r="AB178" s="35"/>
      <c r="AC178" s="35">
        <v>0</v>
      </c>
      <c r="AD178" s="35"/>
      <c r="AE178" s="35">
        <v>0</v>
      </c>
      <c r="AF178" s="35"/>
      <c r="AG178" s="35">
        <v>0</v>
      </c>
      <c r="AH178" s="35"/>
      <c r="AI178" s="45">
        <f t="shared" si="29"/>
        <v>0</v>
      </c>
      <c r="AJ178" s="45"/>
      <c r="AK178" s="35"/>
      <c r="AL178" s="35"/>
      <c r="AM178" s="35">
        <v>0</v>
      </c>
      <c r="AN178" s="35"/>
      <c r="AO178" s="35">
        <v>0</v>
      </c>
      <c r="AP178" s="35"/>
      <c r="AQ178" s="35">
        <v>0</v>
      </c>
      <c r="AR178" s="35"/>
      <c r="AS178" s="45">
        <f t="shared" si="36"/>
        <v>0</v>
      </c>
      <c r="AT178" s="45"/>
      <c r="AU178" s="35">
        <v>0</v>
      </c>
      <c r="AV178" s="35"/>
      <c r="AW178" s="35">
        <v>0</v>
      </c>
      <c r="AX178" s="35"/>
      <c r="AY178" s="35">
        <f t="shared" si="37"/>
        <v>0</v>
      </c>
      <c r="AZ178" s="35"/>
      <c r="BA178" s="35" t="s">
        <v>218</v>
      </c>
      <c r="BB178" s="55"/>
      <c r="BC178" s="35" t="s">
        <v>27</v>
      </c>
      <c r="BD178" s="35"/>
      <c r="BE178" s="35"/>
      <c r="BF178" s="35"/>
      <c r="BG178" s="35"/>
      <c r="BH178" s="35"/>
      <c r="BI178" s="35"/>
      <c r="BJ178" s="35"/>
      <c r="BK178" s="35"/>
      <c r="BL178" s="35"/>
      <c r="BM178" s="35">
        <f t="shared" si="33"/>
        <v>0</v>
      </c>
      <c r="BN178" s="54" t="s">
        <v>347</v>
      </c>
      <c r="BO178" s="35"/>
      <c r="BP178" s="35"/>
    </row>
    <row r="179" spans="1:68" ht="13.2" hidden="1">
      <c r="A179" s="35" t="s">
        <v>219</v>
      </c>
      <c r="C179" s="35" t="s">
        <v>199</v>
      </c>
      <c r="D179" s="35"/>
      <c r="E179" s="35">
        <f t="shared" si="31"/>
        <v>0</v>
      </c>
      <c r="F179" s="35"/>
      <c r="G179" s="35"/>
      <c r="H179" s="35"/>
      <c r="I179" s="35"/>
      <c r="J179" s="35"/>
      <c r="K179" s="35">
        <f t="shared" si="32"/>
        <v>0</v>
      </c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>
        <f t="shared" si="30"/>
        <v>0</v>
      </c>
      <c r="X179" s="35"/>
      <c r="Y179" s="35" t="s">
        <v>219</v>
      </c>
      <c r="Z179" s="55"/>
      <c r="AA179" s="35" t="s">
        <v>199</v>
      </c>
      <c r="AB179" s="35"/>
      <c r="AC179" s="35"/>
      <c r="AD179" s="35"/>
      <c r="AE179" s="35"/>
      <c r="AF179" s="35"/>
      <c r="AG179" s="35"/>
      <c r="AH179" s="35"/>
      <c r="AI179" s="45">
        <f t="shared" si="29"/>
        <v>0</v>
      </c>
      <c r="AJ179" s="45"/>
      <c r="AK179" s="35"/>
      <c r="AL179" s="35"/>
      <c r="AM179" s="35"/>
      <c r="AN179" s="35"/>
      <c r="AO179" s="35"/>
      <c r="AP179" s="35"/>
      <c r="AQ179" s="35"/>
      <c r="AR179" s="35"/>
      <c r="AS179" s="45">
        <f t="shared" si="36"/>
        <v>0</v>
      </c>
      <c r="AT179" s="45"/>
      <c r="AU179" s="35">
        <v>0</v>
      </c>
      <c r="AV179" s="35"/>
      <c r="AW179" s="35">
        <v>0</v>
      </c>
      <c r="AX179" s="35"/>
      <c r="AY179" s="35">
        <f t="shared" si="37"/>
        <v>0</v>
      </c>
      <c r="AZ179" s="35"/>
      <c r="BA179" s="35" t="s">
        <v>219</v>
      </c>
      <c r="BB179" s="55"/>
      <c r="BC179" s="35" t="s">
        <v>199</v>
      </c>
      <c r="BD179" s="35"/>
      <c r="BE179" s="35"/>
      <c r="BF179" s="35"/>
      <c r="BG179" s="35"/>
      <c r="BH179" s="35"/>
      <c r="BI179" s="35"/>
      <c r="BJ179" s="35"/>
      <c r="BK179" s="35"/>
      <c r="BL179" s="35"/>
      <c r="BM179" s="35">
        <f t="shared" si="33"/>
        <v>0</v>
      </c>
      <c r="BN179" s="54" t="s">
        <v>347</v>
      </c>
    </row>
    <row r="180" spans="1:68" ht="13.2" hidden="1">
      <c r="A180" s="35" t="s">
        <v>220</v>
      </c>
      <c r="C180" s="35" t="s">
        <v>66</v>
      </c>
      <c r="D180" s="35"/>
      <c r="E180" s="35">
        <f t="shared" si="31"/>
        <v>0</v>
      </c>
      <c r="F180" s="35"/>
      <c r="G180" s="35"/>
      <c r="H180" s="35"/>
      <c r="I180" s="35"/>
      <c r="J180" s="35"/>
      <c r="K180" s="35">
        <f t="shared" si="32"/>
        <v>0</v>
      </c>
      <c r="L180" s="35"/>
      <c r="M180" s="35">
        <v>0</v>
      </c>
      <c r="N180" s="35"/>
      <c r="O180" s="35"/>
      <c r="P180" s="35"/>
      <c r="Q180" s="35"/>
      <c r="R180" s="35"/>
      <c r="S180" s="35">
        <v>0</v>
      </c>
      <c r="T180" s="35"/>
      <c r="U180" s="35"/>
      <c r="V180" s="35"/>
      <c r="W180" s="35">
        <f t="shared" si="30"/>
        <v>0</v>
      </c>
      <c r="X180" s="35"/>
      <c r="Y180" s="35" t="s">
        <v>220</v>
      </c>
      <c r="Z180" s="55"/>
      <c r="AA180" s="35" t="s">
        <v>66</v>
      </c>
      <c r="AB180" s="35"/>
      <c r="AC180" s="35">
        <v>0</v>
      </c>
      <c r="AD180" s="35"/>
      <c r="AE180" s="35">
        <v>0</v>
      </c>
      <c r="AF180" s="35"/>
      <c r="AG180" s="35">
        <v>0</v>
      </c>
      <c r="AH180" s="35"/>
      <c r="AI180" s="45">
        <f t="shared" si="29"/>
        <v>0</v>
      </c>
      <c r="AJ180" s="45"/>
      <c r="AK180" s="35"/>
      <c r="AL180" s="35"/>
      <c r="AM180" s="35">
        <v>0</v>
      </c>
      <c r="AN180" s="35"/>
      <c r="AO180" s="35">
        <v>0</v>
      </c>
      <c r="AP180" s="35"/>
      <c r="AQ180" s="35">
        <v>0</v>
      </c>
      <c r="AR180" s="35"/>
      <c r="AS180" s="45">
        <f t="shared" si="36"/>
        <v>0</v>
      </c>
      <c r="AT180" s="45"/>
      <c r="AU180" s="35">
        <v>0</v>
      </c>
      <c r="AV180" s="35"/>
      <c r="AW180" s="35">
        <v>0</v>
      </c>
      <c r="AX180" s="35"/>
      <c r="AY180" s="35">
        <f t="shared" si="37"/>
        <v>0</v>
      </c>
      <c r="AZ180" s="35"/>
      <c r="BA180" s="35" t="s">
        <v>220</v>
      </c>
      <c r="BB180" s="55"/>
      <c r="BC180" s="35" t="s">
        <v>66</v>
      </c>
      <c r="BD180" s="35"/>
      <c r="BE180" s="35"/>
      <c r="BF180" s="35"/>
      <c r="BG180" s="35"/>
      <c r="BH180" s="35"/>
      <c r="BI180" s="35"/>
      <c r="BJ180" s="35"/>
      <c r="BK180" s="35"/>
      <c r="BL180" s="35"/>
      <c r="BM180" s="35">
        <f t="shared" si="33"/>
        <v>0</v>
      </c>
      <c r="BN180" s="89" t="s">
        <v>347</v>
      </c>
    </row>
    <row r="181" spans="1:68" ht="13.2" hidden="1">
      <c r="A181" s="35" t="s">
        <v>221</v>
      </c>
      <c r="C181" s="35" t="s">
        <v>27</v>
      </c>
      <c r="D181" s="35"/>
      <c r="E181" s="35">
        <f t="shared" si="31"/>
        <v>0</v>
      </c>
      <c r="F181" s="35"/>
      <c r="G181" s="35"/>
      <c r="H181" s="35"/>
      <c r="I181" s="35"/>
      <c r="J181" s="35"/>
      <c r="K181" s="35">
        <f t="shared" si="32"/>
        <v>0</v>
      </c>
      <c r="L181" s="35"/>
      <c r="M181" s="35">
        <v>0</v>
      </c>
      <c r="N181" s="35"/>
      <c r="O181" s="35"/>
      <c r="P181" s="35"/>
      <c r="Q181" s="35"/>
      <c r="R181" s="35"/>
      <c r="S181" s="35">
        <v>0</v>
      </c>
      <c r="T181" s="35"/>
      <c r="U181" s="35"/>
      <c r="V181" s="35"/>
      <c r="W181" s="35">
        <f t="shared" si="30"/>
        <v>0</v>
      </c>
      <c r="X181" s="35"/>
      <c r="Y181" s="35" t="s">
        <v>221</v>
      </c>
      <c r="Z181" s="55"/>
      <c r="AA181" s="35" t="s">
        <v>27</v>
      </c>
      <c r="AB181" s="35"/>
      <c r="AC181" s="35">
        <v>0</v>
      </c>
      <c r="AD181" s="35"/>
      <c r="AE181" s="35">
        <v>0</v>
      </c>
      <c r="AF181" s="35"/>
      <c r="AG181" s="35">
        <v>0</v>
      </c>
      <c r="AH181" s="35"/>
      <c r="AI181" s="45">
        <f t="shared" si="29"/>
        <v>0</v>
      </c>
      <c r="AJ181" s="45"/>
      <c r="AK181" s="35"/>
      <c r="AL181" s="35"/>
      <c r="AM181" s="35">
        <v>0</v>
      </c>
      <c r="AN181" s="35"/>
      <c r="AO181" s="35">
        <v>0</v>
      </c>
      <c r="AP181" s="35"/>
      <c r="AQ181" s="35">
        <v>0</v>
      </c>
      <c r="AR181" s="35"/>
      <c r="AS181" s="45">
        <f t="shared" si="36"/>
        <v>0</v>
      </c>
      <c r="AT181" s="45"/>
      <c r="AU181" s="35">
        <v>0</v>
      </c>
      <c r="AV181" s="35"/>
      <c r="AW181" s="35">
        <v>0</v>
      </c>
      <c r="AX181" s="35"/>
      <c r="AY181" s="35">
        <f t="shared" si="37"/>
        <v>0</v>
      </c>
      <c r="AZ181" s="35"/>
      <c r="BA181" s="35" t="s">
        <v>221</v>
      </c>
      <c r="BB181" s="55"/>
      <c r="BC181" s="35" t="s">
        <v>27</v>
      </c>
      <c r="BD181" s="35"/>
      <c r="BE181" s="35"/>
      <c r="BF181" s="35"/>
      <c r="BG181" s="35"/>
      <c r="BH181" s="35"/>
      <c r="BI181" s="35"/>
      <c r="BJ181" s="35"/>
      <c r="BK181" s="35"/>
      <c r="BL181" s="35"/>
      <c r="BM181" s="35">
        <f t="shared" si="33"/>
        <v>0</v>
      </c>
      <c r="BN181" s="89" t="s">
        <v>347</v>
      </c>
    </row>
    <row r="182" spans="1:68" ht="13.2" hidden="1">
      <c r="A182" s="35" t="s">
        <v>222</v>
      </c>
      <c r="C182" s="35" t="s">
        <v>47</v>
      </c>
      <c r="D182" s="35"/>
      <c r="E182" s="35">
        <f t="shared" si="31"/>
        <v>0</v>
      </c>
      <c r="F182" s="35"/>
      <c r="G182" s="35"/>
      <c r="H182" s="35"/>
      <c r="I182" s="35"/>
      <c r="J182" s="35"/>
      <c r="K182" s="35">
        <f t="shared" si="32"/>
        <v>0</v>
      </c>
      <c r="L182" s="35"/>
      <c r="M182" s="35">
        <v>0</v>
      </c>
      <c r="N182" s="35"/>
      <c r="O182" s="35"/>
      <c r="P182" s="35"/>
      <c r="Q182" s="35"/>
      <c r="R182" s="35"/>
      <c r="S182" s="35">
        <v>0</v>
      </c>
      <c r="T182" s="35"/>
      <c r="U182" s="35"/>
      <c r="V182" s="35"/>
      <c r="W182" s="35">
        <f t="shared" si="30"/>
        <v>0</v>
      </c>
      <c r="X182" s="35"/>
      <c r="Y182" s="35" t="s">
        <v>222</v>
      </c>
      <c r="Z182" s="55"/>
      <c r="AA182" s="35" t="s">
        <v>47</v>
      </c>
      <c r="AB182" s="35"/>
      <c r="AC182" s="35">
        <v>0</v>
      </c>
      <c r="AD182" s="35"/>
      <c r="AE182" s="35">
        <v>0</v>
      </c>
      <c r="AF182" s="35"/>
      <c r="AG182" s="35">
        <v>0</v>
      </c>
      <c r="AH182" s="35"/>
      <c r="AI182" s="45">
        <f t="shared" si="29"/>
        <v>0</v>
      </c>
      <c r="AJ182" s="45"/>
      <c r="AK182" s="35"/>
      <c r="AL182" s="35"/>
      <c r="AM182" s="35">
        <v>0</v>
      </c>
      <c r="AN182" s="35"/>
      <c r="AO182" s="35">
        <v>0</v>
      </c>
      <c r="AP182" s="35"/>
      <c r="AQ182" s="35">
        <v>0</v>
      </c>
      <c r="AR182" s="35"/>
      <c r="AS182" s="45">
        <f t="shared" si="36"/>
        <v>0</v>
      </c>
      <c r="AT182" s="45"/>
      <c r="AU182" s="35">
        <v>0</v>
      </c>
      <c r="AV182" s="35"/>
      <c r="AW182" s="35">
        <v>0</v>
      </c>
      <c r="AX182" s="35"/>
      <c r="AY182" s="35">
        <f t="shared" si="37"/>
        <v>0</v>
      </c>
      <c r="AZ182" s="35"/>
      <c r="BA182" s="35" t="s">
        <v>222</v>
      </c>
      <c r="BB182" s="55"/>
      <c r="BC182" s="35" t="s">
        <v>47</v>
      </c>
      <c r="BD182" s="35"/>
      <c r="BE182" s="35"/>
      <c r="BF182" s="35"/>
      <c r="BG182" s="35"/>
      <c r="BH182" s="35"/>
      <c r="BI182" s="35"/>
      <c r="BJ182" s="35"/>
      <c r="BK182" s="35"/>
      <c r="BL182" s="35"/>
      <c r="BM182" s="35">
        <f t="shared" si="33"/>
        <v>0</v>
      </c>
      <c r="BN182" s="89" t="s">
        <v>347</v>
      </c>
    </row>
    <row r="183" spans="1:68" ht="13.2" hidden="1">
      <c r="A183" s="35" t="s">
        <v>223</v>
      </c>
      <c r="C183" s="35" t="s">
        <v>94</v>
      </c>
      <c r="D183" s="35"/>
      <c r="E183" s="35">
        <f t="shared" si="31"/>
        <v>0</v>
      </c>
      <c r="F183" s="35"/>
      <c r="G183" s="35"/>
      <c r="H183" s="35"/>
      <c r="I183" s="35"/>
      <c r="J183" s="35"/>
      <c r="K183" s="35">
        <f t="shared" si="32"/>
        <v>0</v>
      </c>
      <c r="L183" s="35"/>
      <c r="M183" s="35">
        <v>0</v>
      </c>
      <c r="N183" s="35"/>
      <c r="O183" s="35"/>
      <c r="P183" s="35"/>
      <c r="Q183" s="35"/>
      <c r="R183" s="35"/>
      <c r="S183" s="35">
        <v>0</v>
      </c>
      <c r="T183" s="35"/>
      <c r="U183" s="35"/>
      <c r="V183" s="35"/>
      <c r="W183" s="35">
        <f t="shared" si="30"/>
        <v>0</v>
      </c>
      <c r="X183" s="35"/>
      <c r="Y183" s="35" t="s">
        <v>223</v>
      </c>
      <c r="Z183" s="55"/>
      <c r="AA183" s="35" t="s">
        <v>94</v>
      </c>
      <c r="AB183" s="35"/>
      <c r="AC183" s="35">
        <v>0</v>
      </c>
      <c r="AD183" s="35"/>
      <c r="AE183" s="35">
        <v>0</v>
      </c>
      <c r="AF183" s="35"/>
      <c r="AG183" s="35">
        <v>0</v>
      </c>
      <c r="AH183" s="35"/>
      <c r="AI183" s="45">
        <f t="shared" si="29"/>
        <v>0</v>
      </c>
      <c r="AJ183" s="45"/>
      <c r="AK183" s="35"/>
      <c r="AL183" s="35"/>
      <c r="AM183" s="35">
        <v>0</v>
      </c>
      <c r="AN183" s="35"/>
      <c r="AO183" s="35">
        <v>0</v>
      </c>
      <c r="AP183" s="35"/>
      <c r="AQ183" s="35">
        <v>0</v>
      </c>
      <c r="AR183" s="35"/>
      <c r="AS183" s="45">
        <f t="shared" si="36"/>
        <v>0</v>
      </c>
      <c r="AT183" s="45"/>
      <c r="AU183" s="35">
        <v>0</v>
      </c>
      <c r="AV183" s="35"/>
      <c r="AW183" s="35">
        <v>0</v>
      </c>
      <c r="AX183" s="35"/>
      <c r="AY183" s="35">
        <f t="shared" si="37"/>
        <v>0</v>
      </c>
      <c r="AZ183" s="35"/>
      <c r="BA183" s="35" t="s">
        <v>223</v>
      </c>
      <c r="BB183" s="55"/>
      <c r="BC183" s="35" t="s">
        <v>94</v>
      </c>
      <c r="BD183" s="35"/>
      <c r="BE183" s="35"/>
      <c r="BF183" s="35"/>
      <c r="BG183" s="35"/>
      <c r="BH183" s="35"/>
      <c r="BI183" s="35"/>
      <c r="BJ183" s="35"/>
      <c r="BK183" s="35"/>
      <c r="BL183" s="35"/>
      <c r="BM183" s="35">
        <f t="shared" si="33"/>
        <v>0</v>
      </c>
      <c r="BN183" s="89" t="s">
        <v>347</v>
      </c>
    </row>
    <row r="184" spans="1:68" ht="13.2" hidden="1">
      <c r="A184" s="35" t="s">
        <v>76</v>
      </c>
      <c r="C184" s="35" t="s">
        <v>132</v>
      </c>
      <c r="D184" s="35"/>
      <c r="E184" s="35">
        <f t="shared" si="31"/>
        <v>0</v>
      </c>
      <c r="F184" s="35"/>
      <c r="G184" s="35"/>
      <c r="H184" s="35"/>
      <c r="I184" s="35"/>
      <c r="J184" s="35"/>
      <c r="K184" s="35">
        <f t="shared" si="32"/>
        <v>0</v>
      </c>
      <c r="L184" s="35"/>
      <c r="M184" s="35">
        <v>0</v>
      </c>
      <c r="N184" s="35"/>
      <c r="O184" s="35"/>
      <c r="P184" s="35"/>
      <c r="Q184" s="35"/>
      <c r="R184" s="35"/>
      <c r="S184" s="35">
        <v>0</v>
      </c>
      <c r="T184" s="35"/>
      <c r="U184" s="35"/>
      <c r="V184" s="35"/>
      <c r="W184" s="35">
        <f t="shared" si="30"/>
        <v>0</v>
      </c>
      <c r="X184" s="35"/>
      <c r="Y184" s="35" t="s">
        <v>76</v>
      </c>
      <c r="Z184" s="55"/>
      <c r="AA184" s="35" t="s">
        <v>132</v>
      </c>
      <c r="AB184" s="35"/>
      <c r="AC184" s="35">
        <v>0</v>
      </c>
      <c r="AD184" s="35"/>
      <c r="AE184" s="35">
        <v>0</v>
      </c>
      <c r="AF184" s="35"/>
      <c r="AG184" s="35">
        <v>0</v>
      </c>
      <c r="AH184" s="35"/>
      <c r="AI184" s="45">
        <f t="shared" si="29"/>
        <v>0</v>
      </c>
      <c r="AJ184" s="45"/>
      <c r="AK184" s="35"/>
      <c r="AL184" s="35"/>
      <c r="AM184" s="35">
        <v>0</v>
      </c>
      <c r="AN184" s="35"/>
      <c r="AO184" s="35">
        <v>0</v>
      </c>
      <c r="AP184" s="35"/>
      <c r="AQ184" s="35">
        <v>0</v>
      </c>
      <c r="AR184" s="35"/>
      <c r="AS184" s="45">
        <f t="shared" si="36"/>
        <v>0</v>
      </c>
      <c r="AT184" s="45"/>
      <c r="AU184" s="35">
        <v>0</v>
      </c>
      <c r="AV184" s="35"/>
      <c r="AW184" s="35">
        <v>0</v>
      </c>
      <c r="AX184" s="35"/>
      <c r="AY184" s="35">
        <f t="shared" si="37"/>
        <v>0</v>
      </c>
      <c r="AZ184" s="35"/>
      <c r="BA184" s="35" t="s">
        <v>76</v>
      </c>
      <c r="BB184" s="55"/>
      <c r="BC184" s="35" t="s">
        <v>132</v>
      </c>
      <c r="BD184" s="35"/>
      <c r="BE184" s="35"/>
      <c r="BF184" s="35"/>
      <c r="BG184" s="35"/>
      <c r="BH184" s="35"/>
      <c r="BI184" s="35"/>
      <c r="BJ184" s="35"/>
      <c r="BK184" s="35"/>
      <c r="BL184" s="35"/>
      <c r="BM184" s="35">
        <f t="shared" si="33"/>
        <v>0</v>
      </c>
      <c r="BN184" s="54" t="s">
        <v>347</v>
      </c>
    </row>
    <row r="185" spans="1:68" ht="13.2" hidden="1">
      <c r="A185" s="35" t="s">
        <v>224</v>
      </c>
      <c r="C185" s="35" t="s">
        <v>27</v>
      </c>
      <c r="D185" s="35"/>
      <c r="E185" s="35">
        <f t="shared" si="31"/>
        <v>0</v>
      </c>
      <c r="F185" s="35"/>
      <c r="G185" s="35"/>
      <c r="H185" s="35"/>
      <c r="I185" s="35"/>
      <c r="J185" s="35"/>
      <c r="K185" s="35">
        <f t="shared" si="32"/>
        <v>0</v>
      </c>
      <c r="L185" s="35"/>
      <c r="M185" s="35">
        <v>0</v>
      </c>
      <c r="N185" s="35"/>
      <c r="O185" s="35"/>
      <c r="P185" s="35"/>
      <c r="Q185" s="35"/>
      <c r="R185" s="35"/>
      <c r="S185" s="35">
        <v>0</v>
      </c>
      <c r="T185" s="35"/>
      <c r="U185" s="35"/>
      <c r="V185" s="35"/>
      <c r="W185" s="35">
        <f t="shared" si="30"/>
        <v>0</v>
      </c>
      <c r="X185" s="35"/>
      <c r="Y185" s="35" t="s">
        <v>224</v>
      </c>
      <c r="Z185" s="55"/>
      <c r="AA185" s="35" t="s">
        <v>27</v>
      </c>
      <c r="AB185" s="35"/>
      <c r="AC185" s="35">
        <v>0</v>
      </c>
      <c r="AD185" s="35"/>
      <c r="AE185" s="35">
        <v>0</v>
      </c>
      <c r="AF185" s="35"/>
      <c r="AG185" s="35">
        <v>0</v>
      </c>
      <c r="AH185" s="35"/>
      <c r="AI185" s="45">
        <f t="shared" si="29"/>
        <v>0</v>
      </c>
      <c r="AJ185" s="45"/>
      <c r="AK185" s="35"/>
      <c r="AL185" s="35"/>
      <c r="AM185" s="35">
        <v>0</v>
      </c>
      <c r="AN185" s="35"/>
      <c r="AO185" s="35">
        <v>0</v>
      </c>
      <c r="AP185" s="35"/>
      <c r="AQ185" s="35">
        <v>0</v>
      </c>
      <c r="AR185" s="35"/>
      <c r="AS185" s="45">
        <f t="shared" si="36"/>
        <v>0</v>
      </c>
      <c r="AT185" s="45"/>
      <c r="AU185" s="35">
        <v>0</v>
      </c>
      <c r="AV185" s="35"/>
      <c r="AW185" s="35">
        <v>0</v>
      </c>
      <c r="AX185" s="35"/>
      <c r="AY185" s="35">
        <f t="shared" si="37"/>
        <v>0</v>
      </c>
      <c r="AZ185" s="35"/>
      <c r="BA185" s="35" t="s">
        <v>224</v>
      </c>
      <c r="BB185" s="55"/>
      <c r="BC185" s="35" t="s">
        <v>27</v>
      </c>
      <c r="BD185" s="35"/>
      <c r="BE185" s="35"/>
      <c r="BF185" s="35"/>
      <c r="BG185" s="35"/>
      <c r="BH185" s="35"/>
      <c r="BI185" s="35"/>
      <c r="BJ185" s="35"/>
      <c r="BK185" s="35"/>
      <c r="BL185" s="35"/>
      <c r="BM185" s="35">
        <f t="shared" si="33"/>
        <v>0</v>
      </c>
      <c r="BN185" s="54" t="s">
        <v>347</v>
      </c>
      <c r="BO185" s="35"/>
      <c r="BP185" s="35"/>
    </row>
    <row r="186" spans="1:68" ht="13.2" hidden="1">
      <c r="A186" s="35" t="s">
        <v>225</v>
      </c>
      <c r="C186" s="35" t="s">
        <v>27</v>
      </c>
      <c r="D186" s="35"/>
      <c r="E186" s="35">
        <f t="shared" si="31"/>
        <v>0</v>
      </c>
      <c r="F186" s="35"/>
      <c r="G186" s="35"/>
      <c r="H186" s="35"/>
      <c r="I186" s="35"/>
      <c r="J186" s="35"/>
      <c r="K186" s="35">
        <f t="shared" si="32"/>
        <v>0</v>
      </c>
      <c r="L186" s="35"/>
      <c r="M186" s="35">
        <v>0</v>
      </c>
      <c r="N186" s="35"/>
      <c r="O186" s="35"/>
      <c r="P186" s="35"/>
      <c r="Q186" s="35"/>
      <c r="R186" s="35"/>
      <c r="S186" s="35">
        <v>0</v>
      </c>
      <c r="T186" s="35"/>
      <c r="U186" s="35"/>
      <c r="V186" s="35"/>
      <c r="W186" s="35">
        <f t="shared" si="30"/>
        <v>0</v>
      </c>
      <c r="X186" s="35"/>
      <c r="Y186" s="35" t="s">
        <v>225</v>
      </c>
      <c r="Z186" s="55"/>
      <c r="AA186" s="35" t="s">
        <v>27</v>
      </c>
      <c r="AB186" s="35"/>
      <c r="AC186" s="35">
        <v>0</v>
      </c>
      <c r="AD186" s="35"/>
      <c r="AE186" s="35">
        <v>0</v>
      </c>
      <c r="AF186" s="35"/>
      <c r="AG186" s="35">
        <v>0</v>
      </c>
      <c r="AH186" s="35"/>
      <c r="AI186" s="45">
        <f t="shared" si="29"/>
        <v>0</v>
      </c>
      <c r="AJ186" s="45"/>
      <c r="AK186" s="35"/>
      <c r="AL186" s="35"/>
      <c r="AM186" s="35">
        <v>0</v>
      </c>
      <c r="AN186" s="35"/>
      <c r="AO186" s="35">
        <v>0</v>
      </c>
      <c r="AP186" s="35"/>
      <c r="AQ186" s="35">
        <v>0</v>
      </c>
      <c r="AR186" s="35"/>
      <c r="AS186" s="45">
        <f t="shared" si="36"/>
        <v>0</v>
      </c>
      <c r="AT186" s="45"/>
      <c r="AU186" s="35">
        <v>0</v>
      </c>
      <c r="AV186" s="35"/>
      <c r="AW186" s="35">
        <v>0</v>
      </c>
      <c r="AX186" s="35"/>
      <c r="AY186" s="35">
        <f t="shared" si="37"/>
        <v>0</v>
      </c>
      <c r="AZ186" s="35"/>
      <c r="BA186" s="35" t="s">
        <v>225</v>
      </c>
      <c r="BB186" s="55"/>
      <c r="BC186" s="35" t="s">
        <v>27</v>
      </c>
      <c r="BD186" s="35"/>
      <c r="BE186" s="35"/>
      <c r="BF186" s="35"/>
      <c r="BG186" s="35"/>
      <c r="BH186" s="35"/>
      <c r="BI186" s="35"/>
      <c r="BJ186" s="35"/>
      <c r="BK186" s="35"/>
      <c r="BL186" s="35"/>
      <c r="BM186" s="35">
        <f t="shared" si="33"/>
        <v>0</v>
      </c>
      <c r="BN186" s="54" t="s">
        <v>347</v>
      </c>
    </row>
    <row r="187" spans="1:68" ht="13.2" hidden="1">
      <c r="A187" s="35" t="s">
        <v>226</v>
      </c>
      <c r="C187" s="35" t="s">
        <v>45</v>
      </c>
      <c r="D187" s="35"/>
      <c r="E187" s="35">
        <f t="shared" si="31"/>
        <v>0</v>
      </c>
      <c r="F187" s="35"/>
      <c r="G187" s="35"/>
      <c r="H187" s="35"/>
      <c r="I187" s="35"/>
      <c r="J187" s="35"/>
      <c r="K187" s="35">
        <f t="shared" si="32"/>
        <v>0</v>
      </c>
      <c r="L187" s="35"/>
      <c r="M187" s="35">
        <v>0</v>
      </c>
      <c r="N187" s="35"/>
      <c r="O187" s="35"/>
      <c r="P187" s="35"/>
      <c r="Q187" s="35"/>
      <c r="R187" s="35"/>
      <c r="S187" s="35">
        <v>0</v>
      </c>
      <c r="T187" s="35"/>
      <c r="U187" s="35"/>
      <c r="V187" s="35"/>
      <c r="W187" s="35">
        <f t="shared" si="30"/>
        <v>0</v>
      </c>
      <c r="X187" s="35"/>
      <c r="Y187" s="35" t="s">
        <v>226</v>
      </c>
      <c r="Z187" s="55"/>
      <c r="AA187" s="35" t="s">
        <v>45</v>
      </c>
      <c r="AB187" s="35"/>
      <c r="AC187" s="35">
        <v>0</v>
      </c>
      <c r="AD187" s="35"/>
      <c r="AE187" s="35">
        <v>0</v>
      </c>
      <c r="AF187" s="35"/>
      <c r="AG187" s="35">
        <v>0</v>
      </c>
      <c r="AH187" s="35"/>
      <c r="AI187" s="45">
        <f t="shared" si="29"/>
        <v>0</v>
      </c>
      <c r="AJ187" s="45"/>
      <c r="AK187" s="35"/>
      <c r="AL187" s="35"/>
      <c r="AM187" s="35">
        <v>0</v>
      </c>
      <c r="AN187" s="35"/>
      <c r="AO187" s="35">
        <v>0</v>
      </c>
      <c r="AP187" s="35"/>
      <c r="AQ187" s="35">
        <v>0</v>
      </c>
      <c r="AR187" s="35"/>
      <c r="AS187" s="45">
        <f t="shared" si="36"/>
        <v>0</v>
      </c>
      <c r="AT187" s="45"/>
      <c r="AU187" s="35">
        <v>0</v>
      </c>
      <c r="AV187" s="35"/>
      <c r="AW187" s="35">
        <v>0</v>
      </c>
      <c r="AX187" s="35"/>
      <c r="AY187" s="35">
        <f t="shared" si="37"/>
        <v>0</v>
      </c>
      <c r="AZ187" s="35"/>
      <c r="BA187" s="35" t="s">
        <v>226</v>
      </c>
      <c r="BB187" s="55"/>
      <c r="BC187" s="35" t="s">
        <v>45</v>
      </c>
      <c r="BD187" s="35"/>
      <c r="BE187" s="35"/>
      <c r="BF187" s="35"/>
      <c r="BG187" s="35"/>
      <c r="BH187" s="35"/>
      <c r="BI187" s="35"/>
      <c r="BJ187" s="35"/>
      <c r="BK187" s="35"/>
      <c r="BL187" s="35"/>
      <c r="BM187" s="35">
        <f t="shared" si="33"/>
        <v>0</v>
      </c>
      <c r="BN187" s="54" t="s">
        <v>347</v>
      </c>
    </row>
    <row r="188" spans="1:68" ht="13.2" hidden="1">
      <c r="A188" s="35" t="s">
        <v>227</v>
      </c>
      <c r="C188" s="35" t="s">
        <v>17</v>
      </c>
      <c r="D188" s="35"/>
      <c r="E188" s="35">
        <f t="shared" si="31"/>
        <v>0</v>
      </c>
      <c r="F188" s="35"/>
      <c r="G188" s="35"/>
      <c r="H188" s="35"/>
      <c r="I188" s="35"/>
      <c r="J188" s="35"/>
      <c r="K188" s="35">
        <f t="shared" si="32"/>
        <v>0</v>
      </c>
      <c r="L188" s="35"/>
      <c r="M188" s="35">
        <v>0</v>
      </c>
      <c r="N188" s="35"/>
      <c r="O188" s="35"/>
      <c r="P188" s="35"/>
      <c r="Q188" s="35"/>
      <c r="R188" s="35"/>
      <c r="S188" s="35">
        <v>0</v>
      </c>
      <c r="T188" s="35"/>
      <c r="U188" s="35"/>
      <c r="V188" s="35"/>
      <c r="W188" s="35">
        <f t="shared" si="30"/>
        <v>0</v>
      </c>
      <c r="X188" s="35"/>
      <c r="Y188" s="35" t="s">
        <v>227</v>
      </c>
      <c r="Z188" s="55"/>
      <c r="AA188" s="35" t="s">
        <v>17</v>
      </c>
      <c r="AB188" s="35"/>
      <c r="AC188" s="35">
        <v>0</v>
      </c>
      <c r="AD188" s="35"/>
      <c r="AE188" s="35">
        <v>0</v>
      </c>
      <c r="AF188" s="35"/>
      <c r="AG188" s="35">
        <v>0</v>
      </c>
      <c r="AH188" s="35"/>
      <c r="AI188" s="45">
        <f t="shared" si="29"/>
        <v>0</v>
      </c>
      <c r="AJ188" s="45"/>
      <c r="AK188" s="35"/>
      <c r="AL188" s="35"/>
      <c r="AM188" s="35">
        <v>0</v>
      </c>
      <c r="AN188" s="35"/>
      <c r="AO188" s="35">
        <v>0</v>
      </c>
      <c r="AP188" s="35"/>
      <c r="AQ188" s="35">
        <v>0</v>
      </c>
      <c r="AR188" s="35"/>
      <c r="AS188" s="45">
        <f t="shared" si="36"/>
        <v>0</v>
      </c>
      <c r="AT188" s="45"/>
      <c r="AU188" s="35">
        <v>0</v>
      </c>
      <c r="AV188" s="35"/>
      <c r="AW188" s="35">
        <v>0</v>
      </c>
      <c r="AX188" s="35"/>
      <c r="AY188" s="35">
        <f t="shared" si="37"/>
        <v>0</v>
      </c>
      <c r="AZ188" s="35"/>
      <c r="BA188" s="35" t="s">
        <v>227</v>
      </c>
      <c r="BB188" s="55"/>
      <c r="BC188" s="35" t="s">
        <v>17</v>
      </c>
      <c r="BD188" s="35"/>
      <c r="BE188" s="35"/>
      <c r="BF188" s="35"/>
      <c r="BG188" s="35"/>
      <c r="BH188" s="35"/>
      <c r="BI188" s="35"/>
      <c r="BJ188" s="35"/>
      <c r="BK188" s="35"/>
      <c r="BL188" s="35"/>
      <c r="BM188" s="35">
        <v>0</v>
      </c>
      <c r="BN188" s="54" t="s">
        <v>347</v>
      </c>
    </row>
    <row r="189" spans="1:68" ht="13.2" hidden="1">
      <c r="A189" s="35" t="s">
        <v>228</v>
      </c>
      <c r="C189" s="35" t="s">
        <v>153</v>
      </c>
      <c r="D189" s="35"/>
      <c r="E189" s="35">
        <f t="shared" si="31"/>
        <v>0</v>
      </c>
      <c r="F189" s="35"/>
      <c r="G189" s="35"/>
      <c r="H189" s="35"/>
      <c r="I189" s="35"/>
      <c r="J189" s="35"/>
      <c r="K189" s="35">
        <f t="shared" si="32"/>
        <v>0</v>
      </c>
      <c r="L189" s="35"/>
      <c r="M189" s="35">
        <v>0</v>
      </c>
      <c r="N189" s="35"/>
      <c r="O189" s="35"/>
      <c r="P189" s="35"/>
      <c r="Q189" s="35"/>
      <c r="R189" s="35"/>
      <c r="S189" s="35">
        <v>0</v>
      </c>
      <c r="T189" s="35"/>
      <c r="U189" s="35"/>
      <c r="V189" s="35"/>
      <c r="W189" s="35">
        <f t="shared" si="30"/>
        <v>0</v>
      </c>
      <c r="X189" s="35"/>
      <c r="Y189" s="35" t="s">
        <v>228</v>
      </c>
      <c r="Z189" s="55"/>
      <c r="AA189" s="35" t="s">
        <v>153</v>
      </c>
      <c r="AB189" s="35"/>
      <c r="AC189" s="35">
        <v>0</v>
      </c>
      <c r="AD189" s="35"/>
      <c r="AE189" s="35">
        <v>0</v>
      </c>
      <c r="AF189" s="35"/>
      <c r="AG189" s="35">
        <v>0</v>
      </c>
      <c r="AH189" s="35"/>
      <c r="AI189" s="45">
        <f t="shared" si="29"/>
        <v>0</v>
      </c>
      <c r="AJ189" s="45"/>
      <c r="AK189" s="35"/>
      <c r="AL189" s="35"/>
      <c r="AM189" s="35">
        <v>0</v>
      </c>
      <c r="AN189" s="35"/>
      <c r="AO189" s="35">
        <v>0</v>
      </c>
      <c r="AP189" s="35"/>
      <c r="AQ189" s="35">
        <v>0</v>
      </c>
      <c r="AR189" s="35"/>
      <c r="AS189" s="45">
        <f t="shared" si="36"/>
        <v>0</v>
      </c>
      <c r="AT189" s="45"/>
      <c r="AU189" s="35">
        <v>0</v>
      </c>
      <c r="AV189" s="35"/>
      <c r="AW189" s="35">
        <v>0</v>
      </c>
      <c r="AX189" s="35"/>
      <c r="AY189" s="35">
        <f t="shared" si="37"/>
        <v>0</v>
      </c>
      <c r="AZ189" s="35"/>
      <c r="BA189" s="35" t="s">
        <v>228</v>
      </c>
      <c r="BB189" s="55"/>
      <c r="BC189" s="35" t="s">
        <v>153</v>
      </c>
      <c r="BD189" s="35"/>
      <c r="BE189" s="35"/>
      <c r="BF189" s="35"/>
      <c r="BG189" s="35"/>
      <c r="BH189" s="35"/>
      <c r="BI189" s="35"/>
      <c r="BJ189" s="35"/>
      <c r="BK189" s="35"/>
      <c r="BL189" s="35"/>
      <c r="BM189" s="35">
        <f t="shared" ref="BM189:BM228" si="38">SUM(BE189:BK189)</f>
        <v>0</v>
      </c>
      <c r="BN189" s="54" t="s">
        <v>347</v>
      </c>
    </row>
    <row r="190" spans="1:68" ht="13.2" hidden="1">
      <c r="A190" s="35" t="s">
        <v>229</v>
      </c>
      <c r="C190" s="35" t="s">
        <v>228</v>
      </c>
      <c r="D190" s="35"/>
      <c r="E190" s="35">
        <f t="shared" si="31"/>
        <v>0</v>
      </c>
      <c r="F190" s="35"/>
      <c r="G190" s="35"/>
      <c r="H190" s="35"/>
      <c r="I190" s="35"/>
      <c r="J190" s="35"/>
      <c r="K190" s="35">
        <f t="shared" si="32"/>
        <v>0</v>
      </c>
      <c r="L190" s="35"/>
      <c r="M190" s="35">
        <v>0</v>
      </c>
      <c r="N190" s="35"/>
      <c r="O190" s="35"/>
      <c r="P190" s="35"/>
      <c r="Q190" s="35"/>
      <c r="R190" s="35"/>
      <c r="S190" s="35">
        <v>0</v>
      </c>
      <c r="T190" s="35"/>
      <c r="U190" s="35"/>
      <c r="V190" s="35"/>
      <c r="W190" s="35">
        <f t="shared" si="30"/>
        <v>0</v>
      </c>
      <c r="X190" s="35"/>
      <c r="Y190" s="35" t="s">
        <v>229</v>
      </c>
      <c r="Z190" s="55"/>
      <c r="AA190" s="35" t="s">
        <v>228</v>
      </c>
      <c r="AB190" s="35"/>
      <c r="AC190" s="35">
        <v>0</v>
      </c>
      <c r="AD190" s="35"/>
      <c r="AE190" s="35">
        <v>0</v>
      </c>
      <c r="AF190" s="35"/>
      <c r="AG190" s="35">
        <v>0</v>
      </c>
      <c r="AH190" s="35"/>
      <c r="AI190" s="45">
        <f t="shared" si="29"/>
        <v>0</v>
      </c>
      <c r="AJ190" s="45"/>
      <c r="AK190" s="35"/>
      <c r="AL190" s="35"/>
      <c r="AM190" s="35">
        <v>0</v>
      </c>
      <c r="AN190" s="35"/>
      <c r="AO190" s="35">
        <v>0</v>
      </c>
      <c r="AP190" s="35"/>
      <c r="AQ190" s="35">
        <v>0</v>
      </c>
      <c r="AR190" s="35"/>
      <c r="AS190" s="45">
        <f t="shared" si="36"/>
        <v>0</v>
      </c>
      <c r="AT190" s="45"/>
      <c r="AU190" s="35">
        <v>0</v>
      </c>
      <c r="AV190" s="35"/>
      <c r="AW190" s="35">
        <v>0</v>
      </c>
      <c r="AX190" s="35"/>
      <c r="AY190" s="35">
        <f t="shared" si="37"/>
        <v>0</v>
      </c>
      <c r="AZ190" s="35"/>
      <c r="BA190" s="35" t="s">
        <v>229</v>
      </c>
      <c r="BB190" s="55"/>
      <c r="BC190" s="35" t="s">
        <v>228</v>
      </c>
      <c r="BD190" s="35"/>
      <c r="BE190" s="35"/>
      <c r="BF190" s="35"/>
      <c r="BG190" s="35"/>
      <c r="BH190" s="35"/>
      <c r="BI190" s="35"/>
      <c r="BJ190" s="35"/>
      <c r="BK190" s="35"/>
      <c r="BL190" s="35"/>
      <c r="BM190" s="35">
        <f t="shared" si="38"/>
        <v>0</v>
      </c>
      <c r="BN190" s="54" t="s">
        <v>347</v>
      </c>
    </row>
    <row r="191" spans="1:68" ht="13.2" hidden="1">
      <c r="A191" s="35" t="s">
        <v>230</v>
      </c>
      <c r="C191" s="35" t="s">
        <v>45</v>
      </c>
      <c r="D191" s="35"/>
      <c r="E191" s="35">
        <f t="shared" si="31"/>
        <v>0</v>
      </c>
      <c r="F191" s="35"/>
      <c r="G191" s="35"/>
      <c r="H191" s="35"/>
      <c r="I191" s="35"/>
      <c r="J191" s="35"/>
      <c r="K191" s="35">
        <f t="shared" si="32"/>
        <v>0</v>
      </c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>
        <f t="shared" si="30"/>
        <v>0</v>
      </c>
      <c r="X191" s="35"/>
      <c r="Y191" s="35" t="s">
        <v>230</v>
      </c>
      <c r="Z191" s="55"/>
      <c r="AA191" s="35" t="s">
        <v>45</v>
      </c>
      <c r="AB191" s="35"/>
      <c r="AC191" s="35"/>
      <c r="AD191" s="35"/>
      <c r="AE191" s="35"/>
      <c r="AF191" s="35"/>
      <c r="AG191" s="35"/>
      <c r="AH191" s="35"/>
      <c r="AI191" s="45">
        <f t="shared" si="29"/>
        <v>0</v>
      </c>
      <c r="AJ191" s="45"/>
      <c r="AK191" s="35"/>
      <c r="AL191" s="35"/>
      <c r="AM191" s="35"/>
      <c r="AN191" s="35"/>
      <c r="AO191" s="35"/>
      <c r="AP191" s="35"/>
      <c r="AQ191" s="35"/>
      <c r="AR191" s="35"/>
      <c r="AS191" s="45">
        <f t="shared" si="36"/>
        <v>0</v>
      </c>
      <c r="AT191" s="45"/>
      <c r="AU191" s="35">
        <v>0</v>
      </c>
      <c r="AV191" s="35"/>
      <c r="AW191" s="35">
        <v>0</v>
      </c>
      <c r="AX191" s="35"/>
      <c r="AY191" s="35">
        <f t="shared" si="37"/>
        <v>0</v>
      </c>
      <c r="AZ191" s="35"/>
      <c r="BA191" s="35" t="s">
        <v>230</v>
      </c>
      <c r="BB191" s="55"/>
      <c r="BC191" s="35" t="s">
        <v>45</v>
      </c>
      <c r="BD191" s="35"/>
      <c r="BE191" s="35"/>
      <c r="BF191" s="35"/>
      <c r="BG191" s="35"/>
      <c r="BH191" s="35"/>
      <c r="BI191" s="35"/>
      <c r="BJ191" s="35"/>
      <c r="BK191" s="35"/>
      <c r="BL191" s="35"/>
      <c r="BM191" s="35">
        <f t="shared" si="38"/>
        <v>0</v>
      </c>
      <c r="BN191" s="54" t="s">
        <v>347</v>
      </c>
    </row>
    <row r="192" spans="1:68" ht="13.2" hidden="1">
      <c r="A192" s="35" t="s">
        <v>231</v>
      </c>
      <c r="C192" s="35" t="s">
        <v>27</v>
      </c>
      <c r="D192" s="35"/>
      <c r="E192" s="35">
        <f t="shared" si="31"/>
        <v>0</v>
      </c>
      <c r="F192" s="35"/>
      <c r="G192" s="35"/>
      <c r="H192" s="35"/>
      <c r="I192" s="35"/>
      <c r="J192" s="35"/>
      <c r="K192" s="35">
        <f t="shared" si="32"/>
        <v>0</v>
      </c>
      <c r="L192" s="35"/>
      <c r="M192" s="35">
        <v>0</v>
      </c>
      <c r="N192" s="35"/>
      <c r="O192" s="35"/>
      <c r="P192" s="35"/>
      <c r="Q192" s="35"/>
      <c r="R192" s="35"/>
      <c r="S192" s="35">
        <v>0</v>
      </c>
      <c r="T192" s="35"/>
      <c r="U192" s="35"/>
      <c r="V192" s="35"/>
      <c r="W192" s="35">
        <f t="shared" si="30"/>
        <v>0</v>
      </c>
      <c r="X192" s="35"/>
      <c r="Y192" s="35" t="s">
        <v>231</v>
      </c>
      <c r="Z192" s="55"/>
      <c r="AA192" s="35" t="s">
        <v>27</v>
      </c>
      <c r="AB192" s="35"/>
      <c r="AC192" s="35">
        <v>0</v>
      </c>
      <c r="AD192" s="35"/>
      <c r="AE192" s="35">
        <v>0</v>
      </c>
      <c r="AF192" s="35"/>
      <c r="AG192" s="35">
        <v>0</v>
      </c>
      <c r="AH192" s="35"/>
      <c r="AI192" s="45">
        <v>0</v>
      </c>
      <c r="AJ192" s="45"/>
      <c r="AK192" s="35"/>
      <c r="AL192" s="35"/>
      <c r="AM192" s="35">
        <v>0</v>
      </c>
      <c r="AN192" s="35"/>
      <c r="AO192" s="35">
        <v>0</v>
      </c>
      <c r="AP192" s="35"/>
      <c r="AQ192" s="35">
        <v>0</v>
      </c>
      <c r="AR192" s="35"/>
      <c r="AS192" s="45">
        <f t="shared" si="36"/>
        <v>0</v>
      </c>
      <c r="AT192" s="45"/>
      <c r="AU192" s="35">
        <v>0</v>
      </c>
      <c r="AV192" s="35"/>
      <c r="AW192" s="35">
        <v>0</v>
      </c>
      <c r="AX192" s="35"/>
      <c r="AY192" s="35">
        <f t="shared" si="37"/>
        <v>0</v>
      </c>
      <c r="AZ192" s="35"/>
      <c r="BA192" s="35" t="s">
        <v>231</v>
      </c>
      <c r="BB192" s="55"/>
      <c r="BC192" s="35" t="s">
        <v>27</v>
      </c>
      <c r="BD192" s="35"/>
      <c r="BE192" s="35"/>
      <c r="BF192" s="35"/>
      <c r="BG192" s="35"/>
      <c r="BH192" s="35"/>
      <c r="BI192" s="35"/>
      <c r="BJ192" s="35"/>
      <c r="BK192" s="35"/>
      <c r="BL192" s="35"/>
      <c r="BM192" s="35">
        <f t="shared" si="38"/>
        <v>0</v>
      </c>
      <c r="BN192" s="54" t="s">
        <v>347</v>
      </c>
    </row>
    <row r="193" spans="1:74" ht="13.2" hidden="1">
      <c r="A193" s="35" t="s">
        <v>232</v>
      </c>
      <c r="C193" s="35" t="s">
        <v>27</v>
      </c>
      <c r="D193" s="35"/>
      <c r="E193" s="35">
        <f t="shared" si="31"/>
        <v>0</v>
      </c>
      <c r="F193" s="35"/>
      <c r="G193" s="35"/>
      <c r="H193" s="35"/>
      <c r="I193" s="35"/>
      <c r="J193" s="35"/>
      <c r="K193" s="35">
        <f t="shared" si="32"/>
        <v>0</v>
      </c>
      <c r="L193" s="35"/>
      <c r="M193" s="35">
        <v>0</v>
      </c>
      <c r="N193" s="35"/>
      <c r="O193" s="35"/>
      <c r="P193" s="35"/>
      <c r="Q193" s="35"/>
      <c r="R193" s="35"/>
      <c r="S193" s="35">
        <v>0</v>
      </c>
      <c r="T193" s="35"/>
      <c r="U193" s="35"/>
      <c r="V193" s="35"/>
      <c r="W193" s="35">
        <f t="shared" si="30"/>
        <v>0</v>
      </c>
      <c r="X193" s="35"/>
      <c r="Y193" s="35" t="s">
        <v>232</v>
      </c>
      <c r="Z193" s="55"/>
      <c r="AA193" s="35" t="s">
        <v>27</v>
      </c>
      <c r="AB193" s="35"/>
      <c r="AC193" s="35">
        <v>0</v>
      </c>
      <c r="AD193" s="35"/>
      <c r="AE193" s="35">
        <v>0</v>
      </c>
      <c r="AF193" s="35"/>
      <c r="AG193" s="35">
        <v>0</v>
      </c>
      <c r="AH193" s="35"/>
      <c r="AI193" s="45">
        <f t="shared" ref="AI193:AI202" si="39">+AC193-AE193-AG193</f>
        <v>0</v>
      </c>
      <c r="AJ193" s="45"/>
      <c r="AK193" s="35"/>
      <c r="AL193" s="35"/>
      <c r="AM193" s="35">
        <v>0</v>
      </c>
      <c r="AN193" s="35"/>
      <c r="AO193" s="35">
        <v>0</v>
      </c>
      <c r="AP193" s="35"/>
      <c r="AQ193" s="35">
        <v>0</v>
      </c>
      <c r="AR193" s="35"/>
      <c r="AS193" s="45">
        <f t="shared" si="36"/>
        <v>0</v>
      </c>
      <c r="AT193" s="45"/>
      <c r="AU193" s="35">
        <v>0</v>
      </c>
      <c r="AV193" s="35"/>
      <c r="AW193" s="35">
        <v>0</v>
      </c>
      <c r="AX193" s="35"/>
      <c r="AY193" s="35">
        <f t="shared" si="37"/>
        <v>0</v>
      </c>
      <c r="AZ193" s="35"/>
      <c r="BA193" s="35" t="s">
        <v>232</v>
      </c>
      <c r="BB193" s="55"/>
      <c r="BC193" s="35" t="s">
        <v>27</v>
      </c>
      <c r="BD193" s="35"/>
      <c r="BE193" s="35"/>
      <c r="BF193" s="35"/>
      <c r="BG193" s="35"/>
      <c r="BH193" s="35"/>
      <c r="BI193" s="35"/>
      <c r="BJ193" s="35"/>
      <c r="BK193" s="35"/>
      <c r="BL193" s="35"/>
      <c r="BM193" s="35">
        <f t="shared" si="38"/>
        <v>0</v>
      </c>
      <c r="BN193" s="54" t="s">
        <v>347</v>
      </c>
      <c r="BO193" s="35"/>
      <c r="BP193" s="35"/>
      <c r="BQ193" s="35"/>
      <c r="BR193" s="35"/>
      <c r="BS193" s="35"/>
      <c r="BT193" s="35"/>
      <c r="BU193" s="35"/>
      <c r="BV193" s="35"/>
    </row>
    <row r="194" spans="1:74" ht="13.2" hidden="1">
      <c r="A194" s="35" t="s">
        <v>233</v>
      </c>
      <c r="C194" s="35" t="s">
        <v>111</v>
      </c>
      <c r="D194" s="35"/>
      <c r="E194" s="35">
        <f t="shared" si="31"/>
        <v>0</v>
      </c>
      <c r="F194" s="35"/>
      <c r="G194" s="35"/>
      <c r="H194" s="35"/>
      <c r="I194" s="35"/>
      <c r="J194" s="35"/>
      <c r="K194" s="35">
        <f t="shared" si="32"/>
        <v>0</v>
      </c>
      <c r="L194" s="35"/>
      <c r="M194" s="35">
        <v>0</v>
      </c>
      <c r="N194" s="35"/>
      <c r="O194" s="35"/>
      <c r="P194" s="35"/>
      <c r="Q194" s="35"/>
      <c r="R194" s="35"/>
      <c r="S194" s="35">
        <v>0</v>
      </c>
      <c r="T194" s="35"/>
      <c r="U194" s="35"/>
      <c r="V194" s="35"/>
      <c r="W194" s="35">
        <f t="shared" si="30"/>
        <v>0</v>
      </c>
      <c r="X194" s="35"/>
      <c r="Y194" s="35" t="s">
        <v>233</v>
      </c>
      <c r="Z194" s="55"/>
      <c r="AA194" s="35" t="s">
        <v>111</v>
      </c>
      <c r="AB194" s="35"/>
      <c r="AC194" s="35">
        <v>0</v>
      </c>
      <c r="AD194" s="35"/>
      <c r="AE194" s="35">
        <v>0</v>
      </c>
      <c r="AF194" s="35"/>
      <c r="AG194" s="35">
        <v>0</v>
      </c>
      <c r="AH194" s="35"/>
      <c r="AI194" s="45">
        <f t="shared" si="39"/>
        <v>0</v>
      </c>
      <c r="AJ194" s="45"/>
      <c r="AK194" s="35"/>
      <c r="AL194" s="35"/>
      <c r="AM194" s="35">
        <v>0</v>
      </c>
      <c r="AN194" s="35"/>
      <c r="AO194" s="35">
        <v>0</v>
      </c>
      <c r="AP194" s="35"/>
      <c r="AQ194" s="35">
        <v>0</v>
      </c>
      <c r="AR194" s="35"/>
      <c r="AS194" s="45">
        <f t="shared" si="36"/>
        <v>0</v>
      </c>
      <c r="AT194" s="45"/>
      <c r="AU194" s="35">
        <v>0</v>
      </c>
      <c r="AV194" s="35"/>
      <c r="AW194" s="35">
        <v>0</v>
      </c>
      <c r="AX194" s="35"/>
      <c r="AY194" s="35">
        <f t="shared" si="37"/>
        <v>0</v>
      </c>
      <c r="AZ194" s="35"/>
      <c r="BA194" s="35" t="s">
        <v>233</v>
      </c>
      <c r="BB194" s="55"/>
      <c r="BC194" s="35" t="s">
        <v>111</v>
      </c>
      <c r="BD194" s="35"/>
      <c r="BE194" s="35"/>
      <c r="BF194" s="35"/>
      <c r="BG194" s="35"/>
      <c r="BH194" s="35"/>
      <c r="BI194" s="35"/>
      <c r="BJ194" s="35"/>
      <c r="BK194" s="35"/>
      <c r="BL194" s="35"/>
      <c r="BM194" s="35">
        <f t="shared" si="38"/>
        <v>0</v>
      </c>
      <c r="BN194" s="54" t="s">
        <v>347</v>
      </c>
      <c r="BO194" s="35"/>
      <c r="BP194" s="35"/>
      <c r="BQ194" s="35"/>
      <c r="BR194" s="35"/>
      <c r="BS194" s="35"/>
      <c r="BT194" s="35"/>
      <c r="BU194" s="35"/>
      <c r="BV194" s="35"/>
    </row>
    <row r="195" spans="1:74" ht="13.2" hidden="1">
      <c r="A195" s="35" t="s">
        <v>234</v>
      </c>
      <c r="C195" s="35" t="s">
        <v>45</v>
      </c>
      <c r="D195" s="35"/>
      <c r="E195" s="35">
        <f t="shared" si="31"/>
        <v>0</v>
      </c>
      <c r="F195" s="35"/>
      <c r="G195" s="35"/>
      <c r="H195" s="35"/>
      <c r="I195" s="35"/>
      <c r="J195" s="35"/>
      <c r="K195" s="35">
        <f t="shared" si="32"/>
        <v>0</v>
      </c>
      <c r="L195" s="35"/>
      <c r="M195" s="35">
        <v>0</v>
      </c>
      <c r="N195" s="35"/>
      <c r="O195" s="35"/>
      <c r="P195" s="35"/>
      <c r="Q195" s="35"/>
      <c r="R195" s="35"/>
      <c r="S195" s="35">
        <v>0</v>
      </c>
      <c r="T195" s="35"/>
      <c r="U195" s="35"/>
      <c r="V195" s="35"/>
      <c r="W195" s="35">
        <f t="shared" si="30"/>
        <v>0</v>
      </c>
      <c r="X195" s="35"/>
      <c r="Y195" s="35" t="s">
        <v>234</v>
      </c>
      <c r="Z195" s="55"/>
      <c r="AA195" s="35" t="s">
        <v>45</v>
      </c>
      <c r="AB195" s="35"/>
      <c r="AC195" s="35">
        <v>0</v>
      </c>
      <c r="AD195" s="35"/>
      <c r="AE195" s="35">
        <v>0</v>
      </c>
      <c r="AF195" s="35"/>
      <c r="AG195" s="35">
        <v>0</v>
      </c>
      <c r="AH195" s="35"/>
      <c r="AI195" s="45">
        <f t="shared" si="39"/>
        <v>0</v>
      </c>
      <c r="AJ195" s="45"/>
      <c r="AK195" s="35"/>
      <c r="AL195" s="35"/>
      <c r="AM195" s="35">
        <v>0</v>
      </c>
      <c r="AN195" s="35"/>
      <c r="AO195" s="35">
        <v>0</v>
      </c>
      <c r="AP195" s="35"/>
      <c r="AQ195" s="35">
        <v>0</v>
      </c>
      <c r="AR195" s="35"/>
      <c r="AS195" s="45">
        <f t="shared" si="36"/>
        <v>0</v>
      </c>
      <c r="AT195" s="45"/>
      <c r="AU195" s="35">
        <v>0</v>
      </c>
      <c r="AV195" s="35"/>
      <c r="AW195" s="35">
        <v>0</v>
      </c>
      <c r="AX195" s="35"/>
      <c r="AY195" s="35">
        <f t="shared" si="37"/>
        <v>0</v>
      </c>
      <c r="AZ195" s="35"/>
      <c r="BA195" s="35" t="s">
        <v>234</v>
      </c>
      <c r="BB195" s="55"/>
      <c r="BC195" s="35" t="s">
        <v>45</v>
      </c>
      <c r="BD195" s="35"/>
      <c r="BE195" s="35"/>
      <c r="BF195" s="35"/>
      <c r="BG195" s="35"/>
      <c r="BH195" s="35"/>
      <c r="BI195" s="35"/>
      <c r="BJ195" s="35"/>
      <c r="BK195" s="35"/>
      <c r="BL195" s="35"/>
      <c r="BM195" s="35">
        <f t="shared" si="38"/>
        <v>0</v>
      </c>
      <c r="BN195" s="54" t="s">
        <v>347</v>
      </c>
      <c r="BO195" s="35" t="s">
        <v>371</v>
      </c>
      <c r="BP195" s="35"/>
      <c r="BQ195" s="35"/>
      <c r="BR195" s="35"/>
      <c r="BS195" s="35"/>
      <c r="BT195" s="35"/>
      <c r="BU195" s="35"/>
      <c r="BV195" s="35"/>
    </row>
    <row r="196" spans="1:74" ht="13.2" hidden="1">
      <c r="A196" s="35" t="s">
        <v>235</v>
      </c>
      <c r="C196" s="35" t="s">
        <v>183</v>
      </c>
      <c r="D196" s="35"/>
      <c r="E196" s="35">
        <f t="shared" si="31"/>
        <v>0</v>
      </c>
      <c r="F196" s="35"/>
      <c r="G196" s="35"/>
      <c r="H196" s="35"/>
      <c r="I196" s="35"/>
      <c r="J196" s="35"/>
      <c r="K196" s="35">
        <f t="shared" si="32"/>
        <v>0</v>
      </c>
      <c r="L196" s="35"/>
      <c r="M196" s="35">
        <v>0</v>
      </c>
      <c r="N196" s="35"/>
      <c r="O196" s="35"/>
      <c r="P196" s="35"/>
      <c r="Q196" s="35"/>
      <c r="R196" s="35"/>
      <c r="S196" s="35">
        <v>0</v>
      </c>
      <c r="T196" s="35"/>
      <c r="U196" s="35"/>
      <c r="V196" s="35"/>
      <c r="W196" s="35">
        <f t="shared" si="30"/>
        <v>0</v>
      </c>
      <c r="X196" s="35"/>
      <c r="Y196" s="35" t="s">
        <v>235</v>
      </c>
      <c r="Z196" s="55"/>
      <c r="AA196" s="35" t="s">
        <v>183</v>
      </c>
      <c r="AB196" s="35"/>
      <c r="AC196" s="35">
        <v>0</v>
      </c>
      <c r="AD196" s="35"/>
      <c r="AE196" s="35">
        <v>0</v>
      </c>
      <c r="AF196" s="35"/>
      <c r="AG196" s="35">
        <v>0</v>
      </c>
      <c r="AH196" s="35"/>
      <c r="AI196" s="45">
        <f t="shared" si="39"/>
        <v>0</v>
      </c>
      <c r="AJ196" s="45"/>
      <c r="AK196" s="35"/>
      <c r="AL196" s="35"/>
      <c r="AM196" s="35">
        <v>0</v>
      </c>
      <c r="AN196" s="35"/>
      <c r="AO196" s="35">
        <v>0</v>
      </c>
      <c r="AP196" s="35"/>
      <c r="AQ196" s="35">
        <v>0</v>
      </c>
      <c r="AR196" s="35"/>
      <c r="AS196" s="45">
        <f t="shared" si="36"/>
        <v>0</v>
      </c>
      <c r="AT196" s="45"/>
      <c r="AU196" s="35">
        <v>0</v>
      </c>
      <c r="AV196" s="35"/>
      <c r="AW196" s="35">
        <v>0</v>
      </c>
      <c r="AX196" s="35"/>
      <c r="AY196" s="35">
        <f t="shared" si="37"/>
        <v>0</v>
      </c>
      <c r="AZ196" s="35"/>
      <c r="BA196" s="35" t="s">
        <v>235</v>
      </c>
      <c r="BB196" s="55"/>
      <c r="BC196" s="35" t="s">
        <v>183</v>
      </c>
      <c r="BD196" s="35"/>
      <c r="BE196" s="35"/>
      <c r="BF196" s="35"/>
      <c r="BG196" s="35"/>
      <c r="BH196" s="35"/>
      <c r="BI196" s="35"/>
      <c r="BJ196" s="35"/>
      <c r="BK196" s="35"/>
      <c r="BL196" s="35"/>
      <c r="BM196" s="35">
        <f t="shared" si="38"/>
        <v>0</v>
      </c>
      <c r="BN196" s="54" t="s">
        <v>347</v>
      </c>
      <c r="BO196" s="35"/>
      <c r="BP196" s="35"/>
    </row>
    <row r="197" spans="1:74" ht="13.2" hidden="1">
      <c r="A197" s="35" t="s">
        <v>236</v>
      </c>
      <c r="C197" s="35" t="s">
        <v>45</v>
      </c>
      <c r="D197" s="35"/>
      <c r="E197" s="35">
        <f t="shared" si="31"/>
        <v>0</v>
      </c>
      <c r="F197" s="35"/>
      <c r="G197" s="35"/>
      <c r="H197" s="35"/>
      <c r="I197" s="35"/>
      <c r="J197" s="35"/>
      <c r="K197" s="35">
        <f t="shared" si="32"/>
        <v>0</v>
      </c>
      <c r="L197" s="35"/>
      <c r="M197" s="35">
        <v>0</v>
      </c>
      <c r="N197" s="35"/>
      <c r="O197" s="35"/>
      <c r="P197" s="35"/>
      <c r="Q197" s="35"/>
      <c r="R197" s="35"/>
      <c r="S197" s="35">
        <v>0</v>
      </c>
      <c r="T197" s="35"/>
      <c r="U197" s="35"/>
      <c r="V197" s="35"/>
      <c r="W197" s="35">
        <f t="shared" si="30"/>
        <v>0</v>
      </c>
      <c r="X197" s="35"/>
      <c r="Y197" s="35" t="s">
        <v>236</v>
      </c>
      <c r="Z197" s="55"/>
      <c r="AA197" s="35" t="s">
        <v>45</v>
      </c>
      <c r="AB197" s="35"/>
      <c r="AC197" s="35">
        <v>0</v>
      </c>
      <c r="AD197" s="35"/>
      <c r="AE197" s="35">
        <v>0</v>
      </c>
      <c r="AF197" s="35"/>
      <c r="AG197" s="35">
        <v>0</v>
      </c>
      <c r="AH197" s="35"/>
      <c r="AI197" s="45">
        <f t="shared" si="39"/>
        <v>0</v>
      </c>
      <c r="AJ197" s="45"/>
      <c r="AK197" s="35"/>
      <c r="AL197" s="35"/>
      <c r="AM197" s="35">
        <v>0</v>
      </c>
      <c r="AN197" s="35"/>
      <c r="AO197" s="35">
        <v>0</v>
      </c>
      <c r="AP197" s="35"/>
      <c r="AQ197" s="35">
        <v>0</v>
      </c>
      <c r="AR197" s="35"/>
      <c r="AS197" s="45">
        <f t="shared" si="36"/>
        <v>0</v>
      </c>
      <c r="AT197" s="45"/>
      <c r="AU197" s="35">
        <v>0</v>
      </c>
      <c r="AV197" s="35"/>
      <c r="AW197" s="35">
        <v>0</v>
      </c>
      <c r="AX197" s="35"/>
      <c r="AY197" s="35">
        <f t="shared" si="37"/>
        <v>0</v>
      </c>
      <c r="AZ197" s="35"/>
      <c r="BA197" s="35" t="s">
        <v>236</v>
      </c>
      <c r="BB197" s="55"/>
      <c r="BC197" s="35" t="s">
        <v>45</v>
      </c>
      <c r="BD197" s="35"/>
      <c r="BE197" s="35"/>
      <c r="BF197" s="35"/>
      <c r="BG197" s="35"/>
      <c r="BH197" s="35"/>
      <c r="BI197" s="35"/>
      <c r="BJ197" s="35"/>
      <c r="BK197" s="35"/>
      <c r="BL197" s="35"/>
      <c r="BM197" s="35">
        <f t="shared" si="38"/>
        <v>0</v>
      </c>
      <c r="BN197" s="54" t="s">
        <v>347</v>
      </c>
    </row>
    <row r="198" spans="1:74" ht="13.2" hidden="1">
      <c r="A198" s="35" t="s">
        <v>237</v>
      </c>
      <c r="C198" s="35" t="s">
        <v>33</v>
      </c>
      <c r="D198" s="35"/>
      <c r="E198" s="35">
        <f t="shared" si="31"/>
        <v>0</v>
      </c>
      <c r="F198" s="35"/>
      <c r="G198" s="35"/>
      <c r="H198" s="35"/>
      <c r="I198" s="35"/>
      <c r="J198" s="35"/>
      <c r="K198" s="35">
        <f t="shared" si="32"/>
        <v>0</v>
      </c>
      <c r="L198" s="35"/>
      <c r="M198" s="35">
        <v>0</v>
      </c>
      <c r="N198" s="35"/>
      <c r="O198" s="35"/>
      <c r="P198" s="35"/>
      <c r="Q198" s="35"/>
      <c r="R198" s="35"/>
      <c r="S198" s="35">
        <v>0</v>
      </c>
      <c r="T198" s="35"/>
      <c r="U198" s="35"/>
      <c r="V198" s="35"/>
      <c r="W198" s="35">
        <f t="shared" si="30"/>
        <v>0</v>
      </c>
      <c r="X198" s="35"/>
      <c r="Y198" s="35" t="s">
        <v>237</v>
      </c>
      <c r="Z198" s="55"/>
      <c r="AA198" s="35" t="s">
        <v>33</v>
      </c>
      <c r="AB198" s="35"/>
      <c r="AC198" s="35">
        <v>0</v>
      </c>
      <c r="AD198" s="35"/>
      <c r="AE198" s="35">
        <v>0</v>
      </c>
      <c r="AF198" s="35"/>
      <c r="AG198" s="35">
        <v>0</v>
      </c>
      <c r="AH198" s="35"/>
      <c r="AI198" s="45">
        <f t="shared" si="39"/>
        <v>0</v>
      </c>
      <c r="AJ198" s="45"/>
      <c r="AK198" s="35"/>
      <c r="AL198" s="35"/>
      <c r="AM198" s="35">
        <v>0</v>
      </c>
      <c r="AN198" s="35"/>
      <c r="AO198" s="35">
        <v>0</v>
      </c>
      <c r="AP198" s="35"/>
      <c r="AQ198" s="35">
        <v>0</v>
      </c>
      <c r="AR198" s="35"/>
      <c r="AS198" s="45">
        <f t="shared" si="36"/>
        <v>0</v>
      </c>
      <c r="AT198" s="45"/>
      <c r="AU198" s="35">
        <v>0</v>
      </c>
      <c r="AV198" s="35"/>
      <c r="AW198" s="35">
        <v>0</v>
      </c>
      <c r="AX198" s="35"/>
      <c r="AY198" s="35">
        <f t="shared" si="37"/>
        <v>0</v>
      </c>
      <c r="AZ198" s="35"/>
      <c r="BA198" s="35" t="s">
        <v>237</v>
      </c>
      <c r="BB198" s="55"/>
      <c r="BC198" s="35" t="s">
        <v>33</v>
      </c>
      <c r="BD198" s="35"/>
      <c r="BE198" s="35"/>
      <c r="BF198" s="35"/>
      <c r="BG198" s="35"/>
      <c r="BH198" s="35"/>
      <c r="BI198" s="35"/>
      <c r="BJ198" s="35"/>
      <c r="BK198" s="35"/>
      <c r="BL198" s="35"/>
      <c r="BM198" s="35">
        <f t="shared" si="38"/>
        <v>0</v>
      </c>
      <c r="BN198" s="54" t="s">
        <v>347</v>
      </c>
    </row>
    <row r="199" spans="1:74" ht="12" hidden="1">
      <c r="A199" s="64" t="s">
        <v>238</v>
      </c>
      <c r="B199" s="90"/>
      <c r="C199" s="64" t="s">
        <v>239</v>
      </c>
      <c r="D199" s="64"/>
      <c r="E199" s="35">
        <f t="shared" si="31"/>
        <v>0</v>
      </c>
      <c r="F199" s="35"/>
      <c r="G199" s="35"/>
      <c r="H199" s="35"/>
      <c r="I199" s="35"/>
      <c r="J199" s="35"/>
      <c r="K199" s="35">
        <f t="shared" si="32"/>
        <v>0</v>
      </c>
      <c r="L199" s="35"/>
      <c r="M199" s="35">
        <v>0</v>
      </c>
      <c r="N199" s="35"/>
      <c r="O199" s="35"/>
      <c r="P199" s="35"/>
      <c r="Q199" s="35"/>
      <c r="R199" s="35"/>
      <c r="S199" s="35">
        <v>0</v>
      </c>
      <c r="T199" s="35"/>
      <c r="U199" s="35"/>
      <c r="V199" s="35"/>
      <c r="W199" s="35">
        <f t="shared" si="30"/>
        <v>0</v>
      </c>
      <c r="X199" s="64"/>
      <c r="Y199" s="64" t="s">
        <v>238</v>
      </c>
      <c r="Z199" s="90"/>
      <c r="AA199" s="64" t="s">
        <v>239</v>
      </c>
      <c r="AB199" s="64"/>
      <c r="AC199" s="35">
        <v>0</v>
      </c>
      <c r="AD199" s="35"/>
      <c r="AE199" s="35">
        <v>0</v>
      </c>
      <c r="AF199" s="35"/>
      <c r="AG199" s="35">
        <v>0</v>
      </c>
      <c r="AH199" s="35"/>
      <c r="AI199" s="45">
        <f t="shared" si="39"/>
        <v>0</v>
      </c>
      <c r="AJ199" s="45"/>
      <c r="AK199" s="35"/>
      <c r="AL199" s="35"/>
      <c r="AM199" s="35">
        <v>0</v>
      </c>
      <c r="AN199" s="35"/>
      <c r="AO199" s="35">
        <v>0</v>
      </c>
      <c r="AP199" s="35"/>
      <c r="AQ199" s="35">
        <v>0</v>
      </c>
      <c r="AR199" s="35"/>
      <c r="AS199" s="45">
        <f>+AI199+AK199+AM199-AO199+AQ199</f>
        <v>0</v>
      </c>
      <c r="AT199" s="45"/>
      <c r="AU199" s="35">
        <v>0</v>
      </c>
      <c r="AV199" s="35"/>
      <c r="AW199" s="35">
        <v>0</v>
      </c>
      <c r="AX199" s="35"/>
      <c r="AY199" s="35">
        <f t="shared" si="37"/>
        <v>0</v>
      </c>
      <c r="AZ199" s="35"/>
      <c r="BA199" s="64" t="s">
        <v>238</v>
      </c>
      <c r="BB199" s="90"/>
      <c r="BC199" s="64" t="s">
        <v>239</v>
      </c>
      <c r="BD199" s="64"/>
      <c r="BE199" s="35"/>
      <c r="BF199" s="35"/>
      <c r="BG199" s="35"/>
      <c r="BH199" s="35"/>
      <c r="BI199" s="35"/>
      <c r="BJ199" s="35"/>
      <c r="BK199" s="35"/>
      <c r="BL199" s="35"/>
      <c r="BM199" s="35">
        <f t="shared" si="38"/>
        <v>0</v>
      </c>
      <c r="BN199" s="54" t="s">
        <v>347</v>
      </c>
    </row>
    <row r="200" spans="1:74" ht="12">
      <c r="A200" s="35" t="s">
        <v>486</v>
      </c>
      <c r="B200" s="55"/>
      <c r="C200" s="35" t="s">
        <v>249</v>
      </c>
      <c r="D200" s="35"/>
      <c r="E200" s="35">
        <f t="shared" si="31"/>
        <v>1548145</v>
      </c>
      <c r="F200" s="35"/>
      <c r="G200" s="35">
        <v>281189</v>
      </c>
      <c r="H200" s="35"/>
      <c r="I200" s="35">
        <v>1829334</v>
      </c>
      <c r="J200" s="35"/>
      <c r="K200" s="35">
        <f t="shared" si="32"/>
        <v>193970</v>
      </c>
      <c r="L200" s="35"/>
      <c r="M200" s="35">
        <v>5027875</v>
      </c>
      <c r="N200" s="35"/>
      <c r="O200" s="35">
        <v>5221845</v>
      </c>
      <c r="P200" s="35"/>
      <c r="Q200" s="35">
        <v>206160</v>
      </c>
      <c r="R200" s="35"/>
      <c r="S200" s="35">
        <v>0</v>
      </c>
      <c r="T200" s="35"/>
      <c r="U200" s="35">
        <v>-3595671</v>
      </c>
      <c r="V200" s="35"/>
      <c r="W200" s="35">
        <f t="shared" si="30"/>
        <v>-3389511</v>
      </c>
      <c r="X200" s="35"/>
      <c r="Y200" s="35" t="s">
        <v>486</v>
      </c>
      <c r="Z200" s="55"/>
      <c r="AA200" s="35" t="s">
        <v>249</v>
      </c>
      <c r="AB200" s="35"/>
      <c r="AC200" s="35">
        <v>2073537</v>
      </c>
      <c r="AD200" s="35"/>
      <c r="AE200" s="35">
        <f>1765240-53258</f>
        <v>1711982</v>
      </c>
      <c r="AF200" s="35"/>
      <c r="AG200" s="35">
        <v>53258</v>
      </c>
      <c r="AH200" s="35"/>
      <c r="AI200" s="45">
        <f t="shared" si="39"/>
        <v>308297</v>
      </c>
      <c r="AJ200" s="45"/>
      <c r="AK200" s="35">
        <v>12891</v>
      </c>
      <c r="AL200" s="35"/>
      <c r="AM200" s="35">
        <v>0</v>
      </c>
      <c r="AN200" s="35"/>
      <c r="AO200" s="35">
        <v>0</v>
      </c>
      <c r="AP200" s="35"/>
      <c r="AQ200" s="35">
        <v>0</v>
      </c>
      <c r="AR200" s="35"/>
      <c r="AS200" s="45">
        <f t="shared" si="36"/>
        <v>321188</v>
      </c>
      <c r="AT200" s="45"/>
      <c r="AU200" s="35">
        <v>0</v>
      </c>
      <c r="AV200" s="35"/>
      <c r="AW200" s="35">
        <v>0</v>
      </c>
      <c r="AX200" s="35"/>
      <c r="AY200" s="35">
        <f t="shared" si="37"/>
        <v>1354175</v>
      </c>
      <c r="AZ200" s="35"/>
      <c r="BA200" s="35" t="s">
        <v>486</v>
      </c>
      <c r="BB200" s="55"/>
      <c r="BC200" s="35" t="s">
        <v>249</v>
      </c>
      <c r="BD200" s="35"/>
      <c r="BE200" s="35">
        <v>75029</v>
      </c>
      <c r="BF200" s="35"/>
      <c r="BG200" s="35">
        <v>0</v>
      </c>
      <c r="BH200" s="35"/>
      <c r="BI200" s="35">
        <v>0</v>
      </c>
      <c r="BJ200" s="35"/>
      <c r="BK200" s="35">
        <f>4918410</f>
        <v>4918410</v>
      </c>
      <c r="BL200" s="35"/>
      <c r="BM200" s="35">
        <f t="shared" si="38"/>
        <v>4993439</v>
      </c>
      <c r="BN200" s="54"/>
    </row>
    <row r="201" spans="1:74" ht="13.2" hidden="1">
      <c r="A201" s="35" t="s">
        <v>240</v>
      </c>
      <c r="C201" s="35" t="s">
        <v>13</v>
      </c>
      <c r="D201" s="35"/>
      <c r="E201" s="35">
        <f t="shared" si="31"/>
        <v>0</v>
      </c>
      <c r="F201" s="35"/>
      <c r="G201" s="35"/>
      <c r="H201" s="35"/>
      <c r="I201" s="35"/>
      <c r="J201" s="35"/>
      <c r="K201" s="35">
        <f t="shared" si="32"/>
        <v>0</v>
      </c>
      <c r="L201" s="35"/>
      <c r="M201" s="35">
        <v>0</v>
      </c>
      <c r="N201" s="35"/>
      <c r="O201" s="35"/>
      <c r="P201" s="35"/>
      <c r="Q201" s="35"/>
      <c r="R201" s="35"/>
      <c r="S201" s="35">
        <v>0</v>
      </c>
      <c r="T201" s="35"/>
      <c r="U201" s="35"/>
      <c r="V201" s="35"/>
      <c r="W201" s="35">
        <f t="shared" si="30"/>
        <v>0</v>
      </c>
      <c r="X201" s="35"/>
      <c r="Y201" s="35" t="s">
        <v>240</v>
      </c>
      <c r="Z201" s="55"/>
      <c r="AA201" s="35" t="s">
        <v>13</v>
      </c>
      <c r="AB201" s="35"/>
      <c r="AC201" s="35">
        <v>0</v>
      </c>
      <c r="AD201" s="35"/>
      <c r="AE201" s="35">
        <v>0</v>
      </c>
      <c r="AF201" s="35"/>
      <c r="AG201" s="35">
        <v>0</v>
      </c>
      <c r="AH201" s="35"/>
      <c r="AI201" s="45">
        <f t="shared" si="39"/>
        <v>0</v>
      </c>
      <c r="AJ201" s="45"/>
      <c r="AK201" s="35"/>
      <c r="AL201" s="35"/>
      <c r="AM201" s="35">
        <v>0</v>
      </c>
      <c r="AN201" s="35"/>
      <c r="AO201" s="35">
        <v>0</v>
      </c>
      <c r="AP201" s="35"/>
      <c r="AQ201" s="35">
        <v>0</v>
      </c>
      <c r="AR201" s="35"/>
      <c r="AS201" s="45">
        <f t="shared" si="36"/>
        <v>0</v>
      </c>
      <c r="AT201" s="45"/>
      <c r="AU201" s="35">
        <v>0</v>
      </c>
      <c r="AV201" s="35"/>
      <c r="AW201" s="35">
        <v>0</v>
      </c>
      <c r="AX201" s="35"/>
      <c r="AY201" s="35">
        <f t="shared" si="37"/>
        <v>0</v>
      </c>
      <c r="AZ201" s="35"/>
      <c r="BA201" s="35" t="s">
        <v>240</v>
      </c>
      <c r="BB201" s="55"/>
      <c r="BC201" s="35" t="s">
        <v>13</v>
      </c>
      <c r="BD201" s="35"/>
      <c r="BE201" s="35"/>
      <c r="BF201" s="35"/>
      <c r="BG201" s="35"/>
      <c r="BH201" s="35"/>
      <c r="BI201" s="35"/>
      <c r="BJ201" s="35"/>
      <c r="BK201" s="35"/>
      <c r="BL201" s="35"/>
      <c r="BM201" s="35">
        <f t="shared" si="38"/>
        <v>0</v>
      </c>
      <c r="BN201" s="54" t="s">
        <v>347</v>
      </c>
      <c r="BO201" s="35" t="s">
        <v>371</v>
      </c>
      <c r="BP201" s="35"/>
    </row>
    <row r="202" spans="1:74" ht="13.2" hidden="1">
      <c r="A202" s="35" t="s">
        <v>241</v>
      </c>
      <c r="C202" s="35" t="s">
        <v>22</v>
      </c>
      <c r="D202" s="35"/>
      <c r="E202" s="35">
        <f t="shared" si="31"/>
        <v>0</v>
      </c>
      <c r="F202" s="35"/>
      <c r="G202" s="35"/>
      <c r="H202" s="35"/>
      <c r="I202" s="35"/>
      <c r="J202" s="35"/>
      <c r="K202" s="35">
        <f t="shared" si="32"/>
        <v>0</v>
      </c>
      <c r="L202" s="35"/>
      <c r="M202" s="35">
        <v>0</v>
      </c>
      <c r="N202" s="35"/>
      <c r="O202" s="35"/>
      <c r="P202" s="35"/>
      <c r="Q202" s="35"/>
      <c r="R202" s="35"/>
      <c r="S202" s="35">
        <v>0</v>
      </c>
      <c r="T202" s="35"/>
      <c r="U202" s="35"/>
      <c r="V202" s="35"/>
      <c r="W202" s="35">
        <f t="shared" ref="W202:W213" si="40">SUM(Q202:U202)</f>
        <v>0</v>
      </c>
      <c r="X202" s="35"/>
      <c r="Y202" s="35" t="s">
        <v>241</v>
      </c>
      <c r="Z202" s="55"/>
      <c r="AA202" s="35" t="s">
        <v>22</v>
      </c>
      <c r="AB202" s="35"/>
      <c r="AC202" s="35">
        <v>0</v>
      </c>
      <c r="AD202" s="35"/>
      <c r="AE202" s="35">
        <v>0</v>
      </c>
      <c r="AF202" s="35"/>
      <c r="AG202" s="35">
        <v>0</v>
      </c>
      <c r="AH202" s="35"/>
      <c r="AI202" s="45">
        <f t="shared" si="39"/>
        <v>0</v>
      </c>
      <c r="AJ202" s="45"/>
      <c r="AK202" s="35"/>
      <c r="AL202" s="35"/>
      <c r="AM202" s="35">
        <v>0</v>
      </c>
      <c r="AN202" s="35"/>
      <c r="AO202" s="35">
        <v>0</v>
      </c>
      <c r="AP202" s="35"/>
      <c r="AQ202" s="35">
        <v>0</v>
      </c>
      <c r="AR202" s="35"/>
      <c r="AS202" s="45">
        <f t="shared" si="36"/>
        <v>0</v>
      </c>
      <c r="AT202" s="45"/>
      <c r="AU202" s="35">
        <v>0</v>
      </c>
      <c r="AV202" s="35"/>
      <c r="AW202" s="35">
        <v>0</v>
      </c>
      <c r="AX202" s="35"/>
      <c r="AY202" s="35">
        <f t="shared" si="37"/>
        <v>0</v>
      </c>
      <c r="AZ202" s="35"/>
      <c r="BA202" s="35" t="s">
        <v>241</v>
      </c>
      <c r="BB202" s="55"/>
      <c r="BC202" s="35" t="s">
        <v>22</v>
      </c>
      <c r="BD202" s="35"/>
      <c r="BE202" s="35"/>
      <c r="BF202" s="35"/>
      <c r="BG202" s="35"/>
      <c r="BH202" s="35"/>
      <c r="BI202" s="35"/>
      <c r="BJ202" s="35"/>
      <c r="BK202" s="35"/>
      <c r="BL202" s="35"/>
      <c r="BM202" s="35">
        <f t="shared" si="38"/>
        <v>0</v>
      </c>
      <c r="BN202" s="54" t="s">
        <v>347</v>
      </c>
    </row>
    <row r="203" spans="1:74" ht="13.2" hidden="1">
      <c r="A203" s="35" t="s">
        <v>242</v>
      </c>
      <c r="C203" s="35" t="s">
        <v>27</v>
      </c>
      <c r="D203" s="35"/>
      <c r="E203" s="35">
        <f t="shared" ref="E203:E244" si="41">I203-G203</f>
        <v>0</v>
      </c>
      <c r="F203" s="35"/>
      <c r="G203" s="35"/>
      <c r="H203" s="35"/>
      <c r="I203" s="35"/>
      <c r="J203" s="35"/>
      <c r="K203" s="35">
        <f t="shared" ref="K203:K244" si="42">O203-M203</f>
        <v>0</v>
      </c>
      <c r="L203" s="35"/>
      <c r="M203" s="35">
        <v>0</v>
      </c>
      <c r="N203" s="35"/>
      <c r="O203" s="35"/>
      <c r="P203" s="35"/>
      <c r="Q203" s="35"/>
      <c r="R203" s="35"/>
      <c r="S203" s="35">
        <v>0</v>
      </c>
      <c r="T203" s="35"/>
      <c r="U203" s="35"/>
      <c r="V203" s="35"/>
      <c r="W203" s="35">
        <f t="shared" si="40"/>
        <v>0</v>
      </c>
      <c r="X203" s="35"/>
      <c r="Y203" s="35" t="s">
        <v>242</v>
      </c>
      <c r="Z203" s="55"/>
      <c r="AA203" s="35" t="s">
        <v>27</v>
      </c>
      <c r="AB203" s="35"/>
      <c r="AC203" s="35">
        <v>0</v>
      </c>
      <c r="AD203" s="35"/>
      <c r="AE203" s="35">
        <v>0</v>
      </c>
      <c r="AF203" s="35"/>
      <c r="AG203" s="35">
        <v>0</v>
      </c>
      <c r="AH203" s="35"/>
      <c r="AI203" s="45">
        <v>0</v>
      </c>
      <c r="AJ203" s="45"/>
      <c r="AK203" s="35"/>
      <c r="AL203" s="35"/>
      <c r="AM203" s="35">
        <v>0</v>
      </c>
      <c r="AN203" s="35"/>
      <c r="AO203" s="35">
        <v>0</v>
      </c>
      <c r="AP203" s="35"/>
      <c r="AQ203" s="35">
        <v>0</v>
      </c>
      <c r="AR203" s="35"/>
      <c r="AS203" s="45">
        <f t="shared" si="36"/>
        <v>0</v>
      </c>
      <c r="AT203" s="45"/>
      <c r="AU203" s="35">
        <v>0</v>
      </c>
      <c r="AV203" s="35"/>
      <c r="AW203" s="35">
        <v>0</v>
      </c>
      <c r="AX203" s="35"/>
      <c r="AY203" s="35">
        <f t="shared" si="37"/>
        <v>0</v>
      </c>
      <c r="AZ203" s="35"/>
      <c r="BA203" s="35" t="s">
        <v>242</v>
      </c>
      <c r="BB203" s="55"/>
      <c r="BC203" s="35" t="s">
        <v>27</v>
      </c>
      <c r="BD203" s="35"/>
      <c r="BE203" s="35"/>
      <c r="BF203" s="35"/>
      <c r="BG203" s="35"/>
      <c r="BH203" s="35"/>
      <c r="BI203" s="35"/>
      <c r="BJ203" s="35"/>
      <c r="BK203" s="35"/>
      <c r="BL203" s="35"/>
      <c r="BM203" s="35">
        <f t="shared" si="38"/>
        <v>0</v>
      </c>
      <c r="BN203" s="54" t="s">
        <v>347</v>
      </c>
    </row>
    <row r="204" spans="1:74" ht="13.2" hidden="1">
      <c r="A204" s="35" t="s">
        <v>243</v>
      </c>
      <c r="C204" s="35" t="s">
        <v>163</v>
      </c>
      <c r="D204" s="35"/>
      <c r="E204" s="35">
        <f t="shared" si="41"/>
        <v>0</v>
      </c>
      <c r="F204" s="35"/>
      <c r="G204" s="35"/>
      <c r="H204" s="35"/>
      <c r="I204" s="35"/>
      <c r="J204" s="35"/>
      <c r="K204" s="35">
        <f t="shared" si="42"/>
        <v>0</v>
      </c>
      <c r="L204" s="35"/>
      <c r="M204" s="35">
        <v>0</v>
      </c>
      <c r="N204" s="35"/>
      <c r="O204" s="35"/>
      <c r="P204" s="35"/>
      <c r="Q204" s="35"/>
      <c r="R204" s="35"/>
      <c r="S204" s="35">
        <v>0</v>
      </c>
      <c r="T204" s="35"/>
      <c r="U204" s="35"/>
      <c r="V204" s="35"/>
      <c r="W204" s="35">
        <f t="shared" si="40"/>
        <v>0</v>
      </c>
      <c r="X204" s="35"/>
      <c r="Y204" s="35" t="s">
        <v>243</v>
      </c>
      <c r="Z204" s="55"/>
      <c r="AA204" s="35" t="s">
        <v>163</v>
      </c>
      <c r="AB204" s="35"/>
      <c r="AC204" s="35">
        <v>0</v>
      </c>
      <c r="AD204" s="35"/>
      <c r="AE204" s="35">
        <v>0</v>
      </c>
      <c r="AF204" s="35"/>
      <c r="AG204" s="35">
        <v>0</v>
      </c>
      <c r="AH204" s="35"/>
      <c r="AI204" s="45">
        <f t="shared" ref="AI204:AI228" si="43">+AC204-AE204-AG204</f>
        <v>0</v>
      </c>
      <c r="AJ204" s="45"/>
      <c r="AK204" s="35"/>
      <c r="AL204" s="35"/>
      <c r="AM204" s="35">
        <v>0</v>
      </c>
      <c r="AN204" s="35"/>
      <c r="AO204" s="35">
        <v>0</v>
      </c>
      <c r="AP204" s="35"/>
      <c r="AQ204" s="35">
        <v>0</v>
      </c>
      <c r="AR204" s="35"/>
      <c r="AS204" s="45">
        <f t="shared" si="36"/>
        <v>0</v>
      </c>
      <c r="AT204" s="45"/>
      <c r="AU204" s="35">
        <v>0</v>
      </c>
      <c r="AV204" s="35"/>
      <c r="AW204" s="35">
        <v>0</v>
      </c>
      <c r="AX204" s="35"/>
      <c r="AY204" s="35">
        <f t="shared" si="37"/>
        <v>0</v>
      </c>
      <c r="AZ204" s="35"/>
      <c r="BA204" s="35" t="s">
        <v>243</v>
      </c>
      <c r="BB204" s="55"/>
      <c r="BC204" s="35" t="s">
        <v>163</v>
      </c>
      <c r="BD204" s="35"/>
      <c r="BE204" s="35"/>
      <c r="BF204" s="35"/>
      <c r="BG204" s="35"/>
      <c r="BH204" s="35"/>
      <c r="BI204" s="35"/>
      <c r="BJ204" s="35"/>
      <c r="BK204" s="35"/>
      <c r="BL204" s="35"/>
      <c r="BM204" s="35">
        <f t="shared" si="38"/>
        <v>0</v>
      </c>
      <c r="BN204" s="89" t="s">
        <v>347</v>
      </c>
    </row>
    <row r="205" spans="1:74" ht="13.2" hidden="1">
      <c r="A205" s="35" t="s">
        <v>244</v>
      </c>
      <c r="C205" s="35" t="s">
        <v>13</v>
      </c>
      <c r="D205" s="35"/>
      <c r="E205" s="35">
        <f t="shared" si="41"/>
        <v>285763</v>
      </c>
      <c r="F205" s="35"/>
      <c r="G205" s="35">
        <v>3607095</v>
      </c>
      <c r="H205" s="35"/>
      <c r="I205" s="35">
        <v>3892858</v>
      </c>
      <c r="J205" s="35"/>
      <c r="K205" s="35">
        <v>3773</v>
      </c>
      <c r="L205" s="35"/>
      <c r="M205" s="35">
        <v>0</v>
      </c>
      <c r="N205" s="35"/>
      <c r="O205" s="35">
        <v>37730</v>
      </c>
      <c r="P205" s="35"/>
      <c r="Q205" s="35">
        <v>3607095</v>
      </c>
      <c r="R205" s="35"/>
      <c r="S205" s="35">
        <v>0</v>
      </c>
      <c r="T205" s="35"/>
      <c r="U205" s="35">
        <v>281990</v>
      </c>
      <c r="V205" s="35"/>
      <c r="W205" s="35">
        <f t="shared" si="40"/>
        <v>3889085</v>
      </c>
      <c r="X205" s="35"/>
      <c r="Y205" s="35" t="s">
        <v>244</v>
      </c>
      <c r="Z205" s="55"/>
      <c r="AA205" s="35" t="s">
        <v>13</v>
      </c>
      <c r="AB205" s="35"/>
      <c r="AC205" s="35">
        <v>320400</v>
      </c>
      <c r="AD205" s="35"/>
      <c r="AE205" s="35">
        <f>243329-143103</f>
        <v>100226</v>
      </c>
      <c r="AF205" s="35"/>
      <c r="AG205" s="35">
        <v>143103</v>
      </c>
      <c r="AH205" s="35"/>
      <c r="AI205" s="45">
        <f t="shared" si="43"/>
        <v>77071</v>
      </c>
      <c r="AJ205" s="45"/>
      <c r="AK205" s="35">
        <v>0</v>
      </c>
      <c r="AL205" s="35"/>
      <c r="AM205" s="35">
        <v>0</v>
      </c>
      <c r="AN205" s="35"/>
      <c r="AO205" s="35">
        <v>0</v>
      </c>
      <c r="AP205" s="35"/>
      <c r="AQ205" s="35">
        <v>0</v>
      </c>
      <c r="AR205" s="35"/>
      <c r="AS205" s="45">
        <f t="shared" si="36"/>
        <v>77071</v>
      </c>
      <c r="AT205" s="45"/>
      <c r="AU205" s="35">
        <v>0</v>
      </c>
      <c r="AV205" s="35"/>
      <c r="AW205" s="35">
        <v>0</v>
      </c>
      <c r="AX205" s="35"/>
      <c r="AY205" s="35">
        <f t="shared" si="37"/>
        <v>281990</v>
      </c>
      <c r="AZ205" s="35"/>
      <c r="BA205" s="35" t="s">
        <v>244</v>
      </c>
      <c r="BB205" s="55"/>
      <c r="BC205" s="35" t="s">
        <v>13</v>
      </c>
      <c r="BD205" s="35"/>
      <c r="BE205" s="35">
        <v>0</v>
      </c>
      <c r="BF205" s="35"/>
      <c r="BG205" s="35">
        <v>0</v>
      </c>
      <c r="BH205" s="35"/>
      <c r="BI205" s="35">
        <v>0</v>
      </c>
      <c r="BJ205" s="35"/>
      <c r="BK205" s="35">
        <v>0</v>
      </c>
      <c r="BL205" s="35"/>
      <c r="BM205" s="35">
        <f t="shared" si="38"/>
        <v>0</v>
      </c>
      <c r="BN205" s="54" t="s">
        <v>347</v>
      </c>
    </row>
    <row r="206" spans="1:74" ht="13.2" hidden="1">
      <c r="A206" s="35" t="s">
        <v>245</v>
      </c>
      <c r="C206" s="35" t="s">
        <v>110</v>
      </c>
      <c r="D206" s="35"/>
      <c r="E206" s="35">
        <f t="shared" si="41"/>
        <v>0</v>
      </c>
      <c r="F206" s="35"/>
      <c r="G206" s="35"/>
      <c r="H206" s="35"/>
      <c r="I206" s="35"/>
      <c r="J206" s="35"/>
      <c r="K206" s="35">
        <f t="shared" si="42"/>
        <v>0</v>
      </c>
      <c r="L206" s="35"/>
      <c r="M206" s="35">
        <v>0</v>
      </c>
      <c r="N206" s="35"/>
      <c r="O206" s="35"/>
      <c r="P206" s="35"/>
      <c r="Q206" s="35"/>
      <c r="R206" s="35"/>
      <c r="S206" s="35">
        <v>0</v>
      </c>
      <c r="T206" s="35"/>
      <c r="U206" s="35"/>
      <c r="V206" s="35"/>
      <c r="W206" s="35">
        <f t="shared" si="40"/>
        <v>0</v>
      </c>
      <c r="X206" s="35"/>
      <c r="Y206" s="35" t="s">
        <v>245</v>
      </c>
      <c r="Z206" s="55"/>
      <c r="AA206" s="35" t="s">
        <v>110</v>
      </c>
      <c r="AB206" s="35"/>
      <c r="AC206" s="35">
        <v>0</v>
      </c>
      <c r="AD206" s="35"/>
      <c r="AE206" s="35">
        <v>0</v>
      </c>
      <c r="AF206" s="35"/>
      <c r="AG206" s="35">
        <v>0</v>
      </c>
      <c r="AH206" s="35"/>
      <c r="AI206" s="45">
        <f t="shared" si="43"/>
        <v>0</v>
      </c>
      <c r="AJ206" s="45"/>
      <c r="AK206" s="35"/>
      <c r="AL206" s="35"/>
      <c r="AM206" s="35">
        <v>0</v>
      </c>
      <c r="AN206" s="35"/>
      <c r="AO206" s="35">
        <v>0</v>
      </c>
      <c r="AP206" s="35"/>
      <c r="AQ206" s="35">
        <v>0</v>
      </c>
      <c r="AR206" s="35"/>
      <c r="AS206" s="45">
        <f t="shared" si="36"/>
        <v>0</v>
      </c>
      <c r="AT206" s="45"/>
      <c r="AU206" s="35">
        <v>0</v>
      </c>
      <c r="AV206" s="35"/>
      <c r="AW206" s="35">
        <v>0</v>
      </c>
      <c r="AX206" s="35"/>
      <c r="AY206" s="35">
        <f t="shared" si="37"/>
        <v>0</v>
      </c>
      <c r="AZ206" s="35"/>
      <c r="BA206" s="35" t="s">
        <v>245</v>
      </c>
      <c r="BB206" s="55"/>
      <c r="BC206" s="35" t="s">
        <v>110</v>
      </c>
      <c r="BD206" s="35"/>
      <c r="BE206" s="35"/>
      <c r="BF206" s="35"/>
      <c r="BG206" s="35"/>
      <c r="BH206" s="35"/>
      <c r="BI206" s="35"/>
      <c r="BJ206" s="35"/>
      <c r="BK206" s="35"/>
      <c r="BL206" s="35"/>
      <c r="BM206" s="35">
        <f t="shared" si="38"/>
        <v>0</v>
      </c>
      <c r="BN206" s="54" t="s">
        <v>347</v>
      </c>
    </row>
    <row r="207" spans="1:74" ht="13.2">
      <c r="A207" s="35" t="s">
        <v>246</v>
      </c>
      <c r="C207" s="35" t="s">
        <v>209</v>
      </c>
      <c r="D207" s="35"/>
      <c r="E207" s="35">
        <f t="shared" si="41"/>
        <v>95251</v>
      </c>
      <c r="F207" s="35"/>
      <c r="G207" s="35">
        <v>0</v>
      </c>
      <c r="H207" s="35"/>
      <c r="I207" s="35">
        <v>95251</v>
      </c>
      <c r="J207" s="35"/>
      <c r="K207" s="35">
        <f t="shared" si="42"/>
        <v>59045</v>
      </c>
      <c r="L207" s="35"/>
      <c r="M207" s="35">
        <v>0</v>
      </c>
      <c r="N207" s="35"/>
      <c r="O207" s="35">
        <v>59045</v>
      </c>
      <c r="P207" s="35"/>
      <c r="Q207" s="35">
        <v>0</v>
      </c>
      <c r="R207" s="35"/>
      <c r="S207" s="35">
        <v>0</v>
      </c>
      <c r="T207" s="35"/>
      <c r="U207" s="35">
        <v>36206</v>
      </c>
      <c r="V207" s="35"/>
      <c r="W207" s="35">
        <f t="shared" si="40"/>
        <v>36206</v>
      </c>
      <c r="X207" s="35"/>
      <c r="Y207" s="35" t="s">
        <v>246</v>
      </c>
      <c r="Z207" s="55"/>
      <c r="AA207" s="35" t="s">
        <v>209</v>
      </c>
      <c r="AB207" s="35"/>
      <c r="AC207" s="35">
        <v>713082</v>
      </c>
      <c r="AD207" s="35"/>
      <c r="AE207" s="35">
        <f>716728-0</f>
        <v>716728</v>
      </c>
      <c r="AF207" s="35"/>
      <c r="AG207" s="35">
        <v>0</v>
      </c>
      <c r="AH207" s="35"/>
      <c r="AI207" s="45">
        <f t="shared" si="43"/>
        <v>-3646</v>
      </c>
      <c r="AJ207" s="45"/>
      <c r="AK207" s="35">
        <v>0</v>
      </c>
      <c r="AL207" s="35"/>
      <c r="AM207" s="35">
        <v>0</v>
      </c>
      <c r="AN207" s="35"/>
      <c r="AO207" s="35">
        <v>0</v>
      </c>
      <c r="AP207" s="35"/>
      <c r="AQ207" s="35">
        <v>0</v>
      </c>
      <c r="AR207" s="35"/>
      <c r="AS207" s="45">
        <f t="shared" si="36"/>
        <v>-3646</v>
      </c>
      <c r="AT207" s="45"/>
      <c r="AU207" s="35">
        <v>0</v>
      </c>
      <c r="AV207" s="35"/>
      <c r="AW207" s="35">
        <v>0</v>
      </c>
      <c r="AX207" s="35"/>
      <c r="AY207" s="35">
        <f t="shared" si="37"/>
        <v>36206</v>
      </c>
      <c r="AZ207" s="35"/>
      <c r="BA207" s="35" t="s">
        <v>246</v>
      </c>
      <c r="BB207" s="55"/>
      <c r="BC207" s="35" t="s">
        <v>209</v>
      </c>
      <c r="BD207" s="35"/>
      <c r="BE207" s="35">
        <v>0</v>
      </c>
      <c r="BF207" s="35"/>
      <c r="BG207" s="35">
        <v>0</v>
      </c>
      <c r="BH207" s="35"/>
      <c r="BI207" s="35">
        <v>0</v>
      </c>
      <c r="BJ207" s="35"/>
      <c r="BK207" s="35">
        <v>0</v>
      </c>
      <c r="BL207" s="35"/>
      <c r="BM207" s="35">
        <v>0</v>
      </c>
      <c r="BN207" s="54" t="s">
        <v>347</v>
      </c>
      <c r="BO207" s="55" t="s">
        <v>315</v>
      </c>
    </row>
    <row r="208" spans="1:74" ht="12" hidden="1">
      <c r="A208" s="35" t="s">
        <v>247</v>
      </c>
      <c r="B208" s="55"/>
      <c r="C208" s="35" t="s">
        <v>163</v>
      </c>
      <c r="D208" s="35"/>
      <c r="E208" s="35">
        <f t="shared" si="41"/>
        <v>0</v>
      </c>
      <c r="F208" s="35"/>
      <c r="G208" s="35"/>
      <c r="H208" s="35"/>
      <c r="I208" s="35"/>
      <c r="J208" s="35"/>
      <c r="K208" s="35">
        <f t="shared" si="42"/>
        <v>0</v>
      </c>
      <c r="L208" s="35"/>
      <c r="M208" s="35">
        <v>0</v>
      </c>
      <c r="N208" s="35"/>
      <c r="O208" s="35"/>
      <c r="P208" s="35"/>
      <c r="Q208" s="35"/>
      <c r="R208" s="35"/>
      <c r="S208" s="35">
        <v>0</v>
      </c>
      <c r="T208" s="35"/>
      <c r="U208" s="35"/>
      <c r="V208" s="35"/>
      <c r="W208" s="35">
        <f t="shared" si="40"/>
        <v>0</v>
      </c>
      <c r="X208" s="35"/>
      <c r="Y208" s="35" t="s">
        <v>247</v>
      </c>
      <c r="Z208" s="55"/>
      <c r="AA208" s="35" t="s">
        <v>163</v>
      </c>
      <c r="AB208" s="35"/>
      <c r="AC208" s="35">
        <v>0</v>
      </c>
      <c r="AD208" s="35"/>
      <c r="AE208" s="35">
        <v>0</v>
      </c>
      <c r="AF208" s="35"/>
      <c r="AG208" s="35">
        <v>0</v>
      </c>
      <c r="AH208" s="35"/>
      <c r="AI208" s="45">
        <f t="shared" si="43"/>
        <v>0</v>
      </c>
      <c r="AJ208" s="45"/>
      <c r="AK208" s="35"/>
      <c r="AL208" s="35"/>
      <c r="AM208" s="35">
        <v>0</v>
      </c>
      <c r="AN208" s="35"/>
      <c r="AO208" s="35">
        <v>0</v>
      </c>
      <c r="AP208" s="35"/>
      <c r="AQ208" s="35">
        <v>0</v>
      </c>
      <c r="AR208" s="35"/>
      <c r="AS208" s="45">
        <f t="shared" si="36"/>
        <v>0</v>
      </c>
      <c r="AT208" s="45"/>
      <c r="AU208" s="35">
        <v>0</v>
      </c>
      <c r="AV208" s="35"/>
      <c r="AW208" s="35">
        <v>0</v>
      </c>
      <c r="AX208" s="35"/>
      <c r="AY208" s="35">
        <f t="shared" si="37"/>
        <v>0</v>
      </c>
      <c r="AZ208" s="35"/>
      <c r="BA208" s="35" t="s">
        <v>247</v>
      </c>
      <c r="BB208" s="55"/>
      <c r="BC208" s="35" t="s">
        <v>163</v>
      </c>
      <c r="BD208" s="35"/>
      <c r="BE208" s="35"/>
      <c r="BF208" s="35"/>
      <c r="BG208" s="35"/>
      <c r="BH208" s="35"/>
      <c r="BI208" s="35"/>
      <c r="BJ208" s="35"/>
      <c r="BK208" s="35"/>
      <c r="BL208" s="35"/>
      <c r="BM208" s="35">
        <f t="shared" si="38"/>
        <v>0</v>
      </c>
      <c r="BN208" s="54" t="s">
        <v>347</v>
      </c>
    </row>
    <row r="209" spans="1:66" ht="12">
      <c r="A209" s="35" t="s">
        <v>248</v>
      </c>
      <c r="B209" s="55"/>
      <c r="C209" s="35" t="s">
        <v>249</v>
      </c>
      <c r="D209" s="35"/>
      <c r="E209" s="35">
        <v>203338</v>
      </c>
      <c r="F209" s="35"/>
      <c r="G209" s="35">
        <v>36420</v>
      </c>
      <c r="H209" s="35"/>
      <c r="I209" s="35">
        <v>239758</v>
      </c>
      <c r="J209" s="35"/>
      <c r="K209" s="35">
        <v>19696</v>
      </c>
      <c r="L209" s="35"/>
      <c r="M209" s="35">
        <v>16479</v>
      </c>
      <c r="N209" s="35"/>
      <c r="O209" s="35">
        <v>36175</v>
      </c>
      <c r="P209" s="35"/>
      <c r="Q209" s="35">
        <v>36420</v>
      </c>
      <c r="R209" s="35"/>
      <c r="S209" s="35">
        <v>0</v>
      </c>
      <c r="T209" s="35"/>
      <c r="U209" s="35">
        <v>167163</v>
      </c>
      <c r="V209" s="35"/>
      <c r="W209" s="35">
        <f t="shared" si="40"/>
        <v>203583</v>
      </c>
      <c r="X209" s="35"/>
      <c r="Y209" s="35" t="s">
        <v>248</v>
      </c>
      <c r="Z209" s="55"/>
      <c r="AA209" s="35" t="s">
        <v>249</v>
      </c>
      <c r="AB209" s="35"/>
      <c r="AC209" s="35">
        <v>378260</v>
      </c>
      <c r="AD209" s="35"/>
      <c r="AE209" s="35">
        <f>461491-9711</f>
        <v>451780</v>
      </c>
      <c r="AF209" s="35"/>
      <c r="AG209" s="35">
        <v>9711</v>
      </c>
      <c r="AH209" s="35"/>
      <c r="AI209" s="45">
        <f t="shared" si="43"/>
        <v>-83231</v>
      </c>
      <c r="AJ209" s="45"/>
      <c r="AK209" s="35">
        <v>0</v>
      </c>
      <c r="AL209" s="35"/>
      <c r="AM209" s="35">
        <v>96250</v>
      </c>
      <c r="AN209" s="35"/>
      <c r="AO209" s="35">
        <v>0</v>
      </c>
      <c r="AP209" s="35"/>
      <c r="AQ209" s="35">
        <v>0</v>
      </c>
      <c r="AR209" s="35"/>
      <c r="AS209" s="45">
        <f t="shared" si="36"/>
        <v>13019</v>
      </c>
      <c r="AT209" s="45"/>
      <c r="AU209" s="35">
        <v>0</v>
      </c>
      <c r="AV209" s="35"/>
      <c r="AW209" s="35">
        <v>0</v>
      </c>
      <c r="AX209" s="35"/>
      <c r="AY209" s="35">
        <f t="shared" si="37"/>
        <v>183642</v>
      </c>
      <c r="AZ209" s="35"/>
      <c r="BA209" s="35" t="s">
        <v>248</v>
      </c>
      <c r="BB209" s="55"/>
      <c r="BC209" s="35" t="s">
        <v>249</v>
      </c>
      <c r="BD209" s="35"/>
      <c r="BE209" s="35">
        <v>0</v>
      </c>
      <c r="BF209" s="35"/>
      <c r="BG209" s="35">
        <v>0</v>
      </c>
      <c r="BH209" s="35"/>
      <c r="BI209" s="35">
        <v>0</v>
      </c>
      <c r="BJ209" s="35"/>
      <c r="BK209" s="35">
        <v>0</v>
      </c>
      <c r="BL209" s="35"/>
      <c r="BM209" s="35">
        <f t="shared" si="38"/>
        <v>0</v>
      </c>
      <c r="BN209" s="54"/>
    </row>
    <row r="210" spans="1:66" ht="13.2">
      <c r="A210" s="35" t="s">
        <v>250</v>
      </c>
      <c r="C210" s="35" t="s">
        <v>103</v>
      </c>
      <c r="D210" s="35"/>
      <c r="E210" s="35">
        <f t="shared" si="41"/>
        <v>289213</v>
      </c>
      <c r="F210" s="35"/>
      <c r="G210" s="35">
        <v>4169</v>
      </c>
      <c r="H210" s="35"/>
      <c r="I210" s="35">
        <v>293382</v>
      </c>
      <c r="J210" s="35"/>
      <c r="K210" s="35">
        <f t="shared" si="42"/>
        <v>67073</v>
      </c>
      <c r="L210" s="35"/>
      <c r="M210" s="35">
        <v>22854</v>
      </c>
      <c r="N210" s="35"/>
      <c r="O210" s="35">
        <v>89927</v>
      </c>
      <c r="P210" s="35"/>
      <c r="Q210" s="35">
        <v>-9000</v>
      </c>
      <c r="R210" s="35"/>
      <c r="S210" s="35">
        <v>0</v>
      </c>
      <c r="T210" s="35"/>
      <c r="U210" s="35">
        <v>212455</v>
      </c>
      <c r="V210" s="35"/>
      <c r="W210" s="35">
        <f t="shared" si="40"/>
        <v>203455</v>
      </c>
      <c r="X210" s="35"/>
      <c r="Y210" s="35" t="s">
        <v>250</v>
      </c>
      <c r="Z210" s="55"/>
      <c r="AA210" s="35" t="s">
        <v>103</v>
      </c>
      <c r="AB210" s="35"/>
      <c r="AC210" s="35">
        <v>917892</v>
      </c>
      <c r="AD210" s="35"/>
      <c r="AE210" s="35">
        <f>853738-833</f>
        <v>852905</v>
      </c>
      <c r="AF210" s="35"/>
      <c r="AG210" s="35">
        <v>833</v>
      </c>
      <c r="AH210" s="35"/>
      <c r="AI210" s="45">
        <f t="shared" si="43"/>
        <v>64154</v>
      </c>
      <c r="AJ210" s="45"/>
      <c r="AK210" s="35">
        <v>0</v>
      </c>
      <c r="AL210" s="35"/>
      <c r="AM210" s="35">
        <v>0</v>
      </c>
      <c r="AN210" s="35"/>
      <c r="AO210" s="35">
        <v>5000</v>
      </c>
      <c r="AP210" s="35"/>
      <c r="AQ210" s="35">
        <v>0</v>
      </c>
      <c r="AR210" s="35"/>
      <c r="AS210" s="45">
        <f t="shared" si="36"/>
        <v>59154</v>
      </c>
      <c r="AT210" s="45"/>
      <c r="AU210" s="35">
        <v>0</v>
      </c>
      <c r="AV210" s="35"/>
      <c r="AW210" s="35">
        <v>0</v>
      </c>
      <c r="AX210" s="35"/>
      <c r="AY210" s="35">
        <f t="shared" si="37"/>
        <v>222140</v>
      </c>
      <c r="AZ210" s="35"/>
      <c r="BA210" s="35" t="s">
        <v>250</v>
      </c>
      <c r="BB210" s="55"/>
      <c r="BC210" s="35" t="s">
        <v>103</v>
      </c>
      <c r="BD210" s="35"/>
      <c r="BE210" s="35">
        <v>0</v>
      </c>
      <c r="BF210" s="35"/>
      <c r="BG210" s="35">
        <v>0</v>
      </c>
      <c r="BH210" s="35"/>
      <c r="BI210" s="35">
        <v>0</v>
      </c>
      <c r="BJ210" s="35"/>
      <c r="BK210" s="35">
        <v>0</v>
      </c>
      <c r="BL210" s="35"/>
      <c r="BM210" s="35">
        <f t="shared" si="38"/>
        <v>0</v>
      </c>
      <c r="BN210" s="54" t="s">
        <v>347</v>
      </c>
    </row>
    <row r="211" spans="1:66" ht="13.2">
      <c r="A211" s="35" t="s">
        <v>251</v>
      </c>
      <c r="C211" s="35" t="s">
        <v>66</v>
      </c>
      <c r="D211" s="35"/>
      <c r="E211" s="35">
        <f t="shared" si="41"/>
        <v>940682</v>
      </c>
      <c r="F211" s="35"/>
      <c r="G211" s="35">
        <v>0</v>
      </c>
      <c r="H211" s="35"/>
      <c r="I211" s="35">
        <v>940682</v>
      </c>
      <c r="J211" s="35"/>
      <c r="K211" s="35">
        <f t="shared" si="42"/>
        <v>441604</v>
      </c>
      <c r="L211" s="35"/>
      <c r="M211" s="35">
        <v>2332</v>
      </c>
      <c r="N211" s="35"/>
      <c r="O211" s="35">
        <v>443936</v>
      </c>
      <c r="P211" s="35"/>
      <c r="Q211" s="35">
        <v>0</v>
      </c>
      <c r="R211" s="35"/>
      <c r="S211" s="35">
        <v>0</v>
      </c>
      <c r="T211" s="35"/>
      <c r="U211" s="35">
        <v>496746</v>
      </c>
      <c r="V211" s="35"/>
      <c r="W211" s="35">
        <f t="shared" si="40"/>
        <v>496746</v>
      </c>
      <c r="X211" s="35"/>
      <c r="Y211" s="35" t="s">
        <v>251</v>
      </c>
      <c r="Z211" s="55"/>
      <c r="AA211" s="35" t="s">
        <v>66</v>
      </c>
      <c r="AB211" s="35"/>
      <c r="AC211" s="35">
        <v>1474799</v>
      </c>
      <c r="AD211" s="35"/>
      <c r="AE211" s="35">
        <f>1448058-0</f>
        <v>1448058</v>
      </c>
      <c r="AF211" s="35"/>
      <c r="AG211" s="35">
        <v>0</v>
      </c>
      <c r="AH211" s="35"/>
      <c r="AI211" s="45">
        <f t="shared" si="43"/>
        <v>26741</v>
      </c>
      <c r="AJ211" s="45"/>
      <c r="AK211" s="35">
        <v>131</v>
      </c>
      <c r="AL211" s="35"/>
      <c r="AM211" s="35">
        <v>0</v>
      </c>
      <c r="AN211" s="35"/>
      <c r="AO211" s="35">
        <v>0</v>
      </c>
      <c r="AP211" s="35"/>
      <c r="AQ211" s="35">
        <v>0</v>
      </c>
      <c r="AR211" s="35"/>
      <c r="AS211" s="45">
        <f t="shared" si="36"/>
        <v>26872</v>
      </c>
      <c r="AT211" s="45"/>
      <c r="AU211" s="35">
        <v>0</v>
      </c>
      <c r="AV211" s="35"/>
      <c r="AW211" s="35">
        <v>0</v>
      </c>
      <c r="AX211" s="35"/>
      <c r="AY211" s="35">
        <f t="shared" si="37"/>
        <v>499078</v>
      </c>
      <c r="AZ211" s="35"/>
      <c r="BA211" s="35" t="s">
        <v>251</v>
      </c>
      <c r="BB211" s="55"/>
      <c r="BC211" s="35" t="s">
        <v>66</v>
      </c>
      <c r="BD211" s="35"/>
      <c r="BE211" s="35">
        <v>0</v>
      </c>
      <c r="BF211" s="35"/>
      <c r="BG211" s="35">
        <v>0</v>
      </c>
      <c r="BH211" s="35"/>
      <c r="BI211" s="35">
        <v>0</v>
      </c>
      <c r="BJ211" s="35"/>
      <c r="BK211" s="35">
        <v>0</v>
      </c>
      <c r="BL211" s="35"/>
      <c r="BM211" s="35">
        <f t="shared" si="38"/>
        <v>0</v>
      </c>
      <c r="BN211" s="54" t="s">
        <v>347</v>
      </c>
    </row>
    <row r="212" spans="1:66" ht="13.2" hidden="1">
      <c r="A212" s="35" t="s">
        <v>252</v>
      </c>
      <c r="C212" s="35" t="s">
        <v>209</v>
      </c>
      <c r="D212" s="35"/>
      <c r="E212" s="35">
        <f t="shared" si="41"/>
        <v>0</v>
      </c>
      <c r="F212" s="35"/>
      <c r="G212" s="35"/>
      <c r="H212" s="35"/>
      <c r="I212" s="35"/>
      <c r="J212" s="35"/>
      <c r="K212" s="35">
        <f t="shared" si="42"/>
        <v>0</v>
      </c>
      <c r="L212" s="35"/>
      <c r="M212" s="35">
        <v>0</v>
      </c>
      <c r="N212" s="35"/>
      <c r="O212" s="35"/>
      <c r="P212" s="35"/>
      <c r="Q212" s="35"/>
      <c r="R212" s="35"/>
      <c r="S212" s="35">
        <v>0</v>
      </c>
      <c r="T212" s="35"/>
      <c r="U212" s="35"/>
      <c r="V212" s="35"/>
      <c r="W212" s="35">
        <f t="shared" si="40"/>
        <v>0</v>
      </c>
      <c r="X212" s="35"/>
      <c r="Y212" s="35" t="s">
        <v>252</v>
      </c>
      <c r="Z212" s="55"/>
      <c r="AA212" s="35" t="s">
        <v>209</v>
      </c>
      <c r="AB212" s="35"/>
      <c r="AC212" s="35">
        <v>0</v>
      </c>
      <c r="AD212" s="35"/>
      <c r="AE212" s="35">
        <v>0</v>
      </c>
      <c r="AF212" s="35"/>
      <c r="AG212" s="35">
        <v>0</v>
      </c>
      <c r="AH212" s="35"/>
      <c r="AI212" s="45">
        <f t="shared" si="43"/>
        <v>0</v>
      </c>
      <c r="AJ212" s="45"/>
      <c r="AK212" s="35"/>
      <c r="AL212" s="35"/>
      <c r="AM212" s="35">
        <v>0</v>
      </c>
      <c r="AN212" s="35"/>
      <c r="AO212" s="35">
        <v>0</v>
      </c>
      <c r="AP212" s="35"/>
      <c r="AQ212" s="35">
        <v>0</v>
      </c>
      <c r="AR212" s="35"/>
      <c r="AS212" s="45">
        <f t="shared" si="36"/>
        <v>0</v>
      </c>
      <c r="AT212" s="45"/>
      <c r="AU212" s="35">
        <v>0</v>
      </c>
      <c r="AV212" s="35"/>
      <c r="AW212" s="35">
        <v>0</v>
      </c>
      <c r="AX212" s="35"/>
      <c r="AY212" s="35">
        <f t="shared" si="37"/>
        <v>0</v>
      </c>
      <c r="AZ212" s="35"/>
      <c r="BA212" s="35" t="s">
        <v>252</v>
      </c>
      <c r="BB212" s="55"/>
      <c r="BC212" s="35" t="s">
        <v>209</v>
      </c>
      <c r="BD212" s="35"/>
      <c r="BE212" s="35"/>
      <c r="BF212" s="35"/>
      <c r="BG212" s="35"/>
      <c r="BH212" s="35"/>
      <c r="BI212" s="35"/>
      <c r="BJ212" s="35"/>
      <c r="BK212" s="35"/>
      <c r="BL212" s="35"/>
      <c r="BM212" s="35">
        <f t="shared" si="38"/>
        <v>0</v>
      </c>
      <c r="BN212" s="54" t="s">
        <v>347</v>
      </c>
    </row>
    <row r="213" spans="1:66" ht="13.2" hidden="1">
      <c r="A213" s="35" t="s">
        <v>253</v>
      </c>
      <c r="C213" s="35" t="s">
        <v>13</v>
      </c>
      <c r="D213" s="35"/>
      <c r="E213" s="35">
        <f t="shared" si="41"/>
        <v>0</v>
      </c>
      <c r="F213" s="35"/>
      <c r="G213" s="35"/>
      <c r="H213" s="35"/>
      <c r="I213" s="35"/>
      <c r="J213" s="35"/>
      <c r="K213" s="35">
        <f t="shared" si="42"/>
        <v>0</v>
      </c>
      <c r="L213" s="35"/>
      <c r="M213" s="35">
        <v>0</v>
      </c>
      <c r="N213" s="35"/>
      <c r="O213" s="35"/>
      <c r="P213" s="35"/>
      <c r="Q213" s="35"/>
      <c r="R213" s="35"/>
      <c r="S213" s="35">
        <v>0</v>
      </c>
      <c r="T213" s="35"/>
      <c r="U213" s="35"/>
      <c r="V213" s="35"/>
      <c r="W213" s="35">
        <f t="shared" si="40"/>
        <v>0</v>
      </c>
      <c r="X213" s="35"/>
      <c r="Y213" s="35" t="s">
        <v>253</v>
      </c>
      <c r="Z213" s="55"/>
      <c r="AA213" s="35" t="s">
        <v>13</v>
      </c>
      <c r="AB213" s="35"/>
      <c r="AC213" s="35">
        <v>0</v>
      </c>
      <c r="AD213" s="35"/>
      <c r="AE213" s="35">
        <v>0</v>
      </c>
      <c r="AF213" s="35"/>
      <c r="AG213" s="35">
        <v>0</v>
      </c>
      <c r="AH213" s="35"/>
      <c r="AI213" s="45">
        <f t="shared" si="43"/>
        <v>0</v>
      </c>
      <c r="AJ213" s="45"/>
      <c r="AK213" s="35"/>
      <c r="AL213" s="35"/>
      <c r="AM213" s="35">
        <v>0</v>
      </c>
      <c r="AN213" s="35"/>
      <c r="AO213" s="35">
        <v>0</v>
      </c>
      <c r="AP213" s="35"/>
      <c r="AQ213" s="35">
        <v>0</v>
      </c>
      <c r="AR213" s="35"/>
      <c r="AS213" s="45">
        <f t="shared" si="36"/>
        <v>0</v>
      </c>
      <c r="AT213" s="45"/>
      <c r="AU213" s="35">
        <v>0</v>
      </c>
      <c r="AV213" s="35"/>
      <c r="AW213" s="35">
        <v>0</v>
      </c>
      <c r="AX213" s="35"/>
      <c r="AY213" s="35">
        <f t="shared" si="37"/>
        <v>0</v>
      </c>
      <c r="AZ213" s="35"/>
      <c r="BA213" s="35" t="s">
        <v>253</v>
      </c>
      <c r="BB213" s="55"/>
      <c r="BC213" s="35" t="s">
        <v>13</v>
      </c>
      <c r="BD213" s="35"/>
      <c r="BE213" s="35"/>
      <c r="BF213" s="35"/>
      <c r="BG213" s="35"/>
      <c r="BH213" s="35"/>
      <c r="BI213" s="35"/>
      <c r="BJ213" s="35"/>
      <c r="BK213" s="35"/>
      <c r="BL213" s="35"/>
      <c r="BM213" s="35">
        <f t="shared" si="38"/>
        <v>0</v>
      </c>
      <c r="BN213" s="54" t="s">
        <v>347</v>
      </c>
    </row>
    <row r="214" spans="1:66" ht="13.2" hidden="1">
      <c r="A214" s="35" t="s">
        <v>254</v>
      </c>
      <c r="C214" s="35" t="s">
        <v>89</v>
      </c>
      <c r="D214" s="35"/>
      <c r="E214" s="35">
        <f t="shared" si="41"/>
        <v>0</v>
      </c>
      <c r="F214" s="35"/>
      <c r="G214" s="35"/>
      <c r="H214" s="35"/>
      <c r="I214" s="35"/>
      <c r="J214" s="35"/>
      <c r="K214" s="35">
        <f t="shared" si="42"/>
        <v>0</v>
      </c>
      <c r="L214" s="35"/>
      <c r="M214" s="35">
        <v>0</v>
      </c>
      <c r="N214" s="35"/>
      <c r="O214" s="35"/>
      <c r="P214" s="35"/>
      <c r="Q214" s="35"/>
      <c r="R214" s="35"/>
      <c r="S214" s="35">
        <v>0</v>
      </c>
      <c r="T214" s="35"/>
      <c r="U214" s="35"/>
      <c r="V214" s="35"/>
      <c r="W214" s="35">
        <v>0</v>
      </c>
      <c r="X214" s="35"/>
      <c r="Y214" s="35" t="s">
        <v>254</v>
      </c>
      <c r="Z214" s="55"/>
      <c r="AA214" s="35" t="s">
        <v>89</v>
      </c>
      <c r="AB214" s="35"/>
      <c r="AC214" s="35">
        <v>0</v>
      </c>
      <c r="AD214" s="35"/>
      <c r="AE214" s="35">
        <v>0</v>
      </c>
      <c r="AF214" s="35"/>
      <c r="AG214" s="35">
        <v>0</v>
      </c>
      <c r="AH214" s="35"/>
      <c r="AI214" s="45">
        <f t="shared" si="43"/>
        <v>0</v>
      </c>
      <c r="AJ214" s="45"/>
      <c r="AK214" s="35"/>
      <c r="AL214" s="35"/>
      <c r="AM214" s="35">
        <v>0</v>
      </c>
      <c r="AN214" s="35"/>
      <c r="AO214" s="35">
        <v>0</v>
      </c>
      <c r="AP214" s="35"/>
      <c r="AQ214" s="35">
        <v>0</v>
      </c>
      <c r="AR214" s="35"/>
      <c r="AS214" s="45">
        <f t="shared" si="36"/>
        <v>0</v>
      </c>
      <c r="AT214" s="45"/>
      <c r="AU214" s="35">
        <v>0</v>
      </c>
      <c r="AV214" s="35"/>
      <c r="AW214" s="35">
        <v>0</v>
      </c>
      <c r="AX214" s="35"/>
      <c r="AY214" s="35">
        <f t="shared" si="37"/>
        <v>0</v>
      </c>
      <c r="AZ214" s="35"/>
      <c r="BA214" s="35" t="s">
        <v>254</v>
      </c>
      <c r="BB214" s="55"/>
      <c r="BC214" s="35" t="s">
        <v>89</v>
      </c>
      <c r="BD214" s="35"/>
      <c r="BE214" s="35"/>
      <c r="BF214" s="35"/>
      <c r="BG214" s="35"/>
      <c r="BH214" s="35"/>
      <c r="BI214" s="35"/>
      <c r="BJ214" s="35"/>
      <c r="BK214" s="35"/>
      <c r="BL214" s="35"/>
      <c r="BM214" s="35">
        <f t="shared" si="38"/>
        <v>0</v>
      </c>
      <c r="BN214" s="54" t="s">
        <v>347</v>
      </c>
    </row>
    <row r="215" spans="1:66" ht="13.2" hidden="1">
      <c r="A215" s="35" t="s">
        <v>159</v>
      </c>
      <c r="C215" s="35" t="s">
        <v>66</v>
      </c>
      <c r="D215" s="35"/>
      <c r="E215" s="35">
        <f t="shared" si="41"/>
        <v>0</v>
      </c>
      <c r="F215" s="35"/>
      <c r="G215" s="35"/>
      <c r="H215" s="35"/>
      <c r="I215" s="35"/>
      <c r="J215" s="35"/>
      <c r="K215" s="35">
        <f t="shared" si="42"/>
        <v>0</v>
      </c>
      <c r="L215" s="35"/>
      <c r="M215" s="35">
        <v>0</v>
      </c>
      <c r="N215" s="35"/>
      <c r="O215" s="35"/>
      <c r="P215" s="35"/>
      <c r="Q215" s="35"/>
      <c r="R215" s="35"/>
      <c r="S215" s="35">
        <v>0</v>
      </c>
      <c r="T215" s="35"/>
      <c r="U215" s="35"/>
      <c r="V215" s="35"/>
      <c r="W215" s="35">
        <f t="shared" ref="W215:W227" si="44">SUM(Q215:U215)</f>
        <v>0</v>
      </c>
      <c r="X215" s="35"/>
      <c r="Y215" s="35" t="s">
        <v>159</v>
      </c>
      <c r="Z215" s="55"/>
      <c r="AA215" s="35" t="s">
        <v>66</v>
      </c>
      <c r="AB215" s="35"/>
      <c r="AC215" s="35">
        <v>0</v>
      </c>
      <c r="AD215" s="35"/>
      <c r="AE215" s="35">
        <v>0</v>
      </c>
      <c r="AF215" s="35"/>
      <c r="AG215" s="35">
        <v>0</v>
      </c>
      <c r="AH215" s="35"/>
      <c r="AI215" s="45">
        <f t="shared" si="43"/>
        <v>0</v>
      </c>
      <c r="AJ215" s="45"/>
      <c r="AK215" s="35"/>
      <c r="AL215" s="35"/>
      <c r="AM215" s="35">
        <v>0</v>
      </c>
      <c r="AN215" s="35"/>
      <c r="AO215" s="35">
        <v>0</v>
      </c>
      <c r="AP215" s="35"/>
      <c r="AQ215" s="35">
        <v>0</v>
      </c>
      <c r="AR215" s="35"/>
      <c r="AS215" s="45">
        <f t="shared" si="36"/>
        <v>0</v>
      </c>
      <c r="AT215" s="45"/>
      <c r="AU215" s="35">
        <v>0</v>
      </c>
      <c r="AV215" s="35"/>
      <c r="AW215" s="35">
        <v>0</v>
      </c>
      <c r="AX215" s="35"/>
      <c r="AY215" s="35">
        <f t="shared" si="37"/>
        <v>0</v>
      </c>
      <c r="AZ215" s="35"/>
      <c r="BA215" s="35" t="s">
        <v>159</v>
      </c>
      <c r="BB215" s="55"/>
      <c r="BC215" s="35" t="s">
        <v>66</v>
      </c>
      <c r="BD215" s="35"/>
      <c r="BE215" s="35"/>
      <c r="BF215" s="35"/>
      <c r="BG215" s="35"/>
      <c r="BH215" s="35"/>
      <c r="BI215" s="35"/>
      <c r="BJ215" s="35"/>
      <c r="BK215" s="35"/>
      <c r="BL215" s="35"/>
      <c r="BM215" s="35">
        <f t="shared" si="38"/>
        <v>0</v>
      </c>
      <c r="BN215" s="54" t="s">
        <v>347</v>
      </c>
    </row>
    <row r="216" spans="1:66" ht="13.2" hidden="1">
      <c r="A216" s="35" t="s">
        <v>255</v>
      </c>
      <c r="C216" s="35" t="s">
        <v>27</v>
      </c>
      <c r="D216" s="35"/>
      <c r="E216" s="35">
        <f t="shared" si="41"/>
        <v>0</v>
      </c>
      <c r="F216" s="35"/>
      <c r="G216" s="35"/>
      <c r="H216" s="35"/>
      <c r="I216" s="35"/>
      <c r="J216" s="35"/>
      <c r="K216" s="35">
        <f t="shared" si="42"/>
        <v>0</v>
      </c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>
        <f t="shared" si="44"/>
        <v>0</v>
      </c>
      <c r="X216" s="35"/>
      <c r="Y216" s="35" t="s">
        <v>255</v>
      </c>
      <c r="Z216" s="55"/>
      <c r="AA216" s="35" t="s">
        <v>27</v>
      </c>
      <c r="AB216" s="35"/>
      <c r="AC216" s="35"/>
      <c r="AD216" s="35"/>
      <c r="AE216" s="35"/>
      <c r="AF216" s="35"/>
      <c r="AG216" s="35"/>
      <c r="AH216" s="35"/>
      <c r="AI216" s="45">
        <f t="shared" si="43"/>
        <v>0</v>
      </c>
      <c r="AJ216" s="45"/>
      <c r="AK216" s="35"/>
      <c r="AL216" s="35"/>
      <c r="AM216" s="35"/>
      <c r="AN216" s="35"/>
      <c r="AO216" s="35"/>
      <c r="AP216" s="35"/>
      <c r="AQ216" s="35"/>
      <c r="AR216" s="35"/>
      <c r="AS216" s="45">
        <f t="shared" si="36"/>
        <v>0</v>
      </c>
      <c r="AT216" s="45"/>
      <c r="AU216" s="35">
        <v>0</v>
      </c>
      <c r="AV216" s="35"/>
      <c r="AW216" s="35">
        <v>0</v>
      </c>
      <c r="AX216" s="35"/>
      <c r="AY216" s="35">
        <f t="shared" si="37"/>
        <v>0</v>
      </c>
      <c r="AZ216" s="35"/>
      <c r="BA216" s="35" t="s">
        <v>255</v>
      </c>
      <c r="BB216" s="55"/>
      <c r="BC216" s="35" t="s">
        <v>27</v>
      </c>
      <c r="BD216" s="35"/>
      <c r="BE216" s="35"/>
      <c r="BF216" s="35"/>
      <c r="BG216" s="35"/>
      <c r="BH216" s="35"/>
      <c r="BI216" s="35"/>
      <c r="BJ216" s="35"/>
      <c r="BK216" s="35"/>
      <c r="BL216" s="35"/>
      <c r="BM216" s="35">
        <f t="shared" si="38"/>
        <v>0</v>
      </c>
      <c r="BN216" s="54" t="s">
        <v>347</v>
      </c>
    </row>
    <row r="217" spans="1:66" ht="13.2">
      <c r="A217" s="35" t="s">
        <v>256</v>
      </c>
      <c r="C217" s="35" t="s">
        <v>43</v>
      </c>
      <c r="D217" s="35"/>
      <c r="E217" s="35">
        <f t="shared" si="41"/>
        <v>235106</v>
      </c>
      <c r="F217" s="35"/>
      <c r="G217" s="35">
        <v>59257</v>
      </c>
      <c r="H217" s="35"/>
      <c r="I217" s="35">
        <v>294363</v>
      </c>
      <c r="J217" s="35"/>
      <c r="K217" s="35">
        <f t="shared" si="42"/>
        <v>203128</v>
      </c>
      <c r="L217" s="35"/>
      <c r="M217" s="35">
        <v>0</v>
      </c>
      <c r="N217" s="35"/>
      <c r="O217" s="35">
        <v>203128</v>
      </c>
      <c r="P217" s="35"/>
      <c r="Q217" s="35">
        <v>59257</v>
      </c>
      <c r="R217" s="35"/>
      <c r="S217" s="35">
        <v>0</v>
      </c>
      <c r="T217" s="35"/>
      <c r="U217" s="35">
        <v>91235</v>
      </c>
      <c r="V217" s="35"/>
      <c r="W217" s="35">
        <f t="shared" si="44"/>
        <v>150492</v>
      </c>
      <c r="X217" s="35"/>
      <c r="Y217" s="35" t="s">
        <v>256</v>
      </c>
      <c r="Z217" s="55"/>
      <c r="AA217" s="35" t="s">
        <v>43</v>
      </c>
      <c r="AB217" s="35"/>
      <c r="AC217" s="35">
        <v>2051840</v>
      </c>
      <c r="AD217" s="35"/>
      <c r="AE217" s="35">
        <f>2362771-25134</f>
        <v>2337637</v>
      </c>
      <c r="AF217" s="35"/>
      <c r="AG217" s="35">
        <v>25134</v>
      </c>
      <c r="AH217" s="35"/>
      <c r="AI217" s="45">
        <f t="shared" si="43"/>
        <v>-310931</v>
      </c>
      <c r="AJ217" s="45"/>
      <c r="AK217" s="35">
        <v>330275</v>
      </c>
      <c r="AL217" s="35"/>
      <c r="AM217" s="35">
        <v>48032</v>
      </c>
      <c r="AN217" s="35"/>
      <c r="AO217" s="35">
        <v>182716</v>
      </c>
      <c r="AP217" s="35"/>
      <c r="AQ217" s="35">
        <v>0</v>
      </c>
      <c r="AR217" s="35"/>
      <c r="AS217" s="45">
        <f t="shared" si="36"/>
        <v>-115340</v>
      </c>
      <c r="AT217" s="45"/>
      <c r="AU217" s="35">
        <v>0</v>
      </c>
      <c r="AV217" s="35"/>
      <c r="AW217" s="35">
        <v>0</v>
      </c>
      <c r="AX217" s="35"/>
      <c r="AY217" s="35">
        <f t="shared" si="37"/>
        <v>31978</v>
      </c>
      <c r="AZ217" s="35"/>
      <c r="BA217" s="35" t="s">
        <v>256</v>
      </c>
      <c r="BB217" s="55"/>
      <c r="BC217" s="35" t="s">
        <v>43</v>
      </c>
      <c r="BD217" s="35"/>
      <c r="BE217" s="35">
        <v>0</v>
      </c>
      <c r="BF217" s="35"/>
      <c r="BG217" s="35">
        <v>0</v>
      </c>
      <c r="BH217" s="35"/>
      <c r="BI217" s="35">
        <v>0</v>
      </c>
      <c r="BJ217" s="35"/>
      <c r="BK217" s="35">
        <v>0</v>
      </c>
      <c r="BL217" s="35"/>
      <c r="BM217" s="35">
        <f t="shared" si="38"/>
        <v>0</v>
      </c>
      <c r="BN217" s="54" t="s">
        <v>347</v>
      </c>
    </row>
    <row r="218" spans="1:66" ht="13.2">
      <c r="A218" s="35" t="s">
        <v>257</v>
      </c>
      <c r="C218" s="35" t="s">
        <v>258</v>
      </c>
      <c r="D218" s="35"/>
      <c r="E218" s="35">
        <f t="shared" si="41"/>
        <v>150310</v>
      </c>
      <c r="F218" s="35"/>
      <c r="G218" s="35">
        <v>18583</v>
      </c>
      <c r="H218" s="35"/>
      <c r="I218" s="35">
        <v>168893</v>
      </c>
      <c r="J218" s="35"/>
      <c r="K218" s="35">
        <f t="shared" si="42"/>
        <v>56515</v>
      </c>
      <c r="L218" s="35"/>
      <c r="M218" s="35">
        <v>7536</v>
      </c>
      <c r="N218" s="35"/>
      <c r="O218" s="35">
        <v>64051</v>
      </c>
      <c r="P218" s="35"/>
      <c r="Q218" s="35">
        <v>18583</v>
      </c>
      <c r="R218" s="35"/>
      <c r="S218" s="35">
        <v>0</v>
      </c>
      <c r="T218" s="35"/>
      <c r="U218" s="35">
        <v>86259</v>
      </c>
      <c r="V218" s="35"/>
      <c r="W218" s="35">
        <f t="shared" si="44"/>
        <v>104842</v>
      </c>
      <c r="X218" s="35"/>
      <c r="Y218" s="35" t="s">
        <v>257</v>
      </c>
      <c r="Z218" s="55"/>
      <c r="AA218" s="35" t="s">
        <v>258</v>
      </c>
      <c r="AB218" s="35"/>
      <c r="AC218" s="35">
        <v>684284</v>
      </c>
      <c r="AD218" s="35"/>
      <c r="AE218" s="35">
        <f>744506-80913</f>
        <v>663593</v>
      </c>
      <c r="AF218" s="35"/>
      <c r="AG218" s="35">
        <v>80913</v>
      </c>
      <c r="AH218" s="35"/>
      <c r="AI218" s="45">
        <f t="shared" si="43"/>
        <v>-60222</v>
      </c>
      <c r="AJ218" s="45"/>
      <c r="AK218" s="35">
        <v>1229</v>
      </c>
      <c r="AL218" s="35"/>
      <c r="AM218" s="35">
        <v>0</v>
      </c>
      <c r="AN218" s="35"/>
      <c r="AO218" s="35">
        <v>0</v>
      </c>
      <c r="AP218" s="35"/>
      <c r="AQ218" s="35">
        <v>0</v>
      </c>
      <c r="AR218" s="35"/>
      <c r="AS218" s="45">
        <f t="shared" si="36"/>
        <v>-58993</v>
      </c>
      <c r="AT218" s="45"/>
      <c r="AU218" s="35">
        <v>0</v>
      </c>
      <c r="AV218" s="35"/>
      <c r="AW218" s="35">
        <v>0</v>
      </c>
      <c r="AX218" s="35"/>
      <c r="AY218" s="35">
        <f t="shared" si="37"/>
        <v>93795</v>
      </c>
      <c r="AZ218" s="35"/>
      <c r="BA218" s="35" t="s">
        <v>257</v>
      </c>
      <c r="BB218" s="55"/>
      <c r="BC218" s="35" t="s">
        <v>258</v>
      </c>
      <c r="BD218" s="35"/>
      <c r="BE218" s="35">
        <v>0</v>
      </c>
      <c r="BF218" s="35"/>
      <c r="BG218" s="35">
        <v>0</v>
      </c>
      <c r="BH218" s="35"/>
      <c r="BI218" s="35">
        <v>0</v>
      </c>
      <c r="BJ218" s="35"/>
      <c r="BK218" s="35">
        <v>0</v>
      </c>
      <c r="BL218" s="35"/>
      <c r="BM218" s="35">
        <f t="shared" si="38"/>
        <v>0</v>
      </c>
      <c r="BN218" s="54" t="s">
        <v>347</v>
      </c>
    </row>
    <row r="219" spans="1:66" ht="13.2">
      <c r="A219" s="35" t="s">
        <v>259</v>
      </c>
      <c r="C219" s="35" t="s">
        <v>369</v>
      </c>
      <c r="D219" s="35"/>
      <c r="E219" s="35">
        <f t="shared" si="41"/>
        <v>111829</v>
      </c>
      <c r="F219" s="35"/>
      <c r="G219" s="35">
        <v>0</v>
      </c>
      <c r="H219" s="35"/>
      <c r="I219" s="35">
        <v>111829</v>
      </c>
      <c r="J219" s="35"/>
      <c r="K219" s="35">
        <f t="shared" si="42"/>
        <v>12771</v>
      </c>
      <c r="L219" s="35"/>
      <c r="M219" s="35">
        <v>0</v>
      </c>
      <c r="N219" s="35"/>
      <c r="O219" s="35">
        <v>12771</v>
      </c>
      <c r="P219" s="35"/>
      <c r="Q219" s="35">
        <v>0</v>
      </c>
      <c r="R219" s="35"/>
      <c r="S219" s="35">
        <v>0</v>
      </c>
      <c r="T219" s="35"/>
      <c r="U219" s="35">
        <v>99058</v>
      </c>
      <c r="V219" s="35"/>
      <c r="W219" s="35">
        <f t="shared" si="44"/>
        <v>99058</v>
      </c>
      <c r="X219" s="35"/>
      <c r="Y219" s="35" t="s">
        <v>259</v>
      </c>
      <c r="Z219" s="55"/>
      <c r="AA219" s="35" t="s">
        <v>369</v>
      </c>
      <c r="AB219" s="35"/>
      <c r="AC219" s="35">
        <v>95875</v>
      </c>
      <c r="AD219" s="35"/>
      <c r="AE219" s="35">
        <v>80885</v>
      </c>
      <c r="AF219" s="35"/>
      <c r="AG219" s="35">
        <v>0</v>
      </c>
      <c r="AH219" s="35"/>
      <c r="AI219" s="45">
        <f t="shared" si="43"/>
        <v>14990</v>
      </c>
      <c r="AJ219" s="45"/>
      <c r="AK219" s="35">
        <v>0</v>
      </c>
      <c r="AL219" s="35"/>
      <c r="AM219" s="35">
        <v>0</v>
      </c>
      <c r="AN219" s="35"/>
      <c r="AO219" s="35">
        <v>0</v>
      </c>
      <c r="AP219" s="35"/>
      <c r="AQ219" s="35">
        <v>0</v>
      </c>
      <c r="AR219" s="35"/>
      <c r="AS219" s="45">
        <f t="shared" si="36"/>
        <v>14990</v>
      </c>
      <c r="AT219" s="45"/>
      <c r="AU219" s="35">
        <v>0</v>
      </c>
      <c r="AV219" s="35"/>
      <c r="AW219" s="35">
        <v>0</v>
      </c>
      <c r="AX219" s="35"/>
      <c r="AY219" s="35">
        <f t="shared" si="37"/>
        <v>99058</v>
      </c>
      <c r="AZ219" s="35"/>
      <c r="BA219" s="35" t="s">
        <v>259</v>
      </c>
      <c r="BB219" s="55"/>
      <c r="BC219" s="35" t="s">
        <v>369</v>
      </c>
      <c r="BD219" s="35"/>
      <c r="BE219" s="35">
        <v>0</v>
      </c>
      <c r="BF219" s="35"/>
      <c r="BG219" s="35">
        <v>0</v>
      </c>
      <c r="BH219" s="35"/>
      <c r="BI219" s="35">
        <v>0</v>
      </c>
      <c r="BJ219" s="35"/>
      <c r="BK219" s="35">
        <v>0</v>
      </c>
      <c r="BL219" s="35"/>
      <c r="BM219" s="35">
        <f t="shared" si="38"/>
        <v>0</v>
      </c>
      <c r="BN219" s="54" t="s">
        <v>347</v>
      </c>
    </row>
    <row r="220" spans="1:66" ht="13.2" hidden="1">
      <c r="A220" s="35" t="s">
        <v>261</v>
      </c>
      <c r="C220" s="35" t="s">
        <v>66</v>
      </c>
      <c r="D220" s="35"/>
      <c r="E220" s="35">
        <f t="shared" si="41"/>
        <v>0</v>
      </c>
      <c r="F220" s="35"/>
      <c r="G220" s="35"/>
      <c r="H220" s="35"/>
      <c r="I220" s="35"/>
      <c r="J220" s="35"/>
      <c r="K220" s="35">
        <f t="shared" si="42"/>
        <v>0</v>
      </c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>
        <f t="shared" si="44"/>
        <v>0</v>
      </c>
      <c r="X220" s="35"/>
      <c r="Y220" s="35" t="s">
        <v>261</v>
      </c>
      <c r="Z220" s="55"/>
      <c r="AA220" s="35" t="s">
        <v>66</v>
      </c>
      <c r="AB220" s="35"/>
      <c r="AC220" s="35"/>
      <c r="AD220" s="35"/>
      <c r="AE220" s="35"/>
      <c r="AF220" s="35"/>
      <c r="AG220" s="35"/>
      <c r="AH220" s="35"/>
      <c r="AI220" s="45">
        <f t="shared" si="43"/>
        <v>0</v>
      </c>
      <c r="AJ220" s="45"/>
      <c r="AK220" s="35"/>
      <c r="AL220" s="35"/>
      <c r="AM220" s="35"/>
      <c r="AN220" s="35"/>
      <c r="AO220" s="35"/>
      <c r="AP220" s="35"/>
      <c r="AQ220" s="35"/>
      <c r="AR220" s="35"/>
      <c r="AS220" s="45">
        <f t="shared" si="36"/>
        <v>0</v>
      </c>
      <c r="AT220" s="45"/>
      <c r="AU220" s="35">
        <v>0</v>
      </c>
      <c r="AV220" s="35"/>
      <c r="AW220" s="35">
        <v>0</v>
      </c>
      <c r="AX220" s="35"/>
      <c r="AY220" s="35">
        <f t="shared" si="37"/>
        <v>0</v>
      </c>
      <c r="AZ220" s="35"/>
      <c r="BA220" s="35" t="s">
        <v>261</v>
      </c>
      <c r="BB220" s="55"/>
      <c r="BC220" s="35" t="s">
        <v>66</v>
      </c>
      <c r="BD220" s="35"/>
      <c r="BE220" s="35"/>
      <c r="BF220" s="35"/>
      <c r="BG220" s="35"/>
      <c r="BH220" s="35"/>
      <c r="BI220" s="35"/>
      <c r="BJ220" s="35"/>
      <c r="BK220" s="35"/>
      <c r="BL220" s="35"/>
      <c r="BM220" s="35">
        <f t="shared" si="38"/>
        <v>0</v>
      </c>
      <c r="BN220" s="54" t="s">
        <v>347</v>
      </c>
    </row>
    <row r="221" spans="1:66" ht="13.2" hidden="1">
      <c r="A221" s="35" t="s">
        <v>262</v>
      </c>
      <c r="C221" s="35" t="s">
        <v>132</v>
      </c>
      <c r="D221" s="35"/>
      <c r="E221" s="35">
        <f t="shared" si="41"/>
        <v>0</v>
      </c>
      <c r="F221" s="35"/>
      <c r="G221" s="35"/>
      <c r="H221" s="35"/>
      <c r="I221" s="35"/>
      <c r="J221" s="35"/>
      <c r="K221" s="35">
        <f t="shared" si="42"/>
        <v>0</v>
      </c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>
        <f t="shared" si="44"/>
        <v>0</v>
      </c>
      <c r="X221" s="35"/>
      <c r="Y221" s="35" t="s">
        <v>262</v>
      </c>
      <c r="Z221" s="55"/>
      <c r="AA221" s="35" t="s">
        <v>132</v>
      </c>
      <c r="AB221" s="35"/>
      <c r="AC221" s="35"/>
      <c r="AD221" s="35"/>
      <c r="AE221" s="35"/>
      <c r="AF221" s="35"/>
      <c r="AG221" s="35"/>
      <c r="AH221" s="35"/>
      <c r="AI221" s="45">
        <f t="shared" si="43"/>
        <v>0</v>
      </c>
      <c r="AJ221" s="45"/>
      <c r="AK221" s="35"/>
      <c r="AL221" s="35"/>
      <c r="AM221" s="35"/>
      <c r="AN221" s="35"/>
      <c r="AO221" s="35"/>
      <c r="AP221" s="35"/>
      <c r="AQ221" s="35"/>
      <c r="AR221" s="35"/>
      <c r="AS221" s="45">
        <f t="shared" si="36"/>
        <v>0</v>
      </c>
      <c r="AT221" s="45"/>
      <c r="AU221" s="35">
        <v>0</v>
      </c>
      <c r="AV221" s="35"/>
      <c r="AW221" s="35">
        <v>0</v>
      </c>
      <c r="AX221" s="35"/>
      <c r="AY221" s="35">
        <f t="shared" si="37"/>
        <v>0</v>
      </c>
      <c r="AZ221" s="35"/>
      <c r="BA221" s="35" t="s">
        <v>262</v>
      </c>
      <c r="BB221" s="55"/>
      <c r="BC221" s="35" t="s">
        <v>132</v>
      </c>
      <c r="BD221" s="35"/>
      <c r="BE221" s="35"/>
      <c r="BF221" s="35"/>
      <c r="BG221" s="35"/>
      <c r="BH221" s="35"/>
      <c r="BI221" s="35"/>
      <c r="BJ221" s="35"/>
      <c r="BK221" s="35"/>
      <c r="BL221" s="35"/>
      <c r="BM221" s="35">
        <f t="shared" si="38"/>
        <v>0</v>
      </c>
      <c r="BN221" s="54" t="s">
        <v>347</v>
      </c>
    </row>
    <row r="222" spans="1:66" ht="13.2" hidden="1">
      <c r="A222" s="35" t="s">
        <v>263</v>
      </c>
      <c r="C222" s="35" t="s">
        <v>53</v>
      </c>
      <c r="D222" s="35"/>
      <c r="E222" s="35">
        <f t="shared" si="41"/>
        <v>0</v>
      </c>
      <c r="F222" s="35"/>
      <c r="G222" s="35"/>
      <c r="H222" s="35"/>
      <c r="I222" s="35"/>
      <c r="J222" s="35"/>
      <c r="K222" s="35">
        <f t="shared" si="42"/>
        <v>0</v>
      </c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>
        <f t="shared" si="44"/>
        <v>0</v>
      </c>
      <c r="X222" s="35"/>
      <c r="Y222" s="35" t="s">
        <v>263</v>
      </c>
      <c r="Z222" s="55"/>
      <c r="AA222" s="35" t="s">
        <v>53</v>
      </c>
      <c r="AB222" s="35"/>
      <c r="AC222" s="35"/>
      <c r="AD222" s="35"/>
      <c r="AE222" s="35"/>
      <c r="AF222" s="35"/>
      <c r="AG222" s="35"/>
      <c r="AH222" s="35"/>
      <c r="AI222" s="45">
        <f t="shared" si="43"/>
        <v>0</v>
      </c>
      <c r="AJ222" s="45"/>
      <c r="AK222" s="35"/>
      <c r="AL222" s="35"/>
      <c r="AM222" s="35"/>
      <c r="AN222" s="35"/>
      <c r="AO222" s="35"/>
      <c r="AP222" s="35"/>
      <c r="AQ222" s="35"/>
      <c r="AR222" s="35"/>
      <c r="AS222" s="45">
        <f t="shared" si="36"/>
        <v>0</v>
      </c>
      <c r="AT222" s="45"/>
      <c r="AU222" s="35">
        <v>0</v>
      </c>
      <c r="AV222" s="35"/>
      <c r="AW222" s="35">
        <v>0</v>
      </c>
      <c r="AX222" s="35"/>
      <c r="AY222" s="35">
        <f t="shared" si="37"/>
        <v>0</v>
      </c>
      <c r="AZ222" s="35"/>
      <c r="BA222" s="35" t="s">
        <v>263</v>
      </c>
      <c r="BB222" s="55"/>
      <c r="BC222" s="35" t="s">
        <v>53</v>
      </c>
      <c r="BD222" s="35"/>
      <c r="BE222" s="35"/>
      <c r="BF222" s="35"/>
      <c r="BG222" s="35"/>
      <c r="BH222" s="35"/>
      <c r="BI222" s="35"/>
      <c r="BJ222" s="35"/>
      <c r="BK222" s="35"/>
      <c r="BL222" s="35"/>
      <c r="BM222" s="35">
        <f t="shared" si="38"/>
        <v>0</v>
      </c>
      <c r="BN222" s="54" t="s">
        <v>347</v>
      </c>
    </row>
    <row r="223" spans="1:66" ht="13.2">
      <c r="A223" s="55" t="s">
        <v>263</v>
      </c>
      <c r="C223" s="55" t="s">
        <v>53</v>
      </c>
      <c r="E223" s="35">
        <f t="shared" si="41"/>
        <v>823516</v>
      </c>
      <c r="F223" s="35"/>
      <c r="G223" s="35">
        <v>704942</v>
      </c>
      <c r="H223" s="35"/>
      <c r="I223" s="35">
        <v>1528458</v>
      </c>
      <c r="J223" s="35"/>
      <c r="K223" s="35">
        <f t="shared" si="42"/>
        <v>406194</v>
      </c>
      <c r="L223" s="35"/>
      <c r="M223" s="35">
        <v>93215</v>
      </c>
      <c r="N223" s="35"/>
      <c r="O223" s="35">
        <v>499409</v>
      </c>
      <c r="P223" s="35"/>
      <c r="Q223" s="35">
        <v>704942</v>
      </c>
      <c r="R223" s="35"/>
      <c r="S223" s="35">
        <v>0</v>
      </c>
      <c r="T223" s="35"/>
      <c r="U223" s="35">
        <v>324107</v>
      </c>
      <c r="V223" s="35"/>
      <c r="W223" s="35">
        <f t="shared" si="44"/>
        <v>1029049</v>
      </c>
      <c r="Y223" s="55" t="s">
        <v>263</v>
      </c>
      <c r="Z223" s="55"/>
      <c r="AA223" s="55" t="s">
        <v>53</v>
      </c>
      <c r="AC223" s="35">
        <v>1902235</v>
      </c>
      <c r="AD223" s="35"/>
      <c r="AE223" s="35">
        <f>1951077-127686</f>
        <v>1823391</v>
      </c>
      <c r="AF223" s="35"/>
      <c r="AG223" s="35">
        <v>127686</v>
      </c>
      <c r="AH223" s="35"/>
      <c r="AI223" s="45">
        <f t="shared" si="43"/>
        <v>-48842</v>
      </c>
      <c r="AJ223" s="45"/>
      <c r="AK223" s="35">
        <v>11559</v>
      </c>
      <c r="AL223" s="35"/>
      <c r="AM223" s="35">
        <v>0</v>
      </c>
      <c r="AN223" s="35"/>
      <c r="AO223" s="35">
        <v>0</v>
      </c>
      <c r="AP223" s="35"/>
      <c r="AQ223" s="35">
        <v>0</v>
      </c>
      <c r="AR223" s="35"/>
      <c r="AS223" s="45">
        <f t="shared" si="36"/>
        <v>-37283</v>
      </c>
      <c r="AT223" s="45"/>
      <c r="AU223" s="35">
        <v>0</v>
      </c>
      <c r="AV223" s="35"/>
      <c r="AW223" s="35">
        <v>0</v>
      </c>
      <c r="AX223" s="35"/>
      <c r="AY223" s="35">
        <f t="shared" si="37"/>
        <v>417322</v>
      </c>
      <c r="AZ223" s="53"/>
      <c r="BA223" s="55" t="s">
        <v>263</v>
      </c>
      <c r="BB223" s="55"/>
      <c r="BC223" s="55" t="s">
        <v>53</v>
      </c>
      <c r="BE223" s="35">
        <v>0</v>
      </c>
      <c r="BF223" s="35"/>
      <c r="BG223" s="35">
        <v>0</v>
      </c>
      <c r="BH223" s="35"/>
      <c r="BI223" s="35">
        <v>0</v>
      </c>
      <c r="BJ223" s="35"/>
      <c r="BK223" s="35">
        <v>0</v>
      </c>
      <c r="BL223" s="35"/>
      <c r="BM223" s="35">
        <v>0</v>
      </c>
      <c r="BN223" s="35"/>
    </row>
    <row r="224" spans="1:66" ht="12">
      <c r="A224" s="35" t="s">
        <v>264</v>
      </c>
      <c r="B224" s="55"/>
      <c r="C224" s="35" t="s">
        <v>239</v>
      </c>
      <c r="D224" s="35"/>
      <c r="E224" s="35">
        <f t="shared" si="41"/>
        <v>545764</v>
      </c>
      <c r="F224" s="35"/>
      <c r="G224" s="35">
        <v>863664</v>
      </c>
      <c r="H224" s="35"/>
      <c r="I224" s="35">
        <v>1409428</v>
      </c>
      <c r="J224" s="35"/>
      <c r="K224" s="35">
        <f t="shared" si="42"/>
        <v>183602</v>
      </c>
      <c r="L224" s="35"/>
      <c r="M224" s="35">
        <v>1738446</v>
      </c>
      <c r="N224" s="35"/>
      <c r="O224" s="35">
        <v>1922048</v>
      </c>
      <c r="P224" s="35"/>
      <c r="Q224" s="35">
        <v>724469</v>
      </c>
      <c r="R224" s="35"/>
      <c r="S224" s="35">
        <v>0</v>
      </c>
      <c r="T224" s="35"/>
      <c r="U224" s="35">
        <v>-1237089</v>
      </c>
      <c r="V224" s="35"/>
      <c r="W224" s="35">
        <f t="shared" si="44"/>
        <v>-512620</v>
      </c>
      <c r="X224" s="35"/>
      <c r="Y224" s="35" t="s">
        <v>264</v>
      </c>
      <c r="Z224" s="55"/>
      <c r="AA224" s="35" t="s">
        <v>239</v>
      </c>
      <c r="AB224" s="35"/>
      <c r="AC224" s="35">
        <v>1112231</v>
      </c>
      <c r="AD224" s="35"/>
      <c r="AE224" s="35">
        <f>1015930-25620</f>
        <v>990310</v>
      </c>
      <c r="AF224" s="35"/>
      <c r="AG224" s="35">
        <v>25620</v>
      </c>
      <c r="AH224" s="35"/>
      <c r="AI224" s="45">
        <f t="shared" si="43"/>
        <v>96301</v>
      </c>
      <c r="AJ224" s="45"/>
      <c r="AK224" s="35">
        <v>-6576</v>
      </c>
      <c r="AL224" s="35"/>
      <c r="AM224" s="35">
        <v>0</v>
      </c>
      <c r="AN224" s="35"/>
      <c r="AO224" s="35">
        <v>37700</v>
      </c>
      <c r="AP224" s="35"/>
      <c r="AQ224" s="35">
        <v>0</v>
      </c>
      <c r="AR224" s="35"/>
      <c r="AS224" s="45">
        <f t="shared" si="36"/>
        <v>52025</v>
      </c>
      <c r="AT224" s="45"/>
      <c r="AU224" s="35">
        <v>0</v>
      </c>
      <c r="AV224" s="35"/>
      <c r="AW224" s="35">
        <v>0</v>
      </c>
      <c r="AX224" s="35"/>
      <c r="AY224" s="35">
        <f t="shared" si="37"/>
        <v>362162</v>
      </c>
      <c r="AZ224" s="35"/>
      <c r="BA224" s="35" t="s">
        <v>264</v>
      </c>
      <c r="BB224" s="55"/>
      <c r="BC224" s="35" t="s">
        <v>239</v>
      </c>
      <c r="BD224" s="35"/>
      <c r="BE224" s="35">
        <v>0</v>
      </c>
      <c r="BF224" s="35"/>
      <c r="BG224" s="35">
        <v>1673180</v>
      </c>
      <c r="BH224" s="35"/>
      <c r="BI224" s="35">
        <v>0</v>
      </c>
      <c r="BJ224" s="35"/>
      <c r="BK224" s="35">
        <v>80256</v>
      </c>
      <c r="BL224" s="35"/>
      <c r="BM224" s="35">
        <f t="shared" si="38"/>
        <v>1753436</v>
      </c>
      <c r="BN224" s="54" t="s">
        <v>347</v>
      </c>
    </row>
    <row r="225" spans="1:67" ht="13.2">
      <c r="A225" s="35" t="s">
        <v>111</v>
      </c>
      <c r="C225" s="44" t="s">
        <v>80</v>
      </c>
      <c r="D225" s="44"/>
      <c r="E225" s="35">
        <f t="shared" si="41"/>
        <v>899819</v>
      </c>
      <c r="F225" s="35"/>
      <c r="G225" s="35">
        <v>459359</v>
      </c>
      <c r="H225" s="35"/>
      <c r="I225" s="35">
        <v>1359178</v>
      </c>
      <c r="J225" s="35"/>
      <c r="K225" s="35">
        <f t="shared" si="42"/>
        <v>498335</v>
      </c>
      <c r="L225" s="35"/>
      <c r="M225" s="35">
        <v>74452</v>
      </c>
      <c r="N225" s="35"/>
      <c r="O225" s="35">
        <v>572787</v>
      </c>
      <c r="P225" s="35"/>
      <c r="Q225" s="35">
        <v>109359</v>
      </c>
      <c r="R225" s="35"/>
      <c r="S225" s="35">
        <v>0</v>
      </c>
      <c r="T225" s="35"/>
      <c r="U225" s="35">
        <v>677032</v>
      </c>
      <c r="V225" s="35"/>
      <c r="W225" s="35">
        <f t="shared" si="44"/>
        <v>786391</v>
      </c>
      <c r="X225" s="35"/>
      <c r="Y225" s="35" t="s">
        <v>111</v>
      </c>
      <c r="Z225" s="55"/>
      <c r="AA225" s="44" t="s">
        <v>80</v>
      </c>
      <c r="AB225" s="44"/>
      <c r="AC225" s="35">
        <v>3189733</v>
      </c>
      <c r="AD225" s="35"/>
      <c r="AE225" s="35">
        <f>3256823-175124</f>
        <v>3081699</v>
      </c>
      <c r="AF225" s="35"/>
      <c r="AG225" s="35">
        <v>175124</v>
      </c>
      <c r="AH225" s="35"/>
      <c r="AI225" s="45">
        <f t="shared" si="43"/>
        <v>-67090</v>
      </c>
      <c r="AJ225" s="45"/>
      <c r="AK225" s="35">
        <v>-14125</v>
      </c>
      <c r="AL225" s="35"/>
      <c r="AM225" s="35">
        <v>0</v>
      </c>
      <c r="AN225" s="35"/>
      <c r="AO225" s="35">
        <v>3214</v>
      </c>
      <c r="AP225" s="35"/>
      <c r="AQ225" s="35">
        <v>0</v>
      </c>
      <c r="AR225" s="35"/>
      <c r="AS225" s="45">
        <f t="shared" si="36"/>
        <v>-84429</v>
      </c>
      <c r="AT225" s="45"/>
      <c r="AU225" s="35">
        <v>0</v>
      </c>
      <c r="AV225" s="35"/>
      <c r="AW225" s="35">
        <v>0</v>
      </c>
      <c r="AX225" s="35"/>
      <c r="AY225" s="35">
        <f t="shared" si="37"/>
        <v>401484</v>
      </c>
      <c r="AZ225" s="35"/>
      <c r="BA225" s="35" t="s">
        <v>111</v>
      </c>
      <c r="BB225" s="55"/>
      <c r="BC225" s="44" t="s">
        <v>80</v>
      </c>
      <c r="BD225" s="44"/>
      <c r="BE225" s="35">
        <v>0</v>
      </c>
      <c r="BF225" s="35"/>
      <c r="BG225" s="35">
        <v>0</v>
      </c>
      <c r="BH225" s="35"/>
      <c r="BI225" s="35">
        <v>0</v>
      </c>
      <c r="BJ225" s="35"/>
      <c r="BK225" s="35">
        <v>0</v>
      </c>
      <c r="BL225" s="35"/>
      <c r="BM225" s="35">
        <f t="shared" si="38"/>
        <v>0</v>
      </c>
      <c r="BN225" s="54" t="s">
        <v>347</v>
      </c>
    </row>
    <row r="226" spans="1:67" ht="13.2" hidden="1">
      <c r="A226" s="35" t="s">
        <v>265</v>
      </c>
      <c r="C226" s="44" t="s">
        <v>27</v>
      </c>
      <c r="D226" s="44"/>
      <c r="E226" s="35">
        <f t="shared" si="41"/>
        <v>0</v>
      </c>
      <c r="F226" s="35"/>
      <c r="G226" s="35"/>
      <c r="H226" s="35"/>
      <c r="I226" s="35"/>
      <c r="J226" s="35"/>
      <c r="K226" s="35">
        <f t="shared" si="42"/>
        <v>0</v>
      </c>
      <c r="L226" s="35"/>
      <c r="M226" s="35">
        <v>0</v>
      </c>
      <c r="N226" s="35"/>
      <c r="O226" s="35"/>
      <c r="P226" s="35"/>
      <c r="Q226" s="35"/>
      <c r="R226" s="35"/>
      <c r="S226" s="35">
        <v>0</v>
      </c>
      <c r="T226" s="35"/>
      <c r="U226" s="35"/>
      <c r="V226" s="35"/>
      <c r="W226" s="35">
        <f t="shared" si="44"/>
        <v>0</v>
      </c>
      <c r="X226" s="35"/>
      <c r="Y226" s="35" t="s">
        <v>265</v>
      </c>
      <c r="Z226" s="55"/>
      <c r="AA226" s="44" t="s">
        <v>27</v>
      </c>
      <c r="AB226" s="44"/>
      <c r="AC226" s="35">
        <v>0</v>
      </c>
      <c r="AD226" s="35"/>
      <c r="AE226" s="35">
        <v>0</v>
      </c>
      <c r="AF226" s="35"/>
      <c r="AG226" s="35">
        <v>0</v>
      </c>
      <c r="AH226" s="35"/>
      <c r="AI226" s="45">
        <f t="shared" si="43"/>
        <v>0</v>
      </c>
      <c r="AJ226" s="45"/>
      <c r="AK226" s="35"/>
      <c r="AL226" s="35"/>
      <c r="AM226" s="35">
        <v>0</v>
      </c>
      <c r="AN226" s="35"/>
      <c r="AO226" s="35">
        <v>0</v>
      </c>
      <c r="AP226" s="35"/>
      <c r="AQ226" s="35">
        <v>0</v>
      </c>
      <c r="AR226" s="35"/>
      <c r="AS226" s="45">
        <f t="shared" si="36"/>
        <v>0</v>
      </c>
      <c r="AT226" s="45"/>
      <c r="AU226" s="35">
        <v>0</v>
      </c>
      <c r="AV226" s="35"/>
      <c r="AW226" s="35">
        <v>0</v>
      </c>
      <c r="AX226" s="35"/>
      <c r="AY226" s="35">
        <f t="shared" si="37"/>
        <v>0</v>
      </c>
      <c r="AZ226" s="35"/>
      <c r="BA226" s="35" t="s">
        <v>265</v>
      </c>
      <c r="BB226" s="55"/>
      <c r="BC226" s="44" t="s">
        <v>27</v>
      </c>
      <c r="BD226" s="44"/>
      <c r="BE226" s="35"/>
      <c r="BF226" s="35"/>
      <c r="BG226" s="35"/>
      <c r="BH226" s="35"/>
      <c r="BI226" s="35"/>
      <c r="BJ226" s="35"/>
      <c r="BK226" s="35"/>
      <c r="BL226" s="35"/>
      <c r="BM226" s="35">
        <f t="shared" si="38"/>
        <v>0</v>
      </c>
      <c r="BN226" s="54" t="s">
        <v>347</v>
      </c>
    </row>
    <row r="227" spans="1:67" ht="13.2" hidden="1">
      <c r="A227" s="35" t="s">
        <v>40</v>
      </c>
      <c r="C227" s="47" t="s">
        <v>451</v>
      </c>
      <c r="D227" s="35"/>
      <c r="E227" s="35">
        <f t="shared" si="41"/>
        <v>0</v>
      </c>
      <c r="F227" s="35"/>
      <c r="G227" s="35"/>
      <c r="H227" s="35"/>
      <c r="I227" s="35"/>
      <c r="J227" s="35"/>
      <c r="K227" s="35">
        <f t="shared" si="42"/>
        <v>0</v>
      </c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>
        <f t="shared" si="44"/>
        <v>0</v>
      </c>
      <c r="X227" s="35"/>
      <c r="Y227" s="35" t="s">
        <v>40</v>
      </c>
      <c r="Z227" s="55"/>
      <c r="AA227" s="47" t="s">
        <v>451</v>
      </c>
      <c r="AB227" s="35"/>
      <c r="AC227" s="35"/>
      <c r="AD227" s="35"/>
      <c r="AE227" s="35"/>
      <c r="AF227" s="35"/>
      <c r="AG227" s="35"/>
      <c r="AH227" s="35"/>
      <c r="AI227" s="45">
        <f t="shared" si="43"/>
        <v>0</v>
      </c>
      <c r="AJ227" s="45"/>
      <c r="AK227" s="35"/>
      <c r="AL227" s="35"/>
      <c r="AM227" s="35"/>
      <c r="AN227" s="35"/>
      <c r="AO227" s="35"/>
      <c r="AP227" s="35"/>
      <c r="AQ227" s="35"/>
      <c r="AR227" s="35"/>
      <c r="AS227" s="45">
        <f t="shared" si="36"/>
        <v>0</v>
      </c>
      <c r="AT227" s="45"/>
      <c r="AU227" s="35">
        <v>0</v>
      </c>
      <c r="AV227" s="35"/>
      <c r="AW227" s="35">
        <v>0</v>
      </c>
      <c r="AX227" s="35"/>
      <c r="AY227" s="35">
        <f t="shared" si="37"/>
        <v>0</v>
      </c>
      <c r="AZ227" s="35"/>
      <c r="BA227" s="35" t="s">
        <v>40</v>
      </c>
      <c r="BB227" s="55"/>
      <c r="BC227" s="47" t="s">
        <v>451</v>
      </c>
      <c r="BD227" s="35"/>
      <c r="BE227" s="35"/>
      <c r="BF227" s="35"/>
      <c r="BG227" s="35"/>
      <c r="BH227" s="35"/>
      <c r="BI227" s="35"/>
      <c r="BJ227" s="35"/>
      <c r="BK227" s="35"/>
      <c r="BL227" s="35"/>
      <c r="BM227" s="35">
        <f t="shared" si="38"/>
        <v>0</v>
      </c>
      <c r="BN227" s="54" t="s">
        <v>347</v>
      </c>
    </row>
    <row r="228" spans="1:67" ht="13.2" hidden="1">
      <c r="A228" s="35" t="s">
        <v>266</v>
      </c>
      <c r="C228" s="35" t="s">
        <v>267</v>
      </c>
      <c r="D228" s="35"/>
      <c r="E228" s="35">
        <f t="shared" si="41"/>
        <v>0</v>
      </c>
      <c r="F228" s="35"/>
      <c r="G228" s="35"/>
      <c r="H228" s="35"/>
      <c r="I228" s="35"/>
      <c r="J228" s="35"/>
      <c r="K228" s="35">
        <f t="shared" si="42"/>
        <v>0</v>
      </c>
      <c r="L228" s="35"/>
      <c r="M228" s="35">
        <v>0</v>
      </c>
      <c r="N228" s="35"/>
      <c r="O228" s="35"/>
      <c r="P228" s="35"/>
      <c r="Q228" s="35"/>
      <c r="R228" s="35"/>
      <c r="S228" s="35">
        <v>0</v>
      </c>
      <c r="T228" s="35"/>
      <c r="U228" s="35"/>
      <c r="V228" s="35"/>
      <c r="W228" s="35">
        <v>0</v>
      </c>
      <c r="X228" s="35"/>
      <c r="Y228" s="35" t="s">
        <v>266</v>
      </c>
      <c r="Z228" s="55"/>
      <c r="AA228" s="35" t="s">
        <v>267</v>
      </c>
      <c r="AB228" s="35"/>
      <c r="AC228" s="35">
        <v>0</v>
      </c>
      <c r="AD228" s="35"/>
      <c r="AE228" s="35">
        <v>0</v>
      </c>
      <c r="AF228" s="35"/>
      <c r="AG228" s="35">
        <v>0</v>
      </c>
      <c r="AH228" s="35"/>
      <c r="AI228" s="45">
        <f t="shared" si="43"/>
        <v>0</v>
      </c>
      <c r="AJ228" s="45"/>
      <c r="AK228" s="35"/>
      <c r="AL228" s="35"/>
      <c r="AM228" s="35">
        <v>0</v>
      </c>
      <c r="AN228" s="35"/>
      <c r="AO228" s="35">
        <v>0</v>
      </c>
      <c r="AP228" s="35"/>
      <c r="AQ228" s="35">
        <v>0</v>
      </c>
      <c r="AR228" s="35"/>
      <c r="AS228" s="45">
        <f t="shared" si="36"/>
        <v>0</v>
      </c>
      <c r="AT228" s="45"/>
      <c r="AU228" s="35">
        <v>0</v>
      </c>
      <c r="AV228" s="35"/>
      <c r="AW228" s="35">
        <v>0</v>
      </c>
      <c r="AX228" s="35"/>
      <c r="AY228" s="35">
        <f t="shared" si="37"/>
        <v>0</v>
      </c>
      <c r="AZ228" s="35"/>
      <c r="BA228" s="35" t="s">
        <v>266</v>
      </c>
      <c r="BB228" s="55"/>
      <c r="BC228" s="35" t="s">
        <v>267</v>
      </c>
      <c r="BD228" s="35"/>
      <c r="BE228" s="35"/>
      <c r="BF228" s="35"/>
      <c r="BG228" s="35"/>
      <c r="BH228" s="35"/>
      <c r="BI228" s="35"/>
      <c r="BJ228" s="35"/>
      <c r="BK228" s="35"/>
      <c r="BL228" s="35"/>
      <c r="BM228" s="35">
        <f t="shared" si="38"/>
        <v>0</v>
      </c>
      <c r="BN228" s="54" t="s">
        <v>347</v>
      </c>
    </row>
    <row r="229" spans="1:67" ht="13.2" hidden="1">
      <c r="A229" s="35" t="s">
        <v>268</v>
      </c>
      <c r="C229" s="35" t="s">
        <v>269</v>
      </c>
      <c r="D229" s="35"/>
      <c r="E229" s="35">
        <f t="shared" si="41"/>
        <v>0</v>
      </c>
      <c r="F229" s="35"/>
      <c r="G229" s="35"/>
      <c r="H229" s="35"/>
      <c r="I229" s="35"/>
      <c r="J229" s="35"/>
      <c r="K229" s="35">
        <f t="shared" si="42"/>
        <v>0</v>
      </c>
      <c r="L229" s="35"/>
      <c r="M229" s="35">
        <v>0</v>
      </c>
      <c r="N229" s="35"/>
      <c r="O229" s="35"/>
      <c r="P229" s="35"/>
      <c r="Q229" s="35"/>
      <c r="R229" s="35"/>
      <c r="S229" s="35">
        <v>0</v>
      </c>
      <c r="T229" s="35"/>
      <c r="U229" s="35"/>
      <c r="V229" s="35"/>
      <c r="W229" s="35">
        <f t="shared" ref="W229:W244" si="45">SUM(Q229:U229)</f>
        <v>0</v>
      </c>
      <c r="X229" s="35"/>
      <c r="Y229" s="35" t="s">
        <v>268</v>
      </c>
      <c r="Z229" s="55"/>
      <c r="AA229" s="35" t="s">
        <v>269</v>
      </c>
      <c r="AB229" s="35"/>
      <c r="AC229" s="35">
        <v>0</v>
      </c>
      <c r="AD229" s="35"/>
      <c r="AE229" s="35">
        <v>0</v>
      </c>
      <c r="AF229" s="35"/>
      <c r="AG229" s="35">
        <v>0</v>
      </c>
      <c r="AH229" s="35"/>
      <c r="AI229" s="45">
        <v>0</v>
      </c>
      <c r="AJ229" s="45"/>
      <c r="AK229" s="35"/>
      <c r="AL229" s="35"/>
      <c r="AM229" s="35">
        <v>0</v>
      </c>
      <c r="AN229" s="35"/>
      <c r="AO229" s="35">
        <v>0</v>
      </c>
      <c r="AP229" s="35"/>
      <c r="AQ229" s="35">
        <v>0</v>
      </c>
      <c r="AR229" s="35"/>
      <c r="AS229" s="45">
        <f t="shared" si="36"/>
        <v>0</v>
      </c>
      <c r="AT229" s="45"/>
      <c r="AU229" s="35">
        <v>0</v>
      </c>
      <c r="AV229" s="35"/>
      <c r="AW229" s="35">
        <v>0</v>
      </c>
      <c r="AX229" s="35"/>
      <c r="AY229" s="35">
        <f t="shared" si="37"/>
        <v>0</v>
      </c>
      <c r="AZ229" s="35"/>
      <c r="BA229" s="35" t="s">
        <v>268</v>
      </c>
      <c r="BB229" s="55"/>
      <c r="BC229" s="35" t="s">
        <v>269</v>
      </c>
      <c r="BD229" s="35"/>
      <c r="BE229" s="35"/>
      <c r="BF229" s="35"/>
      <c r="BG229" s="35"/>
      <c r="BH229" s="35"/>
      <c r="BI229" s="35"/>
      <c r="BJ229" s="35"/>
      <c r="BK229" s="35"/>
      <c r="BL229" s="35"/>
      <c r="BM229" s="35">
        <v>0</v>
      </c>
      <c r="BN229" s="54" t="s">
        <v>347</v>
      </c>
    </row>
    <row r="230" spans="1:67" ht="13.2" hidden="1">
      <c r="A230" s="35" t="s">
        <v>270</v>
      </c>
      <c r="C230" s="35" t="s">
        <v>136</v>
      </c>
      <c r="D230" s="35"/>
      <c r="E230" s="35">
        <f t="shared" si="41"/>
        <v>0</v>
      </c>
      <c r="F230" s="35"/>
      <c r="G230" s="35"/>
      <c r="H230" s="35"/>
      <c r="I230" s="35"/>
      <c r="J230" s="35"/>
      <c r="K230" s="35">
        <f t="shared" si="42"/>
        <v>0</v>
      </c>
      <c r="L230" s="35"/>
      <c r="M230" s="35">
        <v>0</v>
      </c>
      <c r="N230" s="35"/>
      <c r="O230" s="35"/>
      <c r="P230" s="35"/>
      <c r="Q230" s="35"/>
      <c r="R230" s="35"/>
      <c r="S230" s="35">
        <v>0</v>
      </c>
      <c r="T230" s="35"/>
      <c r="U230" s="35"/>
      <c r="V230" s="35"/>
      <c r="W230" s="35">
        <f t="shared" si="45"/>
        <v>0</v>
      </c>
      <c r="X230" s="35"/>
      <c r="Y230" s="35" t="s">
        <v>270</v>
      </c>
      <c r="Z230" s="55"/>
      <c r="AA230" s="35" t="s">
        <v>136</v>
      </c>
      <c r="AB230" s="35"/>
      <c r="AC230" s="35">
        <v>0</v>
      </c>
      <c r="AD230" s="35"/>
      <c r="AE230" s="35">
        <v>0</v>
      </c>
      <c r="AF230" s="35"/>
      <c r="AG230" s="35">
        <v>0</v>
      </c>
      <c r="AH230" s="35"/>
      <c r="AI230" s="45">
        <f>+AC230-AE230-AG230</f>
        <v>0</v>
      </c>
      <c r="AJ230" s="45"/>
      <c r="AK230" s="35"/>
      <c r="AL230" s="35"/>
      <c r="AM230" s="35">
        <v>0</v>
      </c>
      <c r="AN230" s="35"/>
      <c r="AO230" s="35">
        <v>0</v>
      </c>
      <c r="AP230" s="35"/>
      <c r="AQ230" s="35">
        <v>0</v>
      </c>
      <c r="AR230" s="35"/>
      <c r="AS230" s="45">
        <f t="shared" si="36"/>
        <v>0</v>
      </c>
      <c r="AT230" s="45"/>
      <c r="AU230" s="35">
        <v>0</v>
      </c>
      <c r="AV230" s="35"/>
      <c r="AW230" s="35">
        <v>0</v>
      </c>
      <c r="AX230" s="35"/>
      <c r="AY230" s="35">
        <f t="shared" si="37"/>
        <v>0</v>
      </c>
      <c r="AZ230" s="35"/>
      <c r="BA230" s="35" t="s">
        <v>270</v>
      </c>
      <c r="BB230" s="55"/>
      <c r="BC230" s="35" t="s">
        <v>136</v>
      </c>
      <c r="BD230" s="35"/>
      <c r="BE230" s="35"/>
      <c r="BF230" s="35"/>
      <c r="BG230" s="35"/>
      <c r="BH230" s="35"/>
      <c r="BI230" s="35"/>
      <c r="BJ230" s="35"/>
      <c r="BK230" s="35"/>
      <c r="BL230" s="35"/>
      <c r="BM230" s="35">
        <f t="shared" ref="BM230:BM244" si="46">SUM(BE230:BK230)</f>
        <v>0</v>
      </c>
      <c r="BN230" s="54" t="s">
        <v>347</v>
      </c>
    </row>
    <row r="231" spans="1:67" ht="13.2">
      <c r="A231" s="35" t="s">
        <v>271</v>
      </c>
      <c r="C231" s="35" t="s">
        <v>66</v>
      </c>
      <c r="D231" s="35"/>
      <c r="E231" s="35">
        <f t="shared" si="41"/>
        <v>243849</v>
      </c>
      <c r="F231" s="35"/>
      <c r="G231" s="35">
        <v>214731</v>
      </c>
      <c r="H231" s="35"/>
      <c r="I231" s="35">
        <v>458580</v>
      </c>
      <c r="J231" s="35"/>
      <c r="K231" s="35">
        <f t="shared" si="42"/>
        <v>42602</v>
      </c>
      <c r="L231" s="35"/>
      <c r="M231" s="35">
        <v>14413</v>
      </c>
      <c r="N231" s="35"/>
      <c r="O231" s="35">
        <v>57015</v>
      </c>
      <c r="P231" s="35"/>
      <c r="Q231" s="35">
        <v>214731</v>
      </c>
      <c r="R231" s="35"/>
      <c r="S231" s="35">
        <v>0</v>
      </c>
      <c r="T231" s="35"/>
      <c r="U231" s="35">
        <v>186834</v>
      </c>
      <c r="V231" s="35"/>
      <c r="W231" s="35">
        <f t="shared" si="45"/>
        <v>401565</v>
      </c>
      <c r="X231" s="35"/>
      <c r="Y231" s="35" t="s">
        <v>271</v>
      </c>
      <c r="Z231" s="55"/>
      <c r="AA231" s="35" t="s">
        <v>66</v>
      </c>
      <c r="AB231" s="35"/>
      <c r="AC231" s="35">
        <v>683896</v>
      </c>
      <c r="AD231" s="35"/>
      <c r="AE231" s="35">
        <f>690800-41897</f>
        <v>648903</v>
      </c>
      <c r="AF231" s="35"/>
      <c r="AG231" s="35">
        <v>41897</v>
      </c>
      <c r="AH231" s="35"/>
      <c r="AI231" s="45">
        <f>+AC231-AE231-AG231</f>
        <v>-6904</v>
      </c>
      <c r="AJ231" s="45"/>
      <c r="AK231" s="35">
        <v>5277</v>
      </c>
      <c r="AL231" s="35"/>
      <c r="AM231" s="35">
        <v>0</v>
      </c>
      <c r="AN231" s="35"/>
      <c r="AO231" s="35">
        <v>0</v>
      </c>
      <c r="AP231" s="35"/>
      <c r="AQ231" s="35">
        <v>0</v>
      </c>
      <c r="AR231" s="35"/>
      <c r="AS231" s="45">
        <f t="shared" si="36"/>
        <v>-1627</v>
      </c>
      <c r="AT231" s="45"/>
      <c r="AU231" s="35">
        <v>0</v>
      </c>
      <c r="AV231" s="35"/>
      <c r="AW231" s="35">
        <v>0</v>
      </c>
      <c r="AX231" s="35"/>
      <c r="AY231" s="35">
        <f t="shared" si="37"/>
        <v>201247</v>
      </c>
      <c r="AZ231" s="35"/>
      <c r="BA231" s="35" t="s">
        <v>271</v>
      </c>
      <c r="BB231" s="55"/>
      <c r="BC231" s="35" t="s">
        <v>66</v>
      </c>
      <c r="BD231" s="35"/>
      <c r="BE231" s="35">
        <v>0</v>
      </c>
      <c r="BF231" s="35"/>
      <c r="BG231" s="35">
        <v>0</v>
      </c>
      <c r="BH231" s="35"/>
      <c r="BI231" s="35">
        <v>0</v>
      </c>
      <c r="BJ231" s="35"/>
      <c r="BK231" s="35">
        <v>0</v>
      </c>
      <c r="BL231" s="35"/>
      <c r="BM231" s="35">
        <v>0</v>
      </c>
      <c r="BN231" s="54" t="s">
        <v>347</v>
      </c>
    </row>
    <row r="232" spans="1:67" ht="13.2" hidden="1">
      <c r="A232" s="35" t="s">
        <v>272</v>
      </c>
      <c r="C232" s="35" t="s">
        <v>43</v>
      </c>
      <c r="D232" s="35"/>
      <c r="E232" s="35">
        <f t="shared" si="41"/>
        <v>0</v>
      </c>
      <c r="F232" s="35"/>
      <c r="G232" s="35"/>
      <c r="H232" s="35"/>
      <c r="I232" s="35"/>
      <c r="J232" s="35"/>
      <c r="K232" s="35">
        <f t="shared" si="42"/>
        <v>0</v>
      </c>
      <c r="L232" s="35"/>
      <c r="M232" s="35">
        <v>0</v>
      </c>
      <c r="N232" s="35"/>
      <c r="O232" s="35"/>
      <c r="P232" s="35"/>
      <c r="Q232" s="35"/>
      <c r="R232" s="35"/>
      <c r="S232" s="35">
        <v>0</v>
      </c>
      <c r="T232" s="35"/>
      <c r="U232" s="35"/>
      <c r="V232" s="35"/>
      <c r="W232" s="35">
        <f t="shared" si="45"/>
        <v>0</v>
      </c>
      <c r="X232" s="35"/>
      <c r="Y232" s="35" t="s">
        <v>272</v>
      </c>
      <c r="Z232" s="55"/>
      <c r="AA232" s="35" t="s">
        <v>43</v>
      </c>
      <c r="AB232" s="35"/>
      <c r="AC232" s="35">
        <v>0</v>
      </c>
      <c r="AD232" s="35"/>
      <c r="AE232" s="35">
        <v>0</v>
      </c>
      <c r="AF232" s="35"/>
      <c r="AG232" s="35">
        <v>0</v>
      </c>
      <c r="AH232" s="35"/>
      <c r="AI232" s="45">
        <f>+AC232-AE232-AG232</f>
        <v>0</v>
      </c>
      <c r="AJ232" s="45"/>
      <c r="AK232" s="35"/>
      <c r="AL232" s="35"/>
      <c r="AM232" s="35">
        <v>0</v>
      </c>
      <c r="AN232" s="35"/>
      <c r="AO232" s="35">
        <v>0</v>
      </c>
      <c r="AP232" s="35"/>
      <c r="AQ232" s="35">
        <v>0</v>
      </c>
      <c r="AR232" s="35"/>
      <c r="AS232" s="45">
        <f t="shared" si="36"/>
        <v>0</v>
      </c>
      <c r="AT232" s="45"/>
      <c r="AU232" s="35">
        <v>0</v>
      </c>
      <c r="AV232" s="35"/>
      <c r="AW232" s="35">
        <v>0</v>
      </c>
      <c r="AX232" s="35"/>
      <c r="AY232" s="35">
        <f t="shared" si="37"/>
        <v>0</v>
      </c>
      <c r="AZ232" s="35"/>
      <c r="BA232" s="35" t="s">
        <v>272</v>
      </c>
      <c r="BB232" s="55"/>
      <c r="BC232" s="35" t="s">
        <v>43</v>
      </c>
      <c r="BD232" s="35"/>
      <c r="BE232" s="35"/>
      <c r="BF232" s="35"/>
      <c r="BG232" s="35"/>
      <c r="BH232" s="35"/>
      <c r="BI232" s="35"/>
      <c r="BJ232" s="35"/>
      <c r="BK232" s="35"/>
      <c r="BL232" s="35"/>
      <c r="BM232" s="35">
        <f t="shared" si="46"/>
        <v>0</v>
      </c>
      <c r="BN232" s="54" t="s">
        <v>347</v>
      </c>
    </row>
    <row r="233" spans="1:67" ht="13.2" hidden="1">
      <c r="A233" s="35" t="s">
        <v>273</v>
      </c>
      <c r="C233" s="35" t="s">
        <v>27</v>
      </c>
      <c r="D233" s="35"/>
      <c r="E233" s="35">
        <f t="shared" si="41"/>
        <v>0</v>
      </c>
      <c r="F233" s="35"/>
      <c r="G233" s="35">
        <v>0</v>
      </c>
      <c r="H233" s="35"/>
      <c r="I233" s="35">
        <v>0</v>
      </c>
      <c r="J233" s="35"/>
      <c r="K233" s="35">
        <f t="shared" si="42"/>
        <v>0</v>
      </c>
      <c r="L233" s="35"/>
      <c r="M233" s="35">
        <v>0</v>
      </c>
      <c r="N233" s="35"/>
      <c r="O233" s="35">
        <v>0</v>
      </c>
      <c r="P233" s="35"/>
      <c r="Q233" s="35">
        <v>0</v>
      </c>
      <c r="R233" s="35"/>
      <c r="S233" s="35">
        <v>0</v>
      </c>
      <c r="T233" s="35"/>
      <c r="U233" s="35">
        <v>0</v>
      </c>
      <c r="V233" s="35"/>
      <c r="W233" s="35">
        <f t="shared" si="45"/>
        <v>0</v>
      </c>
      <c r="X233" s="35"/>
      <c r="Y233" s="35" t="s">
        <v>273</v>
      </c>
      <c r="Z233" s="55"/>
      <c r="AA233" s="35" t="s">
        <v>27</v>
      </c>
      <c r="AB233" s="35"/>
      <c r="AC233" s="35">
        <v>0</v>
      </c>
      <c r="AD233" s="35"/>
      <c r="AE233" s="35">
        <v>0</v>
      </c>
      <c r="AF233" s="35"/>
      <c r="AG233" s="35">
        <v>0</v>
      </c>
      <c r="AH233" s="35"/>
      <c r="AI233" s="45">
        <f>+AC233-AE233-AG233</f>
        <v>0</v>
      </c>
      <c r="AJ233" s="45"/>
      <c r="AK233" s="35">
        <v>0</v>
      </c>
      <c r="AL233" s="35"/>
      <c r="AM233" s="35">
        <v>0</v>
      </c>
      <c r="AN233" s="35"/>
      <c r="AO233" s="35">
        <v>0</v>
      </c>
      <c r="AP233" s="35"/>
      <c r="AQ233" s="35">
        <v>0</v>
      </c>
      <c r="AR233" s="35"/>
      <c r="AS233" s="45">
        <f t="shared" si="36"/>
        <v>0</v>
      </c>
      <c r="AT233" s="45"/>
      <c r="AU233" s="35">
        <v>0</v>
      </c>
      <c r="AV233" s="35"/>
      <c r="AW233" s="35">
        <v>0</v>
      </c>
      <c r="AX233" s="35"/>
      <c r="AY233" s="35">
        <f t="shared" si="37"/>
        <v>0</v>
      </c>
      <c r="AZ233" s="35"/>
      <c r="BA233" s="35" t="s">
        <v>273</v>
      </c>
      <c r="BB233" s="55"/>
      <c r="BC233" s="35" t="s">
        <v>27</v>
      </c>
      <c r="BD233" s="35"/>
      <c r="BE233" s="35"/>
      <c r="BF233" s="35"/>
      <c r="BG233" s="35"/>
      <c r="BH233" s="35"/>
      <c r="BI233" s="35"/>
      <c r="BJ233" s="35"/>
      <c r="BK233" s="35"/>
      <c r="BL233" s="35"/>
      <c r="BM233" s="35">
        <f t="shared" si="46"/>
        <v>0</v>
      </c>
      <c r="BN233" s="54" t="s">
        <v>347</v>
      </c>
    </row>
    <row r="234" spans="1:67" ht="13.2" hidden="1">
      <c r="A234" s="35" t="s">
        <v>274</v>
      </c>
      <c r="C234" s="35" t="s">
        <v>43</v>
      </c>
      <c r="D234" s="35"/>
      <c r="E234" s="35">
        <f t="shared" si="41"/>
        <v>0</v>
      </c>
      <c r="F234" s="35"/>
      <c r="G234" s="35">
        <v>0</v>
      </c>
      <c r="H234" s="35"/>
      <c r="I234" s="35">
        <v>0</v>
      </c>
      <c r="J234" s="35"/>
      <c r="K234" s="35">
        <f t="shared" si="42"/>
        <v>0</v>
      </c>
      <c r="L234" s="35"/>
      <c r="M234" s="35">
        <v>0</v>
      </c>
      <c r="N234" s="35"/>
      <c r="O234" s="35">
        <v>0</v>
      </c>
      <c r="P234" s="35"/>
      <c r="Q234" s="35">
        <v>0</v>
      </c>
      <c r="R234" s="35"/>
      <c r="S234" s="35">
        <v>0</v>
      </c>
      <c r="T234" s="35"/>
      <c r="U234" s="35">
        <v>0</v>
      </c>
      <c r="V234" s="35"/>
      <c r="W234" s="35">
        <f t="shared" si="45"/>
        <v>0</v>
      </c>
      <c r="X234" s="35"/>
      <c r="Y234" s="35" t="s">
        <v>274</v>
      </c>
      <c r="Z234" s="55"/>
      <c r="AA234" s="35" t="s">
        <v>43</v>
      </c>
      <c r="AB234" s="35"/>
      <c r="AC234" s="35">
        <v>0</v>
      </c>
      <c r="AD234" s="35"/>
      <c r="AE234" s="35">
        <v>0</v>
      </c>
      <c r="AF234" s="35"/>
      <c r="AG234" s="35">
        <v>0</v>
      </c>
      <c r="AH234" s="35"/>
      <c r="AI234" s="45">
        <v>0</v>
      </c>
      <c r="AJ234" s="45"/>
      <c r="AK234" s="35">
        <v>0</v>
      </c>
      <c r="AL234" s="35"/>
      <c r="AM234" s="35">
        <v>0</v>
      </c>
      <c r="AN234" s="35"/>
      <c r="AO234" s="35">
        <v>0</v>
      </c>
      <c r="AP234" s="35"/>
      <c r="AQ234" s="35">
        <v>0</v>
      </c>
      <c r="AR234" s="35"/>
      <c r="AS234" s="45">
        <f t="shared" si="36"/>
        <v>0</v>
      </c>
      <c r="AT234" s="45"/>
      <c r="AU234" s="35">
        <v>0</v>
      </c>
      <c r="AV234" s="35"/>
      <c r="AW234" s="35">
        <v>0</v>
      </c>
      <c r="AX234" s="35"/>
      <c r="AY234" s="35">
        <f t="shared" si="37"/>
        <v>0</v>
      </c>
      <c r="AZ234" s="35"/>
      <c r="BA234" s="35" t="s">
        <v>274</v>
      </c>
      <c r="BB234" s="55"/>
      <c r="BC234" s="35" t="s">
        <v>43</v>
      </c>
      <c r="BD234" s="35"/>
      <c r="BE234" s="35"/>
      <c r="BF234" s="35"/>
      <c r="BG234" s="35"/>
      <c r="BH234" s="35"/>
      <c r="BI234" s="35"/>
      <c r="BJ234" s="35"/>
      <c r="BK234" s="35"/>
      <c r="BL234" s="35"/>
      <c r="BM234" s="35">
        <f t="shared" si="46"/>
        <v>0</v>
      </c>
      <c r="BN234" s="54" t="s">
        <v>347</v>
      </c>
    </row>
    <row r="235" spans="1:67" ht="13.2" hidden="1">
      <c r="A235" s="35" t="s">
        <v>275</v>
      </c>
      <c r="C235" s="35" t="s">
        <v>92</v>
      </c>
      <c r="D235" s="35"/>
      <c r="E235" s="35">
        <f t="shared" si="41"/>
        <v>0</v>
      </c>
      <c r="F235" s="35"/>
      <c r="G235" s="35">
        <v>0</v>
      </c>
      <c r="H235" s="35"/>
      <c r="I235" s="35">
        <v>0</v>
      </c>
      <c r="J235" s="35"/>
      <c r="K235" s="35">
        <f t="shared" si="42"/>
        <v>0</v>
      </c>
      <c r="L235" s="35"/>
      <c r="M235" s="35">
        <v>0</v>
      </c>
      <c r="N235" s="35"/>
      <c r="O235" s="35">
        <v>0</v>
      </c>
      <c r="P235" s="35"/>
      <c r="Q235" s="35">
        <v>0</v>
      </c>
      <c r="R235" s="35"/>
      <c r="S235" s="35">
        <v>0</v>
      </c>
      <c r="T235" s="35"/>
      <c r="U235" s="35">
        <v>0</v>
      </c>
      <c r="V235" s="35"/>
      <c r="W235" s="35">
        <f t="shared" si="45"/>
        <v>0</v>
      </c>
      <c r="X235" s="35"/>
      <c r="Y235" s="35" t="s">
        <v>275</v>
      </c>
      <c r="Z235" s="55"/>
      <c r="AA235" s="35" t="s">
        <v>92</v>
      </c>
      <c r="AB235" s="35"/>
      <c r="AC235" s="35">
        <v>0</v>
      </c>
      <c r="AD235" s="35"/>
      <c r="AE235" s="35">
        <v>0</v>
      </c>
      <c r="AF235" s="35"/>
      <c r="AG235" s="35">
        <v>0</v>
      </c>
      <c r="AH235" s="35"/>
      <c r="AI235" s="45">
        <f t="shared" ref="AI235:AI242" si="47">+AC235-AE235-AG235</f>
        <v>0</v>
      </c>
      <c r="AJ235" s="45"/>
      <c r="AK235" s="35">
        <v>0</v>
      </c>
      <c r="AL235" s="35"/>
      <c r="AM235" s="35">
        <v>0</v>
      </c>
      <c r="AN235" s="35"/>
      <c r="AO235" s="35">
        <v>0</v>
      </c>
      <c r="AP235" s="35"/>
      <c r="AQ235" s="35">
        <v>0</v>
      </c>
      <c r="AR235" s="35"/>
      <c r="AS235" s="45">
        <f t="shared" si="36"/>
        <v>0</v>
      </c>
      <c r="AT235" s="45"/>
      <c r="AU235" s="35">
        <v>0</v>
      </c>
      <c r="AV235" s="35"/>
      <c r="AW235" s="35">
        <v>0</v>
      </c>
      <c r="AX235" s="35"/>
      <c r="AY235" s="35">
        <f t="shared" si="37"/>
        <v>0</v>
      </c>
      <c r="AZ235" s="35"/>
      <c r="BA235" s="35" t="s">
        <v>275</v>
      </c>
      <c r="BB235" s="55"/>
      <c r="BC235" s="35" t="s">
        <v>92</v>
      </c>
      <c r="BD235" s="35"/>
      <c r="BE235" s="35"/>
      <c r="BF235" s="35"/>
      <c r="BG235" s="35"/>
      <c r="BH235" s="35"/>
      <c r="BI235" s="35"/>
      <c r="BJ235" s="35"/>
      <c r="BK235" s="35"/>
      <c r="BL235" s="35"/>
      <c r="BM235" s="35">
        <f t="shared" si="46"/>
        <v>0</v>
      </c>
      <c r="BN235" s="54" t="s">
        <v>347</v>
      </c>
    </row>
    <row r="236" spans="1:67" ht="13.2" hidden="1">
      <c r="A236" s="35" t="s">
        <v>276</v>
      </c>
      <c r="C236" s="35" t="s">
        <v>38</v>
      </c>
      <c r="D236" s="35"/>
      <c r="E236" s="35">
        <f t="shared" si="41"/>
        <v>0</v>
      </c>
      <c r="F236" s="35"/>
      <c r="G236" s="35"/>
      <c r="H236" s="35"/>
      <c r="I236" s="35"/>
      <c r="J236" s="35"/>
      <c r="K236" s="35">
        <f t="shared" si="42"/>
        <v>0</v>
      </c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>
        <f t="shared" si="45"/>
        <v>0</v>
      </c>
      <c r="X236" s="35"/>
      <c r="Y236" s="35" t="s">
        <v>276</v>
      </c>
      <c r="Z236" s="55"/>
      <c r="AA236" s="35" t="s">
        <v>38</v>
      </c>
      <c r="AB236" s="35"/>
      <c r="AC236" s="35"/>
      <c r="AD236" s="35"/>
      <c r="AE236" s="35"/>
      <c r="AF236" s="35"/>
      <c r="AG236" s="35"/>
      <c r="AH236" s="35"/>
      <c r="AI236" s="45">
        <f t="shared" si="47"/>
        <v>0</v>
      </c>
      <c r="AJ236" s="45"/>
      <c r="AK236" s="35"/>
      <c r="AL236" s="35"/>
      <c r="AM236" s="35"/>
      <c r="AN236" s="35"/>
      <c r="AO236" s="35"/>
      <c r="AP236" s="35"/>
      <c r="AQ236" s="35"/>
      <c r="AR236" s="35"/>
      <c r="AS236" s="45">
        <f t="shared" si="36"/>
        <v>0</v>
      </c>
      <c r="AT236" s="45"/>
      <c r="AU236" s="35">
        <v>0</v>
      </c>
      <c r="AV236" s="35"/>
      <c r="AW236" s="35">
        <v>0</v>
      </c>
      <c r="AX236" s="35"/>
      <c r="AY236" s="35">
        <f t="shared" si="37"/>
        <v>0</v>
      </c>
      <c r="AZ236" s="35"/>
      <c r="BA236" s="35" t="s">
        <v>276</v>
      </c>
      <c r="BB236" s="55"/>
      <c r="BC236" s="35" t="s">
        <v>38</v>
      </c>
      <c r="BD236" s="35"/>
      <c r="BE236" s="35"/>
      <c r="BF236" s="35"/>
      <c r="BG236" s="35"/>
      <c r="BH236" s="35"/>
      <c r="BI236" s="35"/>
      <c r="BJ236" s="35"/>
      <c r="BK236" s="35"/>
      <c r="BL236" s="35"/>
      <c r="BM236" s="35">
        <f t="shared" si="46"/>
        <v>0</v>
      </c>
      <c r="BN236" s="54" t="s">
        <v>347</v>
      </c>
      <c r="BO236" s="35" t="s">
        <v>366</v>
      </c>
    </row>
    <row r="237" spans="1:67" ht="13.2" hidden="1">
      <c r="A237" s="35" t="s">
        <v>277</v>
      </c>
      <c r="C237" s="35" t="s">
        <v>92</v>
      </c>
      <c r="D237" s="35"/>
      <c r="E237" s="35">
        <f t="shared" si="41"/>
        <v>0</v>
      </c>
      <c r="F237" s="35"/>
      <c r="G237" s="35">
        <v>0</v>
      </c>
      <c r="H237" s="35"/>
      <c r="I237" s="35">
        <v>0</v>
      </c>
      <c r="J237" s="35"/>
      <c r="K237" s="35">
        <f t="shared" si="42"/>
        <v>0</v>
      </c>
      <c r="L237" s="35"/>
      <c r="M237" s="35">
        <v>0</v>
      </c>
      <c r="N237" s="35"/>
      <c r="O237" s="35">
        <v>0</v>
      </c>
      <c r="P237" s="35"/>
      <c r="Q237" s="35">
        <v>0</v>
      </c>
      <c r="R237" s="35"/>
      <c r="S237" s="35">
        <v>0</v>
      </c>
      <c r="T237" s="35"/>
      <c r="U237" s="35">
        <v>0</v>
      </c>
      <c r="V237" s="35"/>
      <c r="W237" s="35">
        <f t="shared" si="45"/>
        <v>0</v>
      </c>
      <c r="X237" s="35"/>
      <c r="Y237" s="35" t="s">
        <v>277</v>
      </c>
      <c r="Z237" s="55"/>
      <c r="AA237" s="35" t="s">
        <v>92</v>
      </c>
      <c r="AB237" s="35"/>
      <c r="AC237" s="35">
        <v>0</v>
      </c>
      <c r="AD237" s="35"/>
      <c r="AE237" s="35">
        <v>0</v>
      </c>
      <c r="AF237" s="35"/>
      <c r="AG237" s="35">
        <v>0</v>
      </c>
      <c r="AH237" s="35"/>
      <c r="AI237" s="45">
        <f t="shared" si="47"/>
        <v>0</v>
      </c>
      <c r="AJ237" s="45"/>
      <c r="AK237" s="35">
        <v>0</v>
      </c>
      <c r="AL237" s="35"/>
      <c r="AM237" s="35">
        <v>0</v>
      </c>
      <c r="AN237" s="35"/>
      <c r="AO237" s="35">
        <v>0</v>
      </c>
      <c r="AP237" s="35"/>
      <c r="AQ237" s="35">
        <v>0</v>
      </c>
      <c r="AR237" s="35"/>
      <c r="AS237" s="45">
        <f t="shared" ref="AS237:AS238" si="48">+AI237+AK237+AM237-AO237+AQ237</f>
        <v>0</v>
      </c>
      <c r="AT237" s="45"/>
      <c r="AU237" s="35">
        <v>0</v>
      </c>
      <c r="AV237" s="35"/>
      <c r="AW237" s="35">
        <v>0</v>
      </c>
      <c r="AX237" s="35"/>
      <c r="AY237" s="35">
        <f t="shared" ref="AY237:AY244" si="49">+E237-K237</f>
        <v>0</v>
      </c>
      <c r="AZ237" s="35"/>
      <c r="BA237" s="35" t="s">
        <v>277</v>
      </c>
      <c r="BB237" s="55"/>
      <c r="BC237" s="35" t="s">
        <v>92</v>
      </c>
      <c r="BD237" s="35"/>
      <c r="BE237" s="35"/>
      <c r="BF237" s="35"/>
      <c r="BG237" s="35"/>
      <c r="BH237" s="35"/>
      <c r="BI237" s="35"/>
      <c r="BJ237" s="35"/>
      <c r="BK237" s="35"/>
      <c r="BL237" s="35"/>
      <c r="BM237" s="35">
        <f t="shared" si="46"/>
        <v>0</v>
      </c>
      <c r="BN237" s="54" t="s">
        <v>347</v>
      </c>
    </row>
    <row r="238" spans="1:67" ht="13.2" hidden="1">
      <c r="A238" s="35" t="s">
        <v>278</v>
      </c>
      <c r="C238" s="35" t="s">
        <v>92</v>
      </c>
      <c r="D238" s="35"/>
      <c r="E238" s="35">
        <f t="shared" si="41"/>
        <v>0</v>
      </c>
      <c r="F238" s="35"/>
      <c r="G238" s="35"/>
      <c r="H238" s="35"/>
      <c r="I238" s="35"/>
      <c r="J238" s="35"/>
      <c r="K238" s="35">
        <f t="shared" si="42"/>
        <v>0</v>
      </c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>
        <f t="shared" si="45"/>
        <v>0</v>
      </c>
      <c r="X238" s="35"/>
      <c r="Y238" s="35" t="s">
        <v>278</v>
      </c>
      <c r="Z238" s="55"/>
      <c r="AA238" s="35" t="s">
        <v>92</v>
      </c>
      <c r="AB238" s="35"/>
      <c r="AC238" s="35"/>
      <c r="AD238" s="35"/>
      <c r="AE238" s="35"/>
      <c r="AF238" s="35"/>
      <c r="AG238" s="35"/>
      <c r="AH238" s="35"/>
      <c r="AI238" s="45">
        <f t="shared" si="47"/>
        <v>0</v>
      </c>
      <c r="AJ238" s="45"/>
      <c r="AK238" s="35"/>
      <c r="AL238" s="35"/>
      <c r="AM238" s="35"/>
      <c r="AN238" s="35"/>
      <c r="AO238" s="35"/>
      <c r="AP238" s="35"/>
      <c r="AQ238" s="35"/>
      <c r="AR238" s="35"/>
      <c r="AS238" s="45">
        <f t="shared" si="48"/>
        <v>0</v>
      </c>
      <c r="AT238" s="45"/>
      <c r="AU238" s="35">
        <v>0</v>
      </c>
      <c r="AV238" s="35"/>
      <c r="AW238" s="35">
        <v>0</v>
      </c>
      <c r="AX238" s="35"/>
      <c r="AY238" s="35">
        <f t="shared" si="49"/>
        <v>0</v>
      </c>
      <c r="AZ238" s="35"/>
      <c r="BA238" s="35" t="s">
        <v>278</v>
      </c>
      <c r="BB238" s="55"/>
      <c r="BC238" s="35" t="s">
        <v>92</v>
      </c>
      <c r="BD238" s="35"/>
      <c r="BE238" s="35"/>
      <c r="BF238" s="35"/>
      <c r="BG238" s="35"/>
      <c r="BH238" s="35"/>
      <c r="BI238" s="35"/>
      <c r="BJ238" s="35"/>
      <c r="BK238" s="35"/>
      <c r="BL238" s="35"/>
      <c r="BM238" s="35">
        <f t="shared" si="46"/>
        <v>0</v>
      </c>
      <c r="BN238" s="54" t="s">
        <v>347</v>
      </c>
    </row>
    <row r="239" spans="1:67" ht="13.2" hidden="1">
      <c r="A239" s="35" t="s">
        <v>279</v>
      </c>
      <c r="C239" s="35" t="s">
        <v>92</v>
      </c>
      <c r="D239" s="35"/>
      <c r="E239" s="35">
        <f t="shared" si="41"/>
        <v>0</v>
      </c>
      <c r="F239" s="35"/>
      <c r="G239" s="35">
        <v>0</v>
      </c>
      <c r="H239" s="35"/>
      <c r="I239" s="35">
        <v>0</v>
      </c>
      <c r="J239" s="35"/>
      <c r="K239" s="35">
        <f t="shared" si="42"/>
        <v>0</v>
      </c>
      <c r="L239" s="35"/>
      <c r="M239" s="35">
        <v>0</v>
      </c>
      <c r="N239" s="35"/>
      <c r="O239" s="35">
        <v>0</v>
      </c>
      <c r="P239" s="35"/>
      <c r="Q239" s="35">
        <v>0</v>
      </c>
      <c r="R239" s="35"/>
      <c r="S239" s="35">
        <v>0</v>
      </c>
      <c r="T239" s="35"/>
      <c r="U239" s="35">
        <v>0</v>
      </c>
      <c r="V239" s="35"/>
      <c r="W239" s="35">
        <f t="shared" si="45"/>
        <v>0</v>
      </c>
      <c r="X239" s="35"/>
      <c r="Y239" s="35" t="s">
        <v>279</v>
      </c>
      <c r="Z239" s="55"/>
      <c r="AA239" s="35" t="s">
        <v>92</v>
      </c>
      <c r="AB239" s="35"/>
      <c r="AC239" s="35">
        <v>0</v>
      </c>
      <c r="AD239" s="35"/>
      <c r="AE239" s="35">
        <v>0</v>
      </c>
      <c r="AF239" s="35"/>
      <c r="AG239" s="35">
        <v>0</v>
      </c>
      <c r="AH239" s="35"/>
      <c r="AI239" s="45">
        <f t="shared" si="47"/>
        <v>0</v>
      </c>
      <c r="AJ239" s="45"/>
      <c r="AK239" s="35">
        <v>0</v>
      </c>
      <c r="AL239" s="35"/>
      <c r="AM239" s="35">
        <v>0</v>
      </c>
      <c r="AN239" s="35"/>
      <c r="AO239" s="35">
        <v>0</v>
      </c>
      <c r="AP239" s="35"/>
      <c r="AQ239" s="35">
        <v>0</v>
      </c>
      <c r="AR239" s="35"/>
      <c r="AS239" s="45">
        <v>0</v>
      </c>
      <c r="AT239" s="45"/>
      <c r="AU239" s="35">
        <v>0</v>
      </c>
      <c r="AV239" s="35"/>
      <c r="AW239" s="35">
        <v>0</v>
      </c>
      <c r="AX239" s="35"/>
      <c r="AY239" s="35">
        <f t="shared" si="49"/>
        <v>0</v>
      </c>
      <c r="AZ239" s="35"/>
      <c r="BA239" s="35" t="s">
        <v>279</v>
      </c>
      <c r="BB239" s="55"/>
      <c r="BC239" s="35" t="s">
        <v>92</v>
      </c>
      <c r="BD239" s="35"/>
      <c r="BE239" s="35"/>
      <c r="BF239" s="35"/>
      <c r="BG239" s="35"/>
      <c r="BH239" s="35"/>
      <c r="BI239" s="35"/>
      <c r="BJ239" s="35"/>
      <c r="BK239" s="35"/>
      <c r="BL239" s="35"/>
      <c r="BM239" s="35">
        <f t="shared" si="46"/>
        <v>0</v>
      </c>
      <c r="BN239" s="54" t="s">
        <v>347</v>
      </c>
      <c r="BO239" s="55" t="s">
        <v>367</v>
      </c>
    </row>
    <row r="240" spans="1:67" ht="13.2">
      <c r="A240" s="35" t="s">
        <v>280</v>
      </c>
      <c r="C240" s="35" t="s">
        <v>281</v>
      </c>
      <c r="D240" s="35"/>
      <c r="E240" s="35">
        <f t="shared" si="41"/>
        <v>406792</v>
      </c>
      <c r="F240" s="35"/>
      <c r="G240" s="35">
        <v>2910889</v>
      </c>
      <c r="H240" s="35"/>
      <c r="I240" s="35">
        <v>3317681</v>
      </c>
      <c r="J240" s="35"/>
      <c r="K240" s="35">
        <f t="shared" si="42"/>
        <v>73607</v>
      </c>
      <c r="L240" s="35"/>
      <c r="M240" s="35">
        <v>3628441</v>
      </c>
      <c r="N240" s="35"/>
      <c r="O240" s="35">
        <v>3702048</v>
      </c>
      <c r="P240" s="35"/>
      <c r="Q240" s="35">
        <v>2910889</v>
      </c>
      <c r="R240" s="35"/>
      <c r="S240" s="35">
        <v>0</v>
      </c>
      <c r="T240" s="35"/>
      <c r="U240" s="35">
        <v>-3295256</v>
      </c>
      <c r="V240" s="35"/>
      <c r="W240" s="35">
        <f t="shared" si="45"/>
        <v>-384367</v>
      </c>
      <c r="X240" s="35"/>
      <c r="Y240" s="35" t="s">
        <v>280</v>
      </c>
      <c r="Z240" s="55"/>
      <c r="AA240" s="35" t="s">
        <v>281</v>
      </c>
      <c r="AB240" s="35"/>
      <c r="AC240" s="35">
        <v>1615455</v>
      </c>
      <c r="AD240" s="35"/>
      <c r="AE240" s="35">
        <f>2652044-356922</f>
        <v>2295122</v>
      </c>
      <c r="AF240" s="35"/>
      <c r="AG240" s="35">
        <v>356922</v>
      </c>
      <c r="AH240" s="35"/>
      <c r="AI240" s="45">
        <f t="shared" si="47"/>
        <v>-1036589</v>
      </c>
      <c r="AJ240" s="45"/>
      <c r="AK240" s="35">
        <v>0</v>
      </c>
      <c r="AL240" s="35"/>
      <c r="AM240" s="35">
        <v>0</v>
      </c>
      <c r="AN240" s="35"/>
      <c r="AO240" s="35">
        <v>0</v>
      </c>
      <c r="AP240" s="35"/>
      <c r="AQ240" s="35">
        <v>0</v>
      </c>
      <c r="AR240" s="35"/>
      <c r="AS240" s="45">
        <f t="shared" ref="AS240:AS244" si="50">+AI240+AK240+AM240-AO240+AQ240</f>
        <v>-1036589</v>
      </c>
      <c r="AT240" s="45"/>
      <c r="AU240" s="35">
        <v>0</v>
      </c>
      <c r="AV240" s="35"/>
      <c r="AW240" s="35">
        <v>0</v>
      </c>
      <c r="AX240" s="35"/>
      <c r="AY240" s="35">
        <f t="shared" si="49"/>
        <v>333185</v>
      </c>
      <c r="AZ240" s="35"/>
      <c r="BA240" s="35" t="s">
        <v>280</v>
      </c>
      <c r="BB240" s="55"/>
      <c r="BC240" s="35" t="s">
        <v>281</v>
      </c>
      <c r="BD240" s="35"/>
      <c r="BE240" s="35">
        <v>3579600</v>
      </c>
      <c r="BF240" s="35"/>
      <c r="BG240" s="35">
        <v>0</v>
      </c>
      <c r="BH240" s="35"/>
      <c r="BI240" s="35">
        <v>0</v>
      </c>
      <c r="BJ240" s="35"/>
      <c r="BK240" s="35">
        <v>0</v>
      </c>
      <c r="BL240" s="35"/>
      <c r="BM240" s="35">
        <f t="shared" si="46"/>
        <v>3579600</v>
      </c>
      <c r="BN240" s="54" t="s">
        <v>347</v>
      </c>
      <c r="BO240" s="55" t="s">
        <v>367</v>
      </c>
    </row>
    <row r="241" spans="1:67" ht="13.2">
      <c r="A241" s="35" t="s">
        <v>282</v>
      </c>
      <c r="C241" s="35" t="s">
        <v>199</v>
      </c>
      <c r="D241" s="35"/>
      <c r="E241" s="35">
        <f t="shared" si="41"/>
        <v>407393</v>
      </c>
      <c r="F241" s="35"/>
      <c r="G241" s="35">
        <v>0</v>
      </c>
      <c r="H241" s="35"/>
      <c r="I241" s="35">
        <v>407393</v>
      </c>
      <c r="J241" s="35"/>
      <c r="K241" s="35">
        <f t="shared" si="42"/>
        <v>108025</v>
      </c>
      <c r="L241" s="35"/>
      <c r="M241" s="35">
        <v>0</v>
      </c>
      <c r="N241" s="35"/>
      <c r="O241" s="35">
        <v>108025</v>
      </c>
      <c r="P241" s="35"/>
      <c r="Q241" s="35">
        <v>0</v>
      </c>
      <c r="R241" s="35"/>
      <c r="S241" s="35">
        <v>0</v>
      </c>
      <c r="T241" s="35"/>
      <c r="U241" s="35">
        <v>299368</v>
      </c>
      <c r="V241" s="35"/>
      <c r="W241" s="35">
        <f t="shared" si="45"/>
        <v>299368</v>
      </c>
      <c r="X241" s="35"/>
      <c r="Y241" s="35" t="s">
        <v>282</v>
      </c>
      <c r="Z241" s="55"/>
      <c r="AA241" s="35" t="s">
        <v>199</v>
      </c>
      <c r="AB241" s="35"/>
      <c r="AC241" s="35">
        <v>1284441</v>
      </c>
      <c r="AD241" s="35"/>
      <c r="AE241" s="35">
        <v>1350942</v>
      </c>
      <c r="AF241" s="35"/>
      <c r="AG241" s="35">
        <v>0</v>
      </c>
      <c r="AH241" s="35"/>
      <c r="AI241" s="45">
        <f t="shared" si="47"/>
        <v>-66501</v>
      </c>
      <c r="AJ241" s="45"/>
      <c r="AK241" s="35">
        <v>90738</v>
      </c>
      <c r="AL241" s="35"/>
      <c r="AM241" s="35">
        <v>0</v>
      </c>
      <c r="AN241" s="35"/>
      <c r="AO241" s="35">
        <v>0</v>
      </c>
      <c r="AP241" s="35"/>
      <c r="AQ241" s="35">
        <v>0</v>
      </c>
      <c r="AR241" s="35"/>
      <c r="AS241" s="45">
        <f t="shared" si="50"/>
        <v>24237</v>
      </c>
      <c r="AT241" s="45"/>
      <c r="AU241" s="35">
        <v>0</v>
      </c>
      <c r="AV241" s="35"/>
      <c r="AW241" s="35">
        <v>0</v>
      </c>
      <c r="AX241" s="35"/>
      <c r="AY241" s="35">
        <f t="shared" si="49"/>
        <v>299368</v>
      </c>
      <c r="AZ241" s="35"/>
      <c r="BA241" s="35" t="s">
        <v>282</v>
      </c>
      <c r="BB241" s="55"/>
      <c r="BC241" s="35" t="s">
        <v>199</v>
      </c>
      <c r="BD241" s="35"/>
      <c r="BE241" s="35">
        <f>1640685+5602749+11163905</f>
        <v>18407339</v>
      </c>
      <c r="BF241" s="35"/>
      <c r="BG241" s="35">
        <v>0</v>
      </c>
      <c r="BH241" s="35"/>
      <c r="BI241" s="35">
        <v>0</v>
      </c>
      <c r="BJ241" s="35"/>
      <c r="BK241" s="35">
        <v>210938</v>
      </c>
      <c r="BL241" s="35"/>
      <c r="BM241" s="35">
        <f t="shared" si="46"/>
        <v>18618277</v>
      </c>
      <c r="BN241" s="54" t="s">
        <v>347</v>
      </c>
    </row>
    <row r="242" spans="1:67" ht="13.2" hidden="1">
      <c r="A242" s="35" t="s">
        <v>283</v>
      </c>
      <c r="C242" s="35" t="s">
        <v>43</v>
      </c>
      <c r="D242" s="35"/>
      <c r="E242" s="35">
        <f t="shared" si="41"/>
        <v>0</v>
      </c>
      <c r="F242" s="35"/>
      <c r="G242" s="35">
        <v>0</v>
      </c>
      <c r="H242" s="35"/>
      <c r="I242" s="35">
        <v>0</v>
      </c>
      <c r="J242" s="35"/>
      <c r="K242" s="35">
        <f t="shared" si="42"/>
        <v>0</v>
      </c>
      <c r="L242" s="35"/>
      <c r="M242" s="35">
        <v>0</v>
      </c>
      <c r="N242" s="35"/>
      <c r="O242" s="35">
        <v>0</v>
      </c>
      <c r="P242" s="35"/>
      <c r="Q242" s="35">
        <v>0</v>
      </c>
      <c r="R242" s="35"/>
      <c r="S242" s="35">
        <v>0</v>
      </c>
      <c r="T242" s="35"/>
      <c r="U242" s="35">
        <v>0</v>
      </c>
      <c r="V242" s="35"/>
      <c r="W242" s="35">
        <f t="shared" si="45"/>
        <v>0</v>
      </c>
      <c r="X242" s="35"/>
      <c r="Y242" s="35" t="s">
        <v>283</v>
      </c>
      <c r="Z242" s="55"/>
      <c r="AA242" s="35" t="s">
        <v>43</v>
      </c>
      <c r="AB242" s="35"/>
      <c r="AC242" s="35">
        <v>0</v>
      </c>
      <c r="AD242" s="35"/>
      <c r="AE242" s="35">
        <v>0</v>
      </c>
      <c r="AF242" s="35"/>
      <c r="AG242" s="35">
        <v>0</v>
      </c>
      <c r="AH242" s="35"/>
      <c r="AI242" s="45">
        <f t="shared" si="47"/>
        <v>0</v>
      </c>
      <c r="AJ242" s="45"/>
      <c r="AK242" s="35">
        <v>0</v>
      </c>
      <c r="AL242" s="35"/>
      <c r="AM242" s="35">
        <v>0</v>
      </c>
      <c r="AN242" s="35"/>
      <c r="AO242" s="35">
        <v>0</v>
      </c>
      <c r="AP242" s="35"/>
      <c r="AQ242" s="35">
        <v>0</v>
      </c>
      <c r="AR242" s="35"/>
      <c r="AS242" s="45">
        <f t="shared" si="50"/>
        <v>0</v>
      </c>
      <c r="AT242" s="45"/>
      <c r="AU242" s="35">
        <v>0</v>
      </c>
      <c r="AV242" s="35"/>
      <c r="AW242" s="35">
        <v>0</v>
      </c>
      <c r="AX242" s="35"/>
      <c r="AY242" s="35">
        <f t="shared" si="49"/>
        <v>0</v>
      </c>
      <c r="AZ242" s="35"/>
      <c r="BA242" s="35" t="s">
        <v>283</v>
      </c>
      <c r="BB242" s="55"/>
      <c r="BC242" s="35" t="s">
        <v>43</v>
      </c>
      <c r="BD242" s="35"/>
      <c r="BE242" s="35"/>
      <c r="BF242" s="35"/>
      <c r="BG242" s="35"/>
      <c r="BH242" s="35"/>
      <c r="BI242" s="35"/>
      <c r="BJ242" s="35"/>
      <c r="BK242" s="35"/>
      <c r="BL242" s="35"/>
      <c r="BM242" s="35">
        <f t="shared" si="46"/>
        <v>0</v>
      </c>
      <c r="BN242" s="54" t="s">
        <v>347</v>
      </c>
      <c r="BO242" s="55" t="s">
        <v>367</v>
      </c>
    </row>
    <row r="243" spans="1:67" ht="13.2" hidden="1">
      <c r="A243" s="35" t="s">
        <v>284</v>
      </c>
      <c r="C243" s="35" t="s">
        <v>45</v>
      </c>
      <c r="D243" s="35"/>
      <c r="E243" s="35">
        <f t="shared" si="41"/>
        <v>0</v>
      </c>
      <c r="F243" s="35"/>
      <c r="G243" s="35">
        <v>0</v>
      </c>
      <c r="H243" s="35"/>
      <c r="I243" s="35">
        <v>0</v>
      </c>
      <c r="J243" s="35"/>
      <c r="K243" s="35">
        <f t="shared" si="42"/>
        <v>0</v>
      </c>
      <c r="L243" s="35"/>
      <c r="M243" s="35">
        <v>0</v>
      </c>
      <c r="N243" s="35"/>
      <c r="O243" s="35">
        <v>0</v>
      </c>
      <c r="P243" s="35"/>
      <c r="Q243" s="35">
        <v>0</v>
      </c>
      <c r="R243" s="35"/>
      <c r="S243" s="35">
        <v>0</v>
      </c>
      <c r="T243" s="35"/>
      <c r="U243" s="35">
        <v>0</v>
      </c>
      <c r="V243" s="35"/>
      <c r="W243" s="35">
        <f t="shared" si="45"/>
        <v>0</v>
      </c>
      <c r="X243" s="35"/>
      <c r="Y243" s="35" t="s">
        <v>284</v>
      </c>
      <c r="Z243" s="55"/>
      <c r="AA243" s="35" t="s">
        <v>45</v>
      </c>
      <c r="AB243" s="35"/>
      <c r="AC243" s="35">
        <v>0</v>
      </c>
      <c r="AD243" s="35"/>
      <c r="AE243" s="35">
        <v>0</v>
      </c>
      <c r="AF243" s="35"/>
      <c r="AG243" s="35">
        <v>0</v>
      </c>
      <c r="AH243" s="35"/>
      <c r="AI243" s="45">
        <v>0</v>
      </c>
      <c r="AJ243" s="45"/>
      <c r="AK243" s="35">
        <v>0</v>
      </c>
      <c r="AL243" s="35"/>
      <c r="AM243" s="35">
        <v>0</v>
      </c>
      <c r="AN243" s="35"/>
      <c r="AO243" s="35">
        <v>0</v>
      </c>
      <c r="AP243" s="35"/>
      <c r="AQ243" s="35">
        <v>0</v>
      </c>
      <c r="AR243" s="35"/>
      <c r="AS243" s="45">
        <f t="shared" si="50"/>
        <v>0</v>
      </c>
      <c r="AT243" s="45"/>
      <c r="AU243" s="35">
        <v>0</v>
      </c>
      <c r="AV243" s="35"/>
      <c r="AW243" s="35">
        <v>0</v>
      </c>
      <c r="AX243" s="35"/>
      <c r="AY243" s="35">
        <f t="shared" si="49"/>
        <v>0</v>
      </c>
      <c r="AZ243" s="35"/>
      <c r="BA243" s="35" t="s">
        <v>284</v>
      </c>
      <c r="BB243" s="55"/>
      <c r="BC243" s="35" t="s">
        <v>45</v>
      </c>
      <c r="BD243" s="35"/>
      <c r="BE243" s="35"/>
      <c r="BF243" s="35"/>
      <c r="BG243" s="35"/>
      <c r="BH243" s="35"/>
      <c r="BI243" s="35"/>
      <c r="BJ243" s="35"/>
      <c r="BK243" s="35"/>
      <c r="BL243" s="35"/>
      <c r="BM243" s="35">
        <f t="shared" si="46"/>
        <v>0</v>
      </c>
      <c r="BN243" s="54" t="s">
        <v>347</v>
      </c>
    </row>
    <row r="244" spans="1:67" ht="13.2">
      <c r="A244" s="35" t="s">
        <v>285</v>
      </c>
      <c r="C244" s="35" t="s">
        <v>30</v>
      </c>
      <c r="D244" s="35"/>
      <c r="E244" s="35">
        <f t="shared" si="41"/>
        <v>1334202</v>
      </c>
      <c r="F244" s="35"/>
      <c r="G244" s="35">
        <v>122938</v>
      </c>
      <c r="H244" s="35"/>
      <c r="I244" s="35">
        <v>1457140</v>
      </c>
      <c r="J244" s="35"/>
      <c r="K244" s="35">
        <f t="shared" si="42"/>
        <v>183870</v>
      </c>
      <c r="L244" s="35"/>
      <c r="M244" s="35">
        <v>934371</v>
      </c>
      <c r="N244" s="35"/>
      <c r="O244" s="35">
        <v>1118241</v>
      </c>
      <c r="P244" s="35"/>
      <c r="Q244" s="35">
        <v>122938</v>
      </c>
      <c r="R244" s="35"/>
      <c r="S244" s="35">
        <v>0</v>
      </c>
      <c r="T244" s="35"/>
      <c r="U244" s="35">
        <v>215961</v>
      </c>
      <c r="V244" s="35"/>
      <c r="W244" s="35">
        <f t="shared" si="45"/>
        <v>338899</v>
      </c>
      <c r="X244" s="35"/>
      <c r="Y244" s="35" t="s">
        <v>285</v>
      </c>
      <c r="Z244" s="55"/>
      <c r="AA244" s="35" t="s">
        <v>30</v>
      </c>
      <c r="AB244" s="35"/>
      <c r="AC244" s="35">
        <v>1638602</v>
      </c>
      <c r="AD244" s="35"/>
      <c r="AE244" s="35">
        <f>1554975-61501</f>
        <v>1493474</v>
      </c>
      <c r="AF244" s="35"/>
      <c r="AG244" s="35">
        <v>61501</v>
      </c>
      <c r="AH244" s="35"/>
      <c r="AI244" s="45">
        <f>+AC244-AE244-AG244</f>
        <v>83627</v>
      </c>
      <c r="AJ244" s="45"/>
      <c r="AK244" s="35">
        <v>212182</v>
      </c>
      <c r="AL244" s="35"/>
      <c r="AM244" s="35">
        <v>0</v>
      </c>
      <c r="AN244" s="35"/>
      <c r="AO244" s="35">
        <v>0</v>
      </c>
      <c r="AP244" s="35"/>
      <c r="AQ244" s="35">
        <v>23025</v>
      </c>
      <c r="AR244" s="35"/>
      <c r="AS244" s="45">
        <f t="shared" si="50"/>
        <v>318834</v>
      </c>
      <c r="AT244" s="45"/>
      <c r="AU244" s="35">
        <v>0</v>
      </c>
      <c r="AV244" s="35"/>
      <c r="AW244" s="35">
        <v>0</v>
      </c>
      <c r="AX244" s="35"/>
      <c r="AY244" s="35">
        <f t="shared" si="49"/>
        <v>1150332</v>
      </c>
      <c r="AZ244" s="35"/>
      <c r="BA244" s="35" t="s">
        <v>285</v>
      </c>
      <c r="BB244" s="55"/>
      <c r="BC244" s="35" t="s">
        <v>30</v>
      </c>
      <c r="BD244" s="35"/>
      <c r="BE244" s="35">
        <v>1053034</v>
      </c>
      <c r="BF244" s="35"/>
      <c r="BG244" s="35">
        <v>0</v>
      </c>
      <c r="BH244" s="35"/>
      <c r="BI244" s="35">
        <v>0</v>
      </c>
      <c r="BJ244" s="35"/>
      <c r="BK244" s="35">
        <v>0</v>
      </c>
      <c r="BL244" s="35"/>
      <c r="BM244" s="35">
        <f t="shared" si="46"/>
        <v>1053034</v>
      </c>
      <c r="BN244" s="54" t="s">
        <v>347</v>
      </c>
    </row>
    <row r="245" spans="1:67" ht="13.2"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Z245" s="5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B245" s="5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</row>
    <row r="246" spans="1:67" ht="13.2"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Z246" s="5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B246" s="5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</row>
    <row r="247" spans="1:67" ht="13.2"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Z247" s="5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B247" s="5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</row>
    <row r="248" spans="1:67" ht="13.2"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Z248" s="5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B248" s="5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</row>
    <row r="249" spans="1:67" ht="13.2"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Z249" s="5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B249" s="5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</row>
    <row r="250" spans="1:67" ht="13.2"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Z250" s="5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B250" s="5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</row>
    <row r="251" spans="1:67" ht="13.2"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Z251" s="5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B251" s="5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</row>
    <row r="252" spans="1:67" ht="13.2"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Z252" s="5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B252" s="5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</row>
    <row r="253" spans="1:67" ht="13.2"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Z253" s="5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B253" s="5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</row>
    <row r="254" spans="1:67" ht="13.2"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Z254" s="5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B254" s="5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</row>
    <row r="255" spans="1:67" ht="13.2"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Z255" s="5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B255" s="5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</row>
    <row r="256" spans="1:67" ht="13.2"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Z256" s="5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B256" s="5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</row>
    <row r="257" spans="5:66" ht="13.2"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Z257" s="5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B257" s="5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</row>
    <row r="258" spans="5:66" ht="13.2"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Z258" s="5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B258" s="5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</row>
    <row r="259" spans="5:66" ht="13.2"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Z259" s="5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B259" s="5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</row>
    <row r="260" spans="5:66" ht="13.2"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Z260" s="5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B260" s="5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</row>
    <row r="261" spans="5:66" ht="13.2"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Z261" s="5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B261" s="5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</row>
    <row r="262" spans="5:66" ht="13.2"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Z262" s="5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B262" s="5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</row>
    <row r="263" spans="5:66" ht="13.2"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Z263" s="5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B263" s="5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</row>
    <row r="264" spans="5:66" ht="13.2"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Z264" s="5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B264" s="5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</row>
    <row r="265" spans="5:66" ht="13.2">
      <c r="Z265" s="55"/>
      <c r="BB265" s="55"/>
      <c r="BE265" s="45"/>
      <c r="BG265" s="45"/>
      <c r="BI265" s="45"/>
      <c r="BK265" s="45"/>
    </row>
    <row r="266" spans="5:66" ht="13.2">
      <c r="Z266" s="55"/>
      <c r="BB266" s="55"/>
      <c r="BE266" s="45"/>
      <c r="BG266" s="45"/>
      <c r="BI266" s="45"/>
      <c r="BK266" s="45"/>
    </row>
    <row r="267" spans="5:66" ht="13.2">
      <c r="Z267" s="55"/>
      <c r="BB267" s="55"/>
      <c r="BE267" s="45"/>
      <c r="BG267" s="45"/>
      <c r="BI267" s="45"/>
      <c r="BK267" s="45"/>
    </row>
    <row r="268" spans="5:66" ht="13.2">
      <c r="Z268" s="55"/>
      <c r="BB268" s="55"/>
      <c r="BE268" s="45"/>
      <c r="BG268" s="45"/>
      <c r="BI268" s="45"/>
      <c r="BK268" s="45"/>
    </row>
    <row r="269" spans="5:66" ht="13.2">
      <c r="Z269" s="55"/>
      <c r="BB269" s="55"/>
      <c r="BE269" s="45"/>
      <c r="BG269" s="45"/>
      <c r="BI269" s="45"/>
      <c r="BK269" s="45"/>
    </row>
    <row r="270" spans="5:66" ht="13.2">
      <c r="Z270" s="55"/>
      <c r="BB270" s="55"/>
      <c r="BE270" s="45"/>
      <c r="BG270" s="45"/>
      <c r="BI270" s="45"/>
      <c r="BK270" s="45"/>
    </row>
    <row r="271" spans="5:66" ht="13.2">
      <c r="Z271" s="55"/>
      <c r="BB271" s="55"/>
      <c r="BE271" s="45"/>
      <c r="BG271" s="45"/>
      <c r="BI271" s="45"/>
      <c r="BK271" s="45"/>
    </row>
    <row r="272" spans="5:66" ht="13.2">
      <c r="Z272" s="55"/>
      <c r="BB272" s="55"/>
      <c r="BE272" s="45"/>
      <c r="BG272" s="45"/>
      <c r="BI272" s="45"/>
      <c r="BK272" s="45"/>
    </row>
    <row r="273" spans="26:63" ht="13.2">
      <c r="Z273" s="55"/>
      <c r="BB273" s="55"/>
      <c r="BE273" s="45"/>
      <c r="BG273" s="45"/>
      <c r="BI273" s="45"/>
      <c r="BK273" s="45"/>
    </row>
    <row r="274" spans="26:63" ht="13.2">
      <c r="Z274" s="55"/>
      <c r="BB274" s="55"/>
      <c r="BE274" s="45"/>
      <c r="BG274" s="45"/>
      <c r="BI274" s="45"/>
      <c r="BK274" s="45"/>
    </row>
    <row r="275" spans="26:63" ht="13.2">
      <c r="Z275" s="55"/>
      <c r="BB275" s="55"/>
      <c r="BE275" s="45"/>
      <c r="BG275" s="45"/>
      <c r="BI275" s="45"/>
      <c r="BK275" s="45"/>
    </row>
    <row r="276" spans="26:63" ht="13.2">
      <c r="Z276" s="55"/>
      <c r="BB276" s="55"/>
      <c r="BE276" s="45"/>
      <c r="BG276" s="45"/>
      <c r="BI276" s="45"/>
      <c r="BK276" s="45"/>
    </row>
    <row r="277" spans="26:63" ht="13.2">
      <c r="Z277" s="55"/>
      <c r="BB277" s="55"/>
      <c r="BE277" s="45"/>
      <c r="BG277" s="45"/>
      <c r="BI277" s="45"/>
      <c r="BK277" s="45"/>
    </row>
    <row r="278" spans="26:63" ht="13.2">
      <c r="Z278" s="55"/>
      <c r="BB278" s="55"/>
      <c r="BE278" s="45"/>
      <c r="BG278" s="45"/>
      <c r="BI278" s="45"/>
      <c r="BK278" s="45"/>
    </row>
    <row r="279" spans="26:63" ht="13.2">
      <c r="Z279" s="55"/>
      <c r="BB279" s="55"/>
      <c r="BE279" s="45"/>
      <c r="BG279" s="45"/>
      <c r="BI279" s="45"/>
      <c r="BK279" s="45"/>
    </row>
    <row r="280" spans="26:63" ht="13.2">
      <c r="Z280" s="55"/>
      <c r="BB280" s="55"/>
      <c r="BE280" s="45"/>
      <c r="BG280" s="45"/>
      <c r="BI280" s="45"/>
      <c r="BK280" s="45"/>
    </row>
    <row r="281" spans="26:63" ht="13.2">
      <c r="Z281" s="55"/>
      <c r="BB281" s="55"/>
      <c r="BE281" s="45"/>
      <c r="BG281" s="45"/>
      <c r="BI281" s="45"/>
      <c r="BK281" s="45"/>
    </row>
    <row r="282" spans="26:63" ht="13.2">
      <c r="Z282" s="55"/>
      <c r="BB282" s="55"/>
      <c r="BE282" s="45"/>
      <c r="BG282" s="45"/>
      <c r="BI282" s="45"/>
      <c r="BK282" s="45"/>
    </row>
    <row r="283" spans="26:63" ht="13.2">
      <c r="Z283" s="55"/>
      <c r="BB283" s="55"/>
      <c r="BE283" s="45"/>
      <c r="BG283" s="45"/>
      <c r="BI283" s="45"/>
      <c r="BK283" s="45"/>
    </row>
    <row r="284" spans="26:63" ht="13.2">
      <c r="Z284" s="55"/>
      <c r="BB284" s="55"/>
      <c r="BE284" s="45"/>
      <c r="BG284" s="45"/>
      <c r="BI284" s="45"/>
      <c r="BK284" s="45"/>
    </row>
    <row r="285" spans="26:63" ht="13.2">
      <c r="Z285" s="55"/>
      <c r="BB285" s="55"/>
      <c r="BE285" s="45"/>
      <c r="BG285" s="45"/>
      <c r="BI285" s="45"/>
      <c r="BK285" s="45"/>
    </row>
    <row r="286" spans="26:63" ht="13.2">
      <c r="Z286" s="55"/>
      <c r="BB286" s="55"/>
      <c r="BE286" s="45"/>
      <c r="BG286" s="45"/>
      <c r="BI286" s="45"/>
      <c r="BK286" s="45"/>
    </row>
    <row r="287" spans="26:63" ht="13.2">
      <c r="Z287" s="55"/>
      <c r="BB287" s="55"/>
      <c r="BE287" s="45"/>
      <c r="BG287" s="45"/>
      <c r="BI287" s="45"/>
      <c r="BK287" s="45"/>
    </row>
    <row r="288" spans="26:63" ht="13.2">
      <c r="Z288" s="55"/>
      <c r="BB288" s="55"/>
      <c r="BE288" s="45"/>
      <c r="BG288" s="45"/>
      <c r="BI288" s="45"/>
      <c r="BK288" s="45"/>
    </row>
    <row r="289" spans="26:63" ht="13.2">
      <c r="Z289" s="55"/>
      <c r="BB289" s="55"/>
      <c r="BE289" s="45"/>
      <c r="BG289" s="45"/>
      <c r="BI289" s="45"/>
      <c r="BK289" s="45"/>
    </row>
    <row r="290" spans="26:63" ht="13.2">
      <c r="Z290" s="55"/>
      <c r="BB290" s="55"/>
      <c r="BE290" s="45"/>
      <c r="BG290" s="45"/>
      <c r="BI290" s="45"/>
      <c r="BK290" s="45"/>
    </row>
    <row r="291" spans="26:63" ht="13.2">
      <c r="Z291" s="55"/>
      <c r="BB291" s="55"/>
      <c r="BE291" s="45"/>
      <c r="BG291" s="45"/>
      <c r="BI291" s="45"/>
      <c r="BK291" s="45"/>
    </row>
    <row r="292" spans="26:63" ht="13.2">
      <c r="Z292" s="55"/>
      <c r="BB292" s="55"/>
      <c r="BE292" s="45"/>
      <c r="BG292" s="45"/>
      <c r="BI292" s="45"/>
      <c r="BK292" s="45"/>
    </row>
    <row r="293" spans="26:63" ht="13.2">
      <c r="Z293" s="55"/>
      <c r="BB293" s="55"/>
      <c r="BE293" s="45"/>
      <c r="BG293" s="45"/>
      <c r="BI293" s="45"/>
      <c r="BK293" s="45"/>
    </row>
    <row r="294" spans="26:63" ht="13.2">
      <c r="Z294" s="55"/>
      <c r="BB294" s="55"/>
      <c r="BE294" s="45"/>
      <c r="BG294" s="45"/>
      <c r="BI294" s="45"/>
      <c r="BK294" s="45"/>
    </row>
    <row r="295" spans="26:63" ht="13.2">
      <c r="Z295" s="55"/>
      <c r="BB295" s="55"/>
      <c r="BE295" s="45"/>
      <c r="BG295" s="45"/>
      <c r="BI295" s="45"/>
      <c r="BK295" s="45"/>
    </row>
    <row r="296" spans="26:63" ht="13.2">
      <c r="Z296" s="55"/>
      <c r="BB296" s="55"/>
      <c r="BE296" s="45"/>
      <c r="BG296" s="45"/>
      <c r="BI296" s="45"/>
      <c r="BK296" s="45"/>
    </row>
    <row r="297" spans="26:63" ht="13.2">
      <c r="Z297" s="55"/>
      <c r="BB297" s="55"/>
      <c r="BE297" s="45"/>
      <c r="BG297" s="45"/>
      <c r="BI297" s="45"/>
      <c r="BK297" s="45"/>
    </row>
    <row r="298" spans="26:63" ht="13.2">
      <c r="Z298" s="55"/>
      <c r="BB298" s="55"/>
      <c r="BE298" s="45"/>
      <c r="BG298" s="45"/>
      <c r="BI298" s="45"/>
      <c r="BK298" s="45"/>
    </row>
    <row r="299" spans="26:63" ht="13.2">
      <c r="Z299" s="55"/>
      <c r="BB299" s="55"/>
      <c r="BE299" s="45"/>
      <c r="BG299" s="45"/>
      <c r="BI299" s="45"/>
      <c r="BK299" s="45"/>
    </row>
    <row r="300" spans="26:63" ht="13.2">
      <c r="Z300" s="55"/>
      <c r="BB300" s="55"/>
      <c r="BE300" s="45"/>
      <c r="BG300" s="45"/>
      <c r="BI300" s="45"/>
      <c r="BK300" s="45"/>
    </row>
    <row r="301" spans="26:63" ht="13.2">
      <c r="Z301" s="55"/>
      <c r="BB301" s="55"/>
      <c r="BE301" s="45"/>
      <c r="BG301" s="45"/>
      <c r="BI301" s="45"/>
      <c r="BK301" s="45"/>
    </row>
    <row r="302" spans="26:63" ht="13.2">
      <c r="Z302" s="55"/>
      <c r="BB302" s="55"/>
      <c r="BE302" s="45"/>
      <c r="BG302" s="45"/>
      <c r="BI302" s="45"/>
      <c r="BK302" s="45"/>
    </row>
    <row r="303" spans="26:63" ht="13.2">
      <c r="Z303" s="55"/>
      <c r="BB303" s="55"/>
      <c r="BE303" s="45"/>
      <c r="BG303" s="45"/>
      <c r="BI303" s="45"/>
      <c r="BK303" s="45"/>
    </row>
    <row r="304" spans="26:63" ht="13.2">
      <c r="Z304" s="55"/>
      <c r="BB304" s="55"/>
      <c r="BE304" s="45"/>
      <c r="BG304" s="45"/>
      <c r="BI304" s="45"/>
      <c r="BK304" s="45"/>
    </row>
    <row r="305" spans="26:63" ht="13.2">
      <c r="Z305" s="55"/>
      <c r="BB305" s="55"/>
      <c r="BE305" s="45"/>
      <c r="BG305" s="45"/>
      <c r="BI305" s="45"/>
      <c r="BK305" s="45"/>
    </row>
    <row r="306" spans="26:63" ht="13.2">
      <c r="Z306" s="55"/>
      <c r="BB306" s="55"/>
    </row>
    <row r="307" spans="26:63" ht="13.2">
      <c r="Z307" s="55"/>
      <c r="BB307" s="55"/>
    </row>
    <row r="308" spans="26:63" ht="13.2">
      <c r="Z308" s="55"/>
      <c r="BB308" s="55"/>
    </row>
    <row r="309" spans="26:63" ht="13.2">
      <c r="Z309" s="55"/>
      <c r="BB309" s="55"/>
    </row>
  </sheetData>
  <mergeCells count="1">
    <mergeCell ref="Q6:U6"/>
  </mergeCells>
  <pageMargins left="0.7" right="0.7" top="0.75" bottom="0.75" header="0.3" footer="0.3"/>
  <pageSetup firstPageNumber="114" orientation="portrait" useFirstPageNumber="1" r:id="rId1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AF300"/>
  <sheetViews>
    <sheetView view="pageBreakPreview" zoomScale="75" zoomScaleNormal="100" zoomScaleSheetLayoutView="75" workbookViewId="0">
      <pane xSplit="3" ySplit="8" topLeftCell="D182" activePane="bottomRight" state="frozen"/>
      <selection pane="topRight" activeCell="D1" sqref="D1"/>
      <selection pane="bottomLeft" activeCell="A10" sqref="A10"/>
      <selection pane="bottomRight" activeCell="S210" sqref="S210"/>
    </sheetView>
  </sheetViews>
  <sheetFormatPr defaultColWidth="9.109375" defaultRowHeight="12.75" customHeight="1"/>
  <cols>
    <col min="1" max="1" width="15.109375" style="57" customWidth="1"/>
    <col min="2" max="2" width="1.6640625" customWidth="1"/>
    <col min="3" max="3" width="11.33203125" style="57" customWidth="1"/>
    <col min="4" max="4" width="1.6640625" style="57" customWidth="1"/>
    <col min="5" max="5" width="11.6640625" style="57" customWidth="1"/>
    <col min="6" max="6" width="1.6640625" style="57" customWidth="1"/>
    <col min="7" max="7" width="11.6640625" style="57" customWidth="1"/>
    <col min="8" max="8" width="1.6640625" style="57" customWidth="1"/>
    <col min="9" max="9" width="11.6640625" style="57" customWidth="1"/>
    <col min="10" max="10" width="1.6640625" style="57" customWidth="1"/>
    <col min="11" max="11" width="11.6640625" style="57" customWidth="1"/>
    <col min="12" max="12" width="1.6640625" style="57" customWidth="1"/>
    <col min="13" max="13" width="11.6640625" style="57" customWidth="1"/>
    <col min="14" max="14" width="1.6640625" style="57" customWidth="1"/>
    <col min="15" max="15" width="11.6640625" style="57" customWidth="1"/>
    <col min="16" max="16" width="1.6640625" style="57" customWidth="1"/>
    <col min="17" max="17" width="11.6640625" style="57" customWidth="1"/>
    <col min="18" max="18" width="1.6640625" style="57" customWidth="1"/>
    <col min="19" max="19" width="11.6640625" style="57" customWidth="1"/>
    <col min="20" max="20" width="1.6640625" style="57" customWidth="1"/>
    <col min="21" max="21" width="11.6640625" style="2" customWidth="1"/>
    <col min="22" max="22" width="1.6640625" style="57" customWidth="1"/>
    <col min="23" max="23" width="10.6640625" style="2" bestFit="1" customWidth="1"/>
    <col min="24" max="24" width="1.6640625" style="57" customWidth="1"/>
    <col min="25" max="25" width="12.6640625" style="57" bestFit="1" customWidth="1"/>
    <col min="26" max="26" width="1.6640625" style="57" customWidth="1"/>
    <col min="27" max="27" width="12.6640625" style="57" bestFit="1" customWidth="1"/>
    <col min="28" max="28" width="1.6640625" style="57" customWidth="1"/>
    <col min="29" max="16384" width="9.109375" style="57"/>
  </cols>
  <sheetData>
    <row r="1" spans="1:23" s="69" customFormat="1" ht="12.75" customHeight="1">
      <c r="A1" s="20" t="s">
        <v>421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1"/>
      <c r="U1" s="1"/>
      <c r="W1" s="1"/>
    </row>
    <row r="2" spans="1:23" s="69" customFormat="1" ht="12.75" customHeight="1">
      <c r="A2" s="20" t="s">
        <v>495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1"/>
      <c r="U2" s="1"/>
      <c r="W2" s="1"/>
    </row>
    <row r="3" spans="1:23" ht="12.75" customHeight="1">
      <c r="A3" s="22" t="s">
        <v>289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2"/>
    </row>
    <row r="4" spans="1:23" ht="12.75" customHeight="1">
      <c r="A4" s="22" t="s">
        <v>484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</row>
    <row r="5" spans="1:23" ht="12.75" customHeight="1">
      <c r="A5" s="22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2"/>
    </row>
    <row r="6" spans="1:23" s="71" customFormat="1" ht="12.75" customHeight="1">
      <c r="A6" s="6"/>
      <c r="C6" s="6"/>
      <c r="D6" s="6"/>
      <c r="E6" s="6" t="s">
        <v>296</v>
      </c>
      <c r="F6" s="6"/>
      <c r="G6" s="6" t="s">
        <v>328</v>
      </c>
      <c r="H6" s="6"/>
      <c r="I6" s="6"/>
      <c r="J6" s="6"/>
      <c r="K6" s="6"/>
      <c r="L6" s="6"/>
      <c r="M6" s="6"/>
      <c r="N6" s="6"/>
      <c r="O6" s="6"/>
      <c r="P6" s="6"/>
      <c r="Q6" s="6" t="s">
        <v>376</v>
      </c>
      <c r="R6" s="6"/>
      <c r="S6" s="6" t="s">
        <v>6</v>
      </c>
      <c r="T6" s="3"/>
      <c r="U6" s="3" t="s">
        <v>440</v>
      </c>
      <c r="W6" s="3"/>
    </row>
    <row r="7" spans="1:23" s="71" customFormat="1" ht="12.75" customHeight="1">
      <c r="A7" s="6"/>
      <c r="C7" s="6"/>
      <c r="D7" s="6"/>
      <c r="E7" s="6" t="s">
        <v>356</v>
      </c>
      <c r="F7" s="6"/>
      <c r="G7" s="6" t="s">
        <v>377</v>
      </c>
      <c r="H7" s="6"/>
      <c r="I7" s="6" t="s">
        <v>378</v>
      </c>
      <c r="J7" s="6"/>
      <c r="K7" s="6" t="s">
        <v>363</v>
      </c>
      <c r="L7" s="6"/>
      <c r="M7" s="6" t="s">
        <v>4</v>
      </c>
      <c r="N7" s="6"/>
      <c r="O7" s="6" t="s">
        <v>379</v>
      </c>
      <c r="P7" s="6"/>
      <c r="Q7" s="6" t="s">
        <v>294</v>
      </c>
      <c r="R7" s="6"/>
      <c r="S7" s="6" t="s">
        <v>352</v>
      </c>
      <c r="T7" s="3"/>
      <c r="U7" s="3" t="s">
        <v>441</v>
      </c>
      <c r="W7" s="3" t="s">
        <v>324</v>
      </c>
    </row>
    <row r="8" spans="1:23" s="106" customFormat="1" ht="12.75" customHeight="1">
      <c r="A8" s="7" t="s">
        <v>8</v>
      </c>
      <c r="C8" s="7" t="s">
        <v>9</v>
      </c>
      <c r="D8" s="8"/>
      <c r="E8" s="78" t="s">
        <v>362</v>
      </c>
      <c r="F8" s="8"/>
      <c r="G8" s="78" t="s">
        <v>362</v>
      </c>
      <c r="H8" s="8"/>
      <c r="I8" s="78" t="s">
        <v>380</v>
      </c>
      <c r="J8" s="8"/>
      <c r="K8" s="78" t="s">
        <v>381</v>
      </c>
      <c r="L8" s="8"/>
      <c r="M8" s="78" t="s">
        <v>382</v>
      </c>
      <c r="N8" s="8"/>
      <c r="O8" s="78" t="s">
        <v>383</v>
      </c>
      <c r="P8" s="8"/>
      <c r="Q8" s="78" t="s">
        <v>364</v>
      </c>
      <c r="R8" s="8"/>
      <c r="S8" s="78" t="s">
        <v>364</v>
      </c>
      <c r="T8" s="81"/>
      <c r="U8" s="7" t="s">
        <v>442</v>
      </c>
      <c r="W8" s="81" t="s">
        <v>436</v>
      </c>
    </row>
    <row r="9" spans="1:23" s="65" customFormat="1" ht="12.75" customHeight="1">
      <c r="A9" s="35"/>
      <c r="B9" s="51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44"/>
      <c r="U9" s="44"/>
      <c r="W9" s="44"/>
    </row>
    <row r="10" spans="1:23" s="66" customFormat="1" ht="12.75" customHeight="1">
      <c r="A10" s="35" t="s">
        <v>12</v>
      </c>
      <c r="B10" s="65"/>
      <c r="C10" s="35" t="s">
        <v>13</v>
      </c>
      <c r="D10" s="35"/>
      <c r="E10" s="68">
        <v>202790378</v>
      </c>
      <c r="F10" s="68"/>
      <c r="G10" s="68">
        <v>81915000</v>
      </c>
      <c r="H10" s="68"/>
      <c r="I10" s="68">
        <v>26385000</v>
      </c>
      <c r="J10" s="68"/>
      <c r="K10" s="68">
        <v>121290973</v>
      </c>
      <c r="L10" s="68"/>
      <c r="M10" s="68">
        <f>67046758+6744259</f>
        <v>73791017</v>
      </c>
      <c r="N10" s="68"/>
      <c r="O10" s="68">
        <v>41568096</v>
      </c>
      <c r="P10" s="68"/>
      <c r="Q10" s="68">
        <f>55845460-41568096-5842</f>
        <v>14271522</v>
      </c>
      <c r="R10" s="68"/>
      <c r="S10" s="68">
        <f t="shared" ref="S10:S72" si="0">SUM(E10:Q10)</f>
        <v>562011986</v>
      </c>
      <c r="T10" s="46"/>
      <c r="U10" s="46">
        <v>51091998</v>
      </c>
      <c r="V10" s="65"/>
      <c r="W10" s="44">
        <f>+S10-'Stmt net assets'!O10-U10</f>
        <v>0</v>
      </c>
    </row>
    <row r="11" spans="1:23" s="65" customFormat="1" ht="12.75" customHeight="1">
      <c r="A11" s="35" t="s">
        <v>14</v>
      </c>
      <c r="C11" s="35" t="s">
        <v>15</v>
      </c>
      <c r="D11" s="35"/>
      <c r="E11" s="48">
        <v>1680000</v>
      </c>
      <c r="F11" s="48"/>
      <c r="G11" s="48">
        <v>355000</v>
      </c>
      <c r="H11" s="48"/>
      <c r="I11" s="48">
        <v>0</v>
      </c>
      <c r="J11" s="48"/>
      <c r="K11" s="48">
        <v>0</v>
      </c>
      <c r="L11" s="48"/>
      <c r="M11" s="48">
        <v>0</v>
      </c>
      <c r="N11" s="48"/>
      <c r="O11" s="48">
        <v>2374016</v>
      </c>
      <c r="P11" s="48"/>
      <c r="Q11" s="48">
        <v>381312</v>
      </c>
      <c r="R11" s="48"/>
      <c r="S11" s="48">
        <f>SUM(E11:Q11)</f>
        <v>4790328</v>
      </c>
      <c r="T11" s="44"/>
      <c r="U11" s="48">
        <v>1114584</v>
      </c>
      <c r="W11" s="44">
        <f>+S11-'Stmt net assets'!O11-U11</f>
        <v>0</v>
      </c>
    </row>
    <row r="12" spans="1:23" s="65" customFormat="1" ht="12.75" customHeight="1">
      <c r="A12" s="35" t="s">
        <v>16</v>
      </c>
      <c r="B12" s="51"/>
      <c r="C12" s="35" t="s">
        <v>17</v>
      </c>
      <c r="D12" s="35"/>
      <c r="E12" s="48">
        <v>3355023</v>
      </c>
      <c r="F12" s="48"/>
      <c r="G12" s="48">
        <v>0</v>
      </c>
      <c r="H12" s="48"/>
      <c r="I12" s="48">
        <v>0</v>
      </c>
      <c r="J12" s="48"/>
      <c r="K12" s="48">
        <v>377879</v>
      </c>
      <c r="L12" s="48"/>
      <c r="M12" s="48">
        <v>0</v>
      </c>
      <c r="N12" s="48"/>
      <c r="O12" s="48">
        <v>191129</v>
      </c>
      <c r="P12" s="48"/>
      <c r="Q12" s="48">
        <v>0</v>
      </c>
      <c r="R12" s="48"/>
      <c r="S12" s="48">
        <f>SUM(E12:Q12)</f>
        <v>3924031</v>
      </c>
      <c r="T12" s="44"/>
      <c r="U12" s="48">
        <v>294356</v>
      </c>
      <c r="W12" s="44">
        <f>+S12-'Stmt net assets'!O12-U12</f>
        <v>0</v>
      </c>
    </row>
    <row r="13" spans="1:23" s="65" customFormat="1" ht="12.75" customHeight="1">
      <c r="A13" s="35" t="s">
        <v>18</v>
      </c>
      <c r="B13" s="51"/>
      <c r="C13" s="35" t="s">
        <v>18</v>
      </c>
      <c r="D13" s="35"/>
      <c r="E13" s="48">
        <v>2367000</v>
      </c>
      <c r="F13" s="48"/>
      <c r="G13" s="48">
        <v>0</v>
      </c>
      <c r="H13" s="48"/>
      <c r="I13" s="48">
        <v>250000</v>
      </c>
      <c r="J13" s="48"/>
      <c r="K13" s="48">
        <f>22017+412603</f>
        <v>434620</v>
      </c>
      <c r="L13" s="48"/>
      <c r="M13" s="48">
        <v>0</v>
      </c>
      <c r="N13" s="48"/>
      <c r="O13" s="48">
        <v>793694</v>
      </c>
      <c r="P13" s="48"/>
      <c r="Q13" s="48">
        <v>0</v>
      </c>
      <c r="R13" s="48"/>
      <c r="S13" s="48">
        <f t="shared" si="0"/>
        <v>3845314</v>
      </c>
      <c r="T13" s="44"/>
      <c r="U13" s="48">
        <v>474199</v>
      </c>
      <c r="W13" s="44">
        <f>+S13-'Stmt net assets'!O13-U13</f>
        <v>0</v>
      </c>
    </row>
    <row r="14" spans="1:23" s="65" customFormat="1" ht="12.75" customHeight="1">
      <c r="A14" s="35" t="s">
        <v>19</v>
      </c>
      <c r="B14" s="51"/>
      <c r="C14" s="35" t="s">
        <v>19</v>
      </c>
      <c r="D14" s="35"/>
      <c r="E14" s="48">
        <v>300796</v>
      </c>
      <c r="F14" s="48"/>
      <c r="G14" s="48">
        <v>136482</v>
      </c>
      <c r="H14" s="48"/>
      <c r="I14" s="48">
        <v>0</v>
      </c>
      <c r="J14" s="48"/>
      <c r="K14" s="48">
        <v>0</v>
      </c>
      <c r="L14" s="48"/>
      <c r="M14" s="48">
        <v>0</v>
      </c>
      <c r="N14" s="48"/>
      <c r="O14" s="48">
        <v>2950575</v>
      </c>
      <c r="P14" s="48"/>
      <c r="Q14" s="48">
        <v>284703</v>
      </c>
      <c r="R14" s="48"/>
      <c r="S14" s="48">
        <f t="shared" si="0"/>
        <v>3672556</v>
      </c>
      <c r="T14" s="44"/>
      <c r="U14" s="48">
        <v>1639628</v>
      </c>
      <c r="W14" s="44">
        <f>+S14-'Stmt net assets'!O14-U14</f>
        <v>0</v>
      </c>
    </row>
    <row r="15" spans="1:23" s="65" customFormat="1" ht="12.75" customHeight="1">
      <c r="A15" s="35" t="s">
        <v>20</v>
      </c>
      <c r="B15" s="51"/>
      <c r="C15" s="35" t="s">
        <v>20</v>
      </c>
      <c r="D15" s="35"/>
      <c r="E15" s="48">
        <v>3985000</v>
      </c>
      <c r="F15" s="48"/>
      <c r="G15" s="48">
        <v>0</v>
      </c>
      <c r="H15" s="48"/>
      <c r="I15" s="48">
        <v>0</v>
      </c>
      <c r="J15" s="48"/>
      <c r="K15" s="48">
        <v>0</v>
      </c>
      <c r="L15" s="48"/>
      <c r="M15" s="48">
        <v>0</v>
      </c>
      <c r="N15" s="48"/>
      <c r="O15" s="48">
        <v>1058062</v>
      </c>
      <c r="P15" s="48"/>
      <c r="Q15" s="48">
        <v>13174</v>
      </c>
      <c r="R15" s="48"/>
      <c r="S15" s="48">
        <f t="shared" si="0"/>
        <v>5056236</v>
      </c>
      <c r="T15" s="44"/>
      <c r="U15" s="48">
        <v>1022204</v>
      </c>
      <c r="W15" s="44">
        <f>+S15-'Stmt net assets'!O15-U15</f>
        <v>0</v>
      </c>
    </row>
    <row r="16" spans="1:23" s="65" customFormat="1" ht="12.75" customHeight="1">
      <c r="A16" s="35" t="s">
        <v>21</v>
      </c>
      <c r="B16" s="51"/>
      <c r="C16" s="35" t="s">
        <v>22</v>
      </c>
      <c r="D16" s="35"/>
      <c r="E16" s="48">
        <v>11004271</v>
      </c>
      <c r="F16" s="48"/>
      <c r="G16" s="48">
        <v>0</v>
      </c>
      <c r="H16" s="48"/>
      <c r="I16" s="48">
        <v>0</v>
      </c>
      <c r="J16" s="48"/>
      <c r="K16" s="48">
        <v>277500</v>
      </c>
      <c r="L16" s="48"/>
      <c r="M16" s="48">
        <v>68171</v>
      </c>
      <c r="N16" s="48"/>
      <c r="O16" s="48">
        <v>653694</v>
      </c>
      <c r="P16" s="48"/>
      <c r="Q16" s="48">
        <f>204629-242337</f>
        <v>-37708</v>
      </c>
      <c r="R16" s="48"/>
      <c r="S16" s="48">
        <f t="shared" si="0"/>
        <v>11965928</v>
      </c>
      <c r="T16" s="44"/>
      <c r="U16" s="48">
        <v>1349058</v>
      </c>
      <c r="W16" s="44">
        <f>+S16-'Stmt net assets'!O16-U16</f>
        <v>0</v>
      </c>
    </row>
    <row r="17" spans="1:25" s="65" customFormat="1" ht="12.75" customHeight="1">
      <c r="A17" s="35" t="s">
        <v>23</v>
      </c>
      <c r="B17" s="51"/>
      <c r="C17" s="35" t="s">
        <v>17</v>
      </c>
      <c r="D17" s="35"/>
      <c r="E17" s="48">
        <v>12251682</v>
      </c>
      <c r="F17" s="48"/>
      <c r="G17" s="48">
        <v>3449237</v>
      </c>
      <c r="H17" s="48"/>
      <c r="I17" s="48">
        <v>39120000</v>
      </c>
      <c r="J17" s="48"/>
      <c r="K17" s="48">
        <v>223523</v>
      </c>
      <c r="L17" s="48"/>
      <c r="M17" s="48">
        <v>0</v>
      </c>
      <c r="N17" s="48"/>
      <c r="O17" s="48">
        <v>1635642</v>
      </c>
      <c r="P17" s="48"/>
      <c r="Q17" s="48">
        <v>178851</v>
      </c>
      <c r="R17" s="48"/>
      <c r="S17" s="48">
        <f t="shared" si="0"/>
        <v>56858935</v>
      </c>
      <c r="T17" s="44"/>
      <c r="U17" s="48">
        <v>1002859</v>
      </c>
      <c r="W17" s="44">
        <f>+S17-'Stmt net assets'!O17-U17</f>
        <v>0</v>
      </c>
    </row>
    <row r="18" spans="1:25" s="65" customFormat="1" ht="12.75" customHeight="1">
      <c r="A18" s="35" t="s">
        <v>24</v>
      </c>
      <c r="B18" s="51"/>
      <c r="C18" s="35" t="s">
        <v>17</v>
      </c>
      <c r="D18" s="35"/>
      <c r="E18" s="48">
        <v>4858877</v>
      </c>
      <c r="F18" s="48"/>
      <c r="G18" s="48">
        <v>2602537</v>
      </c>
      <c r="H18" s="48"/>
      <c r="I18" s="48">
        <v>0</v>
      </c>
      <c r="J18" s="48"/>
      <c r="K18" s="48">
        <v>183599</v>
      </c>
      <c r="L18" s="48"/>
      <c r="M18" s="48">
        <v>23481</v>
      </c>
      <c r="N18" s="48"/>
      <c r="O18" s="48">
        <v>1027214</v>
      </c>
      <c r="P18" s="48"/>
      <c r="Q18" s="48">
        <f>200000+103727+768499+3480</f>
        <v>1075706</v>
      </c>
      <c r="R18" s="48"/>
      <c r="S18" s="48">
        <f t="shared" si="0"/>
        <v>9771414</v>
      </c>
      <c r="T18" s="44"/>
      <c r="U18" s="48">
        <v>1218213</v>
      </c>
      <c r="W18" s="44">
        <f>+S18-'Stmt net assets'!O18-U18</f>
        <v>0</v>
      </c>
    </row>
    <row r="19" spans="1:25" s="65" customFormat="1" ht="12.75" customHeight="1">
      <c r="A19" s="35" t="s">
        <v>25</v>
      </c>
      <c r="B19" s="51"/>
      <c r="C19" s="35" t="s">
        <v>13</v>
      </c>
      <c r="D19" s="35"/>
      <c r="E19" s="48">
        <v>3378254</v>
      </c>
      <c r="F19" s="48"/>
      <c r="G19" s="48">
        <v>166466</v>
      </c>
      <c r="H19" s="48"/>
      <c r="I19" s="48">
        <v>0</v>
      </c>
      <c r="J19" s="48"/>
      <c r="K19" s="48">
        <v>980000</v>
      </c>
      <c r="L19" s="48"/>
      <c r="M19" s="48">
        <v>544771</v>
      </c>
      <c r="N19" s="48"/>
      <c r="O19" s="48">
        <v>3165141</v>
      </c>
      <c r="P19" s="48"/>
      <c r="Q19" s="48">
        <v>0</v>
      </c>
      <c r="R19" s="48"/>
      <c r="S19" s="48">
        <f t="shared" si="0"/>
        <v>8234632</v>
      </c>
      <c r="T19" s="44"/>
      <c r="U19" s="48">
        <v>1721178</v>
      </c>
      <c r="W19" s="44">
        <f>+S19-'Stmt net assets'!O19-U19</f>
        <v>0</v>
      </c>
    </row>
    <row r="20" spans="1:25" s="65" customFormat="1" ht="12.75" customHeight="1">
      <c r="A20" s="35" t="s">
        <v>26</v>
      </c>
      <c r="B20" s="51"/>
      <c r="C20" s="35" t="s">
        <v>27</v>
      </c>
      <c r="D20" s="35"/>
      <c r="E20" s="48">
        <v>11095000</v>
      </c>
      <c r="F20" s="48"/>
      <c r="G20" s="48">
        <v>0</v>
      </c>
      <c r="H20" s="48"/>
      <c r="I20" s="48">
        <v>0</v>
      </c>
      <c r="J20" s="48"/>
      <c r="K20" s="48">
        <v>0</v>
      </c>
      <c r="L20" s="48"/>
      <c r="M20" s="48">
        <v>0</v>
      </c>
      <c r="N20" s="48"/>
      <c r="O20" s="48">
        <v>1223546</v>
      </c>
      <c r="P20" s="48"/>
      <c r="Q20" s="48">
        <v>49519</v>
      </c>
      <c r="R20" s="48"/>
      <c r="S20" s="48">
        <f t="shared" si="0"/>
        <v>12368065</v>
      </c>
      <c r="T20" s="44"/>
      <c r="U20" s="48">
        <v>1954097</v>
      </c>
      <c r="W20" s="44">
        <f>+S20-'Stmt net assets'!O20-U20</f>
        <v>0</v>
      </c>
    </row>
    <row r="21" spans="1:25" s="65" customFormat="1" ht="12.75" customHeight="1">
      <c r="A21" s="35" t="s">
        <v>28</v>
      </c>
      <c r="B21" s="51"/>
      <c r="C21" s="35" t="s">
        <v>27</v>
      </c>
      <c r="D21" s="35"/>
      <c r="E21" s="48">
        <v>11454116</v>
      </c>
      <c r="F21" s="48"/>
      <c r="G21" s="48">
        <v>4440000</v>
      </c>
      <c r="H21" s="48"/>
      <c r="I21" s="48">
        <v>0</v>
      </c>
      <c r="J21" s="48"/>
      <c r="K21" s="48">
        <v>0</v>
      </c>
      <c r="L21" s="48"/>
      <c r="M21" s="48">
        <v>0</v>
      </c>
      <c r="N21" s="48"/>
      <c r="O21" s="48">
        <v>2373582</v>
      </c>
      <c r="P21" s="48"/>
      <c r="Q21" s="48">
        <v>-135153</v>
      </c>
      <c r="R21" s="48"/>
      <c r="S21" s="48">
        <f t="shared" si="0"/>
        <v>18132545</v>
      </c>
      <c r="T21" s="44"/>
      <c r="U21" s="48">
        <v>1960758</v>
      </c>
      <c r="W21" s="44">
        <f>+S21-'Stmt net assets'!O21-U21</f>
        <v>0</v>
      </c>
      <c r="Y21" s="44"/>
    </row>
    <row r="22" spans="1:25" s="65" customFormat="1" ht="12.75" customHeight="1">
      <c r="A22" s="35" t="s">
        <v>29</v>
      </c>
      <c r="B22" s="51"/>
      <c r="C22" s="35" t="s">
        <v>30</v>
      </c>
      <c r="D22" s="35"/>
      <c r="E22" s="48">
        <v>5340000</v>
      </c>
      <c r="F22" s="48"/>
      <c r="G22" s="48">
        <v>2835000</v>
      </c>
      <c r="H22" s="48"/>
      <c r="I22" s="48">
        <v>0</v>
      </c>
      <c r="J22" s="48"/>
      <c r="K22" s="48">
        <v>0</v>
      </c>
      <c r="L22" s="48"/>
      <c r="M22" s="48">
        <v>28295</v>
      </c>
      <c r="N22" s="48"/>
      <c r="O22" s="48">
        <v>1005978</v>
      </c>
      <c r="P22" s="48"/>
      <c r="Q22" s="48">
        <v>0</v>
      </c>
      <c r="R22" s="48"/>
      <c r="S22" s="48">
        <f t="shared" si="0"/>
        <v>9209273</v>
      </c>
      <c r="T22" s="44"/>
      <c r="U22" s="48">
        <v>1081311</v>
      </c>
      <c r="W22" s="44">
        <f>+S22-'Stmt net assets'!O22-U22</f>
        <v>0</v>
      </c>
    </row>
    <row r="23" spans="1:25" s="65" customFormat="1" ht="12.75" customHeight="1">
      <c r="A23" s="35" t="s">
        <v>31</v>
      </c>
      <c r="B23" s="51"/>
      <c r="C23" s="35" t="s">
        <v>27</v>
      </c>
      <c r="D23" s="35"/>
      <c r="E23" s="48">
        <v>10861303</v>
      </c>
      <c r="F23" s="48"/>
      <c r="G23" s="48">
        <v>430000</v>
      </c>
      <c r="H23" s="48"/>
      <c r="I23" s="48">
        <v>0</v>
      </c>
      <c r="J23" s="48"/>
      <c r="K23" s="48">
        <v>433577</v>
      </c>
      <c r="L23" s="48"/>
      <c r="M23" s="48">
        <v>42712</v>
      </c>
      <c r="N23" s="48"/>
      <c r="O23" s="48">
        <v>1319688</v>
      </c>
      <c r="P23" s="48"/>
      <c r="Q23" s="48">
        <v>194216</v>
      </c>
      <c r="R23" s="48"/>
      <c r="S23" s="48">
        <f t="shared" si="0"/>
        <v>13281496</v>
      </c>
      <c r="T23" s="44"/>
      <c r="U23" s="48">
        <v>1019753</v>
      </c>
      <c r="W23" s="44">
        <f>+S23-'Stmt net assets'!O23-U23</f>
        <v>0</v>
      </c>
    </row>
    <row r="24" spans="1:25" s="65" customFormat="1" ht="12.75" customHeight="1">
      <c r="A24" s="35" t="s">
        <v>32</v>
      </c>
      <c r="B24" s="51"/>
      <c r="C24" s="35" t="s">
        <v>27</v>
      </c>
      <c r="D24" s="35"/>
      <c r="E24" s="48">
        <v>4637800</v>
      </c>
      <c r="F24" s="48"/>
      <c r="G24" s="48">
        <v>0</v>
      </c>
      <c r="H24" s="48"/>
      <c r="I24" s="48">
        <v>0</v>
      </c>
      <c r="J24" s="48"/>
      <c r="K24" s="48">
        <v>0</v>
      </c>
      <c r="L24" s="48"/>
      <c r="M24" s="48">
        <v>731606</v>
      </c>
      <c r="N24" s="48"/>
      <c r="O24" s="48">
        <v>2457113</v>
      </c>
      <c r="P24" s="48"/>
      <c r="Q24" s="48">
        <v>0</v>
      </c>
      <c r="R24" s="48"/>
      <c r="S24" s="48">
        <f t="shared" ref="S24:S53" si="1">SUM(E24:Q24)</f>
        <v>7826519</v>
      </c>
      <c r="T24" s="44"/>
      <c r="U24" s="48">
        <v>1410235</v>
      </c>
      <c r="W24" s="44">
        <f>+S24-'Stmt net assets'!O24-U24</f>
        <v>0</v>
      </c>
    </row>
    <row r="25" spans="1:25" s="65" customFormat="1" ht="12.75" customHeight="1">
      <c r="A25" s="35" t="s">
        <v>34</v>
      </c>
      <c r="B25" s="51"/>
      <c r="C25" s="35" t="s">
        <v>30</v>
      </c>
      <c r="D25" s="35"/>
      <c r="E25" s="48">
        <v>0</v>
      </c>
      <c r="F25" s="48"/>
      <c r="G25" s="48">
        <v>0</v>
      </c>
      <c r="H25" s="48"/>
      <c r="I25" s="48">
        <v>0</v>
      </c>
      <c r="J25" s="48"/>
      <c r="K25" s="48">
        <v>0</v>
      </c>
      <c r="L25" s="48"/>
      <c r="M25" s="48">
        <v>0</v>
      </c>
      <c r="N25" s="48"/>
      <c r="O25" s="48">
        <v>196645</v>
      </c>
      <c r="P25" s="48"/>
      <c r="Q25" s="48">
        <v>0</v>
      </c>
      <c r="R25" s="48"/>
      <c r="S25" s="48">
        <f t="shared" si="1"/>
        <v>196645</v>
      </c>
      <c r="T25" s="44"/>
      <c r="U25" s="48">
        <v>85876</v>
      </c>
      <c r="W25" s="44">
        <f>+S25-'Stmt net assets'!O25-U25</f>
        <v>0</v>
      </c>
    </row>
    <row r="26" spans="1:25" s="65" customFormat="1" ht="12.75" customHeight="1">
      <c r="A26" s="35" t="s">
        <v>35</v>
      </c>
      <c r="B26" s="51"/>
      <c r="C26" s="35" t="s">
        <v>36</v>
      </c>
      <c r="D26" s="35"/>
      <c r="E26" s="48">
        <v>0</v>
      </c>
      <c r="F26" s="48"/>
      <c r="G26" s="48">
        <f>15000+65000</f>
        <v>80000</v>
      </c>
      <c r="H26" s="48"/>
      <c r="I26" s="48">
        <v>0</v>
      </c>
      <c r="J26" s="48"/>
      <c r="K26" s="48">
        <v>0</v>
      </c>
      <c r="L26" s="48"/>
      <c r="M26" s="48">
        <v>0</v>
      </c>
      <c r="N26" s="48"/>
      <c r="O26" s="48">
        <v>1032648</v>
      </c>
      <c r="P26" s="48"/>
      <c r="Q26" s="48">
        <f>450000+28539+294371</f>
        <v>772910</v>
      </c>
      <c r="R26" s="48"/>
      <c r="S26" s="48">
        <f t="shared" si="1"/>
        <v>1885558</v>
      </c>
      <c r="T26" s="44"/>
      <c r="U26" s="48">
        <v>470988</v>
      </c>
      <c r="W26" s="44">
        <f>+S26-'Stmt net assets'!O26-U26</f>
        <v>0</v>
      </c>
    </row>
    <row r="27" spans="1:25" s="65" customFormat="1" ht="12.75" customHeight="1">
      <c r="A27" s="35" t="s">
        <v>37</v>
      </c>
      <c r="B27" s="51"/>
      <c r="C27" s="35" t="s">
        <v>38</v>
      </c>
      <c r="D27" s="35"/>
      <c r="E27" s="48">
        <v>1335000</v>
      </c>
      <c r="F27" s="48"/>
      <c r="G27" s="48">
        <v>0</v>
      </c>
      <c r="H27" s="48"/>
      <c r="I27" s="48">
        <v>0</v>
      </c>
      <c r="J27" s="48"/>
      <c r="K27" s="48">
        <v>0</v>
      </c>
      <c r="L27" s="48"/>
      <c r="M27" s="48">
        <v>0</v>
      </c>
      <c r="N27" s="48"/>
      <c r="O27" s="48">
        <v>643148</v>
      </c>
      <c r="P27" s="48"/>
      <c r="Q27" s="48">
        <v>0</v>
      </c>
      <c r="R27" s="48"/>
      <c r="S27" s="48">
        <f t="shared" si="1"/>
        <v>1978148</v>
      </c>
      <c r="T27" s="44"/>
      <c r="U27" s="48">
        <v>249097</v>
      </c>
      <c r="W27" s="44">
        <f>+S27-'Stmt net assets'!O27-U27</f>
        <v>0</v>
      </c>
    </row>
    <row r="28" spans="1:25" s="65" customFormat="1" ht="12.75" customHeight="1">
      <c r="A28" s="35" t="s">
        <v>39</v>
      </c>
      <c r="B28" s="51"/>
      <c r="C28" s="35" t="s">
        <v>40</v>
      </c>
      <c r="D28" s="35"/>
      <c r="E28" s="48">
        <v>0</v>
      </c>
      <c r="F28" s="48"/>
      <c r="G28" s="48">
        <v>0</v>
      </c>
      <c r="H28" s="48"/>
      <c r="I28" s="48">
        <v>0</v>
      </c>
      <c r="J28" s="48"/>
      <c r="K28" s="48">
        <v>0</v>
      </c>
      <c r="L28" s="48"/>
      <c r="M28" s="48">
        <v>1162127</v>
      </c>
      <c r="N28" s="48"/>
      <c r="O28" s="48">
        <v>35772</v>
      </c>
      <c r="P28" s="48"/>
      <c r="Q28" s="48">
        <v>20597</v>
      </c>
      <c r="R28" s="48"/>
      <c r="S28" s="48">
        <f t="shared" si="1"/>
        <v>1218496</v>
      </c>
      <c r="T28" s="44"/>
      <c r="U28" s="48">
        <v>118055</v>
      </c>
      <c r="W28" s="44">
        <f>+S28-'Stmt net assets'!O28-U28</f>
        <v>0</v>
      </c>
    </row>
    <row r="29" spans="1:25" s="65" customFormat="1" ht="12.75" customHeight="1">
      <c r="A29" s="35" t="s">
        <v>41</v>
      </c>
      <c r="B29" s="51"/>
      <c r="C29" s="35" t="s">
        <v>27</v>
      </c>
      <c r="D29" s="35"/>
      <c r="E29" s="48">
        <v>9875000</v>
      </c>
      <c r="F29" s="48"/>
      <c r="G29" s="48">
        <v>0</v>
      </c>
      <c r="H29" s="48"/>
      <c r="I29" s="48">
        <v>975000</v>
      </c>
      <c r="J29" s="48"/>
      <c r="K29" s="48">
        <v>0</v>
      </c>
      <c r="L29" s="48"/>
      <c r="M29" s="48">
        <f>72925+85570+88944+27501</f>
        <v>274940</v>
      </c>
      <c r="N29" s="48"/>
      <c r="O29" s="48">
        <v>1221128</v>
      </c>
      <c r="P29" s="48"/>
      <c r="Q29" s="48">
        <f>870000+104476+233624</f>
        <v>1208100</v>
      </c>
      <c r="R29" s="48"/>
      <c r="S29" s="48">
        <f t="shared" si="1"/>
        <v>13554168</v>
      </c>
      <c r="T29" s="44"/>
      <c r="U29" s="48">
        <v>2389232</v>
      </c>
      <c r="W29" s="44">
        <f>+S29-'Stmt net assets'!O29-U29</f>
        <v>0</v>
      </c>
    </row>
    <row r="30" spans="1:25" s="65" customFormat="1" ht="12.75" customHeight="1">
      <c r="A30" s="35" t="s">
        <v>42</v>
      </c>
      <c r="B30" s="51"/>
      <c r="C30" s="35" t="s">
        <v>43</v>
      </c>
      <c r="D30" s="35"/>
      <c r="E30" s="48">
        <f>6138100+58467-126850+1300000</f>
        <v>7369717</v>
      </c>
      <c r="F30" s="48"/>
      <c r="G30" s="48">
        <v>0</v>
      </c>
      <c r="H30" s="48"/>
      <c r="I30" s="48">
        <v>0</v>
      </c>
      <c r="J30" s="48"/>
      <c r="K30" s="48">
        <f>1431705+466134</f>
        <v>1897839</v>
      </c>
      <c r="L30" s="48"/>
      <c r="M30" s="48">
        <v>201922</v>
      </c>
      <c r="N30" s="48"/>
      <c r="O30" s="48">
        <v>333726</v>
      </c>
      <c r="P30" s="48"/>
      <c r="Q30" s="48">
        <v>375798</v>
      </c>
      <c r="R30" s="48"/>
      <c r="S30" s="48">
        <f t="shared" si="1"/>
        <v>10179002</v>
      </c>
      <c r="T30" s="44"/>
      <c r="U30" s="48">
        <v>591075</v>
      </c>
      <c r="W30" s="44">
        <f>+S30-'Stmt net assets'!O30-U30</f>
        <v>0</v>
      </c>
    </row>
    <row r="31" spans="1:25" s="65" customFormat="1" ht="12.75" customHeight="1">
      <c r="A31" s="35" t="s">
        <v>44</v>
      </c>
      <c r="B31" s="51"/>
      <c r="C31" s="35" t="s">
        <v>45</v>
      </c>
      <c r="D31" s="35"/>
      <c r="E31" s="48">
        <v>28715000</v>
      </c>
      <c r="F31" s="48"/>
      <c r="G31" s="48">
        <v>0</v>
      </c>
      <c r="H31" s="48"/>
      <c r="I31" s="48">
        <v>0</v>
      </c>
      <c r="J31" s="48"/>
      <c r="K31" s="48">
        <f>17808991+1147701</f>
        <v>18956692</v>
      </c>
      <c r="L31" s="48"/>
      <c r="M31" s="48">
        <v>0</v>
      </c>
      <c r="N31" s="48"/>
      <c r="O31" s="48">
        <v>1647800</v>
      </c>
      <c r="P31" s="48"/>
      <c r="Q31" s="48">
        <v>0</v>
      </c>
      <c r="R31" s="48"/>
      <c r="S31" s="48">
        <f t="shared" si="1"/>
        <v>49319492</v>
      </c>
      <c r="T31" s="44"/>
      <c r="U31" s="48">
        <v>3899050</v>
      </c>
      <c r="W31" s="44">
        <f>+S31-'Stmt net assets'!O31-U31</f>
        <v>0</v>
      </c>
    </row>
    <row r="32" spans="1:25" s="65" customFormat="1" ht="12.75" customHeight="1">
      <c r="A32" s="35" t="s">
        <v>46</v>
      </c>
      <c r="B32" s="51"/>
      <c r="C32" s="35" t="s">
        <v>47</v>
      </c>
      <c r="D32" s="35"/>
      <c r="E32" s="48">
        <v>9466961</v>
      </c>
      <c r="F32" s="48"/>
      <c r="G32" s="48">
        <v>0</v>
      </c>
      <c r="H32" s="48"/>
      <c r="I32" s="48">
        <v>0</v>
      </c>
      <c r="J32" s="48"/>
      <c r="K32" s="48">
        <v>11748466</v>
      </c>
      <c r="L32" s="48"/>
      <c r="M32" s="48">
        <v>0</v>
      </c>
      <c r="N32" s="48"/>
      <c r="O32" s="48">
        <v>1637169</v>
      </c>
      <c r="P32" s="48"/>
      <c r="Q32" s="48">
        <v>0</v>
      </c>
      <c r="R32" s="48"/>
      <c r="S32" s="48">
        <f t="shared" si="1"/>
        <v>22852596</v>
      </c>
      <c r="T32" s="44"/>
      <c r="U32" s="48">
        <v>1794042</v>
      </c>
      <c r="W32" s="44">
        <f>+S32-'Stmt net assets'!O32-U32</f>
        <v>0</v>
      </c>
    </row>
    <row r="33" spans="1:23" s="65" customFormat="1" ht="12.75" customHeight="1">
      <c r="A33" s="35" t="s">
        <v>48</v>
      </c>
      <c r="B33" s="51"/>
      <c r="C33" s="35" t="s">
        <v>27</v>
      </c>
      <c r="D33" s="35"/>
      <c r="E33" s="48">
        <v>10402802</v>
      </c>
      <c r="F33" s="48"/>
      <c r="G33" s="48">
        <v>3754221</v>
      </c>
      <c r="H33" s="48"/>
      <c r="I33" s="48">
        <v>0</v>
      </c>
      <c r="J33" s="48"/>
      <c r="K33" s="48">
        <v>655411</v>
      </c>
      <c r="L33" s="48"/>
      <c r="M33" s="48">
        <v>0</v>
      </c>
      <c r="N33" s="48"/>
      <c r="O33" s="48">
        <v>786230</v>
      </c>
      <c r="P33" s="48"/>
      <c r="Q33" s="48">
        <v>0</v>
      </c>
      <c r="R33" s="48"/>
      <c r="S33" s="48">
        <f t="shared" si="1"/>
        <v>15598664</v>
      </c>
      <c r="T33" s="44"/>
      <c r="U33" s="48">
        <v>1465088</v>
      </c>
      <c r="W33" s="44">
        <f>+S33-'Stmt net assets'!O33-U33</f>
        <v>0</v>
      </c>
    </row>
    <row r="34" spans="1:23" s="65" customFormat="1" ht="12.75" customHeight="1">
      <c r="A34" s="35" t="s">
        <v>49</v>
      </c>
      <c r="B34" s="51"/>
      <c r="C34" s="35" t="s">
        <v>27</v>
      </c>
      <c r="D34" s="35"/>
      <c r="E34" s="48">
        <v>6854226</v>
      </c>
      <c r="F34" s="48"/>
      <c r="G34" s="48">
        <v>3130840</v>
      </c>
      <c r="H34" s="48" t="s">
        <v>450</v>
      </c>
      <c r="I34" s="48">
        <v>0</v>
      </c>
      <c r="J34" s="48"/>
      <c r="K34" s="48">
        <f>1697777+200000+322692</f>
        <v>2220469</v>
      </c>
      <c r="L34" s="48"/>
      <c r="M34" s="48">
        <v>20770</v>
      </c>
      <c r="N34" s="48"/>
      <c r="O34" s="48">
        <v>1353145</v>
      </c>
      <c r="P34" s="48"/>
      <c r="Q34" s="48">
        <v>0</v>
      </c>
      <c r="R34" s="48"/>
      <c r="S34" s="48">
        <f t="shared" si="1"/>
        <v>13579450</v>
      </c>
      <c r="T34" s="44"/>
      <c r="U34" s="48">
        <v>1708208</v>
      </c>
      <c r="W34" s="44">
        <f>+S34-'Stmt net assets'!O34-U34</f>
        <v>0</v>
      </c>
    </row>
    <row r="35" spans="1:23" s="65" customFormat="1" ht="12.75" customHeight="1">
      <c r="A35" s="35" t="s">
        <v>50</v>
      </c>
      <c r="B35" s="51"/>
      <c r="C35" s="35" t="s">
        <v>27</v>
      </c>
      <c r="D35" s="35"/>
      <c r="E35" s="48">
        <v>1605000</v>
      </c>
      <c r="F35" s="48"/>
      <c r="G35" s="48">
        <v>0</v>
      </c>
      <c r="H35" s="48"/>
      <c r="I35" s="48">
        <v>0</v>
      </c>
      <c r="J35" s="48"/>
      <c r="K35" s="48">
        <v>1678203</v>
      </c>
      <c r="L35" s="48"/>
      <c r="M35" s="48">
        <v>1142044</v>
      </c>
      <c r="N35" s="48"/>
      <c r="O35" s="48">
        <v>2346675</v>
      </c>
      <c r="P35" s="48"/>
      <c r="Q35" s="48">
        <v>0</v>
      </c>
      <c r="R35" s="48"/>
      <c r="S35" s="48">
        <f t="shared" si="1"/>
        <v>6771922</v>
      </c>
      <c r="T35" s="44"/>
      <c r="U35" s="48">
        <v>2029885</v>
      </c>
      <c r="W35" s="44">
        <f>+S35-'Stmt net assets'!O35-U35</f>
        <v>0</v>
      </c>
    </row>
    <row r="36" spans="1:23" s="65" customFormat="1" ht="12.75" customHeight="1">
      <c r="A36" s="35" t="s">
        <v>51</v>
      </c>
      <c r="B36" s="51"/>
      <c r="C36" s="35" t="s">
        <v>27</v>
      </c>
      <c r="D36" s="35"/>
      <c r="E36" s="48">
        <v>6481444</v>
      </c>
      <c r="F36" s="48"/>
      <c r="G36" s="48"/>
      <c r="H36" s="48"/>
      <c r="I36" s="48">
        <v>575000</v>
      </c>
      <c r="J36" s="48"/>
      <c r="K36" s="48">
        <v>357305</v>
      </c>
      <c r="L36" s="48"/>
      <c r="M36" s="48">
        <v>2504069</v>
      </c>
      <c r="N36" s="48"/>
      <c r="O36" s="48">
        <v>1899599</v>
      </c>
      <c r="P36" s="48"/>
      <c r="Q36" s="48">
        <f>51212+227615+4701961</f>
        <v>4980788</v>
      </c>
      <c r="R36" s="48"/>
      <c r="S36" s="48">
        <f t="shared" si="1"/>
        <v>16798205</v>
      </c>
      <c r="T36" s="44"/>
      <c r="U36" s="48">
        <v>968537</v>
      </c>
      <c r="W36" s="44">
        <f>+S36-'Stmt net assets'!O36-U36</f>
        <v>0</v>
      </c>
    </row>
    <row r="37" spans="1:23" s="65" customFormat="1" ht="12.75" customHeight="1">
      <c r="A37" s="35" t="s">
        <v>462</v>
      </c>
      <c r="B37" s="51"/>
      <c r="C37" s="35" t="s">
        <v>66</v>
      </c>
      <c r="D37" s="35"/>
      <c r="E37" s="48">
        <v>1250000</v>
      </c>
      <c r="F37" s="48"/>
      <c r="G37" s="48">
        <v>0</v>
      </c>
      <c r="H37" s="48"/>
      <c r="I37" s="48">
        <v>1068000</v>
      </c>
      <c r="J37" s="48"/>
      <c r="K37" s="48">
        <v>80942</v>
      </c>
      <c r="L37" s="48"/>
      <c r="M37" s="48">
        <f>20729+250978</f>
        <v>271707</v>
      </c>
      <c r="N37" s="48"/>
      <c r="O37" s="48">
        <v>107863</v>
      </c>
      <c r="P37" s="48"/>
      <c r="Q37" s="48">
        <v>0</v>
      </c>
      <c r="R37" s="48"/>
      <c r="S37" s="48">
        <f t="shared" si="1"/>
        <v>2778512</v>
      </c>
      <c r="T37" s="44"/>
      <c r="U37" s="48">
        <v>1507891</v>
      </c>
      <c r="W37" s="44">
        <f>+S37-'Stmt net assets'!O37-U37</f>
        <v>0</v>
      </c>
    </row>
    <row r="38" spans="1:23" s="65" customFormat="1" ht="12.75" customHeight="1">
      <c r="A38" s="35" t="s">
        <v>52</v>
      </c>
      <c r="B38" s="51"/>
      <c r="C38" s="35" t="s">
        <v>53</v>
      </c>
      <c r="D38" s="35"/>
      <c r="E38" s="48">
        <v>1245908</v>
      </c>
      <c r="F38" s="48"/>
      <c r="G38" s="48">
        <v>1728992</v>
      </c>
      <c r="H38" s="48"/>
      <c r="I38" s="48">
        <v>0</v>
      </c>
      <c r="J38" s="48"/>
      <c r="K38" s="48">
        <f>5664+153683</f>
        <v>159347</v>
      </c>
      <c r="L38" s="48"/>
      <c r="M38" s="48">
        <v>277005</v>
      </c>
      <c r="N38" s="48"/>
      <c r="O38" s="48">
        <v>468237</v>
      </c>
      <c r="P38" s="48"/>
      <c r="Q38" s="48"/>
      <c r="R38" s="48"/>
      <c r="S38" s="48">
        <f t="shared" si="1"/>
        <v>3879489</v>
      </c>
      <c r="T38" s="44"/>
      <c r="U38" s="48">
        <v>745505</v>
      </c>
      <c r="W38" s="44">
        <f>+S38-'Stmt net assets'!O38-U38</f>
        <v>0</v>
      </c>
    </row>
    <row r="39" spans="1:23" s="65" customFormat="1" ht="12.75" customHeight="1">
      <c r="A39" s="35" t="s">
        <v>54</v>
      </c>
      <c r="B39" s="51"/>
      <c r="C39" s="35" t="s">
        <v>55</v>
      </c>
      <c r="D39" s="35"/>
      <c r="E39" s="48">
        <v>0</v>
      </c>
      <c r="F39" s="48"/>
      <c r="G39" s="48">
        <v>11000</v>
      </c>
      <c r="H39" s="48"/>
      <c r="I39" s="48">
        <v>2400000</v>
      </c>
      <c r="J39" s="48"/>
      <c r="K39" s="48">
        <v>0</v>
      </c>
      <c r="L39" s="48"/>
      <c r="M39" s="48">
        <v>0</v>
      </c>
      <c r="N39" s="48"/>
      <c r="O39" s="48">
        <v>997950</v>
      </c>
      <c r="P39" s="48"/>
      <c r="Q39" s="48">
        <v>0</v>
      </c>
      <c r="R39" s="48"/>
      <c r="S39" s="48">
        <f t="shared" si="1"/>
        <v>3408950</v>
      </c>
      <c r="T39" s="44"/>
      <c r="U39" s="48">
        <v>2644719</v>
      </c>
      <c r="W39" s="44">
        <f>+S39-'Stmt net assets'!O39-U39</f>
        <v>0</v>
      </c>
    </row>
    <row r="40" spans="1:23" s="65" customFormat="1" ht="12.75" customHeight="1">
      <c r="A40" s="35" t="s">
        <v>56</v>
      </c>
      <c r="B40" s="51"/>
      <c r="C40" s="35" t="s">
        <v>57</v>
      </c>
      <c r="D40" s="35"/>
      <c r="E40" s="48">
        <v>0</v>
      </c>
      <c r="F40" s="48"/>
      <c r="G40" s="48">
        <v>124000</v>
      </c>
      <c r="H40" s="48"/>
      <c r="I40" s="48">
        <v>0</v>
      </c>
      <c r="J40" s="48"/>
      <c r="K40" s="48">
        <v>192000</v>
      </c>
      <c r="L40" s="48"/>
      <c r="M40" s="48">
        <v>40207</v>
      </c>
      <c r="N40" s="48"/>
      <c r="O40" s="48">
        <v>520292</v>
      </c>
      <c r="P40" s="48"/>
      <c r="Q40" s="48">
        <f>140299+160181</f>
        <v>300480</v>
      </c>
      <c r="R40" s="48"/>
      <c r="S40" s="48">
        <f t="shared" si="1"/>
        <v>1176979</v>
      </c>
      <c r="T40" s="44"/>
      <c r="U40" s="48">
        <v>95125</v>
      </c>
      <c r="W40" s="44">
        <f>+S40-'Stmt net assets'!O40-U40</f>
        <v>0</v>
      </c>
    </row>
    <row r="41" spans="1:23" s="65" customFormat="1" ht="12.75" customHeight="1">
      <c r="A41" s="35" t="s">
        <v>58</v>
      </c>
      <c r="B41" s="51"/>
      <c r="C41" s="35" t="s">
        <v>59</v>
      </c>
      <c r="D41" s="35"/>
      <c r="E41" s="48">
        <v>0</v>
      </c>
      <c r="F41" s="48"/>
      <c r="G41" s="48">
        <v>114484</v>
      </c>
      <c r="H41" s="48"/>
      <c r="I41" s="48">
        <v>0</v>
      </c>
      <c r="J41" s="48"/>
      <c r="K41" s="48">
        <v>15931</v>
      </c>
      <c r="L41" s="48"/>
      <c r="M41" s="48">
        <v>376642</v>
      </c>
      <c r="N41" s="48"/>
      <c r="O41" s="48">
        <v>705408</v>
      </c>
      <c r="P41" s="48"/>
      <c r="Q41" s="48">
        <v>501526</v>
      </c>
      <c r="R41" s="48"/>
      <c r="S41" s="48">
        <f t="shared" si="1"/>
        <v>1713991</v>
      </c>
      <c r="T41" s="44"/>
      <c r="U41" s="48">
        <v>172675</v>
      </c>
      <c r="W41" s="44">
        <f>+S41-'Stmt net assets'!O41-U41</f>
        <v>0</v>
      </c>
    </row>
    <row r="42" spans="1:23" s="65" customFormat="1" ht="12.75" customHeight="1">
      <c r="A42" s="44" t="s">
        <v>476</v>
      </c>
      <c r="B42" s="51"/>
      <c r="C42" s="35" t="s">
        <v>15</v>
      </c>
      <c r="D42" s="35"/>
      <c r="E42" s="48">
        <v>1445576</v>
      </c>
      <c r="F42" s="48"/>
      <c r="G42" s="48">
        <v>0</v>
      </c>
      <c r="H42" s="48"/>
      <c r="I42" s="48">
        <v>0</v>
      </c>
      <c r="J42" s="48"/>
      <c r="K42" s="48">
        <v>0</v>
      </c>
      <c r="L42" s="48"/>
      <c r="M42" s="48">
        <v>74732</v>
      </c>
      <c r="N42" s="48"/>
      <c r="O42" s="48">
        <v>60687</v>
      </c>
      <c r="P42" s="48"/>
      <c r="Q42" s="48">
        <v>0</v>
      </c>
      <c r="R42" s="48"/>
      <c r="S42" s="48">
        <f>SUM(E42:Q42)</f>
        <v>1580995</v>
      </c>
      <c r="T42" s="44"/>
      <c r="U42" s="48">
        <v>113787</v>
      </c>
      <c r="W42" s="44">
        <f>+S42-'Stmt net assets'!O42-U42</f>
        <v>0</v>
      </c>
    </row>
    <row r="43" spans="1:23" s="65" customFormat="1" ht="12.75" customHeight="1">
      <c r="A43" s="35" t="s">
        <v>60</v>
      </c>
      <c r="B43" s="51"/>
      <c r="C43" s="35" t="s">
        <v>61</v>
      </c>
      <c r="D43" s="35"/>
      <c r="E43" s="48">
        <v>1625000</v>
      </c>
      <c r="F43" s="48"/>
      <c r="G43" s="48">
        <v>0</v>
      </c>
      <c r="H43" s="48"/>
      <c r="I43" s="48">
        <v>0</v>
      </c>
      <c r="J43" s="48"/>
      <c r="K43" s="48">
        <v>219028</v>
      </c>
      <c r="L43" s="48"/>
      <c r="M43" s="48">
        <v>0</v>
      </c>
      <c r="N43" s="48"/>
      <c r="O43" s="48">
        <v>182427</v>
      </c>
      <c r="P43" s="48"/>
      <c r="Q43" s="48">
        <v>0</v>
      </c>
      <c r="R43" s="48"/>
      <c r="S43" s="48">
        <f t="shared" si="1"/>
        <v>2026455</v>
      </c>
      <c r="T43" s="44"/>
      <c r="U43" s="48">
        <v>198313</v>
      </c>
      <c r="W43" s="44">
        <f>+S43-'Stmt net assets'!O43-U43</f>
        <v>0</v>
      </c>
    </row>
    <row r="44" spans="1:23" s="65" customFormat="1" ht="12.75" customHeight="1">
      <c r="A44" s="44" t="s">
        <v>62</v>
      </c>
      <c r="B44" s="51"/>
      <c r="C44" s="35" t="s">
        <v>15</v>
      </c>
      <c r="D44" s="35"/>
      <c r="E44" s="48">
        <v>21656948</v>
      </c>
      <c r="F44" s="48"/>
      <c r="G44" s="48">
        <v>0</v>
      </c>
      <c r="H44" s="48"/>
      <c r="I44" s="48">
        <v>0</v>
      </c>
      <c r="J44" s="48"/>
      <c r="K44" s="48">
        <f>310000+843682+121900+925677+241183+247500</f>
        <v>2689942</v>
      </c>
      <c r="L44" s="48"/>
      <c r="M44" s="48">
        <v>465455</v>
      </c>
      <c r="N44" s="48"/>
      <c r="O44" s="48">
        <v>6734485</v>
      </c>
      <c r="P44" s="48"/>
      <c r="Q44" s="48">
        <v>0</v>
      </c>
      <c r="R44" s="48"/>
      <c r="S44" s="48">
        <f t="shared" si="1"/>
        <v>31546830</v>
      </c>
      <c r="T44" s="44"/>
      <c r="U44" s="48">
        <v>3492538</v>
      </c>
      <c r="W44" s="44">
        <f>+S44-'Stmt net assets'!O44-U44</f>
        <v>0</v>
      </c>
    </row>
    <row r="45" spans="1:23" s="65" customFormat="1" ht="12.75" customHeight="1">
      <c r="A45" s="35" t="s">
        <v>485</v>
      </c>
      <c r="B45" s="51"/>
      <c r="C45" s="35" t="s">
        <v>111</v>
      </c>
      <c r="D45" s="35"/>
      <c r="E45" s="48">
        <v>325000</v>
      </c>
      <c r="F45" s="48"/>
      <c r="G45" s="48">
        <v>370386</v>
      </c>
      <c r="H45" s="48"/>
      <c r="I45" s="48">
        <v>0</v>
      </c>
      <c r="J45" s="48"/>
      <c r="K45" s="48">
        <v>0</v>
      </c>
      <c r="L45" s="48"/>
      <c r="M45" s="48">
        <v>0</v>
      </c>
      <c r="N45" s="48"/>
      <c r="O45" s="48">
        <v>14795</v>
      </c>
      <c r="P45" s="48"/>
      <c r="Q45" s="48">
        <v>0</v>
      </c>
      <c r="R45" s="48"/>
      <c r="S45" s="48">
        <f>SUM(E45:Q45)</f>
        <v>710181</v>
      </c>
      <c r="T45" s="44"/>
      <c r="U45" s="48">
        <v>58723</v>
      </c>
      <c r="W45" s="44">
        <f>+S45-'Stmt net assets'!O45-U45</f>
        <v>0</v>
      </c>
    </row>
    <row r="46" spans="1:23" s="65" customFormat="1" ht="12.75" customHeight="1">
      <c r="A46" s="35" t="s">
        <v>63</v>
      </c>
      <c r="B46" s="51"/>
      <c r="C46" s="35" t="s">
        <v>64</v>
      </c>
      <c r="D46" s="35"/>
      <c r="E46" s="48">
        <v>474508</v>
      </c>
      <c r="F46" s="48"/>
      <c r="G46" s="48"/>
      <c r="H46" s="48"/>
      <c r="I46" s="48">
        <v>1250000</v>
      </c>
      <c r="J46" s="48"/>
      <c r="K46" s="48">
        <v>56501</v>
      </c>
      <c r="L46" s="48"/>
      <c r="M46" s="48">
        <v>0</v>
      </c>
      <c r="N46" s="48"/>
      <c r="O46" s="48">
        <v>281903</v>
      </c>
      <c r="P46" s="48"/>
      <c r="Q46" s="48">
        <v>0</v>
      </c>
      <c r="R46" s="48"/>
      <c r="S46" s="48">
        <f t="shared" si="1"/>
        <v>2062912</v>
      </c>
      <c r="T46" s="44"/>
      <c r="U46" s="48">
        <v>635874</v>
      </c>
      <c r="W46" s="44">
        <f>+S46-'Stmt net assets'!O46-U46</f>
        <v>0</v>
      </c>
    </row>
    <row r="47" spans="1:23" s="65" customFormat="1" ht="12.75" customHeight="1">
      <c r="A47" s="35" t="s">
        <v>65</v>
      </c>
      <c r="B47" s="51"/>
      <c r="C47" s="35" t="s">
        <v>66</v>
      </c>
      <c r="D47" s="35"/>
      <c r="E47" s="48">
        <v>14663082</v>
      </c>
      <c r="F47" s="48"/>
      <c r="G47" s="48">
        <v>6782000</v>
      </c>
      <c r="H47" s="48"/>
      <c r="I47" s="48">
        <v>814034</v>
      </c>
      <c r="J47" s="48"/>
      <c r="K47" s="48">
        <v>0</v>
      </c>
      <c r="L47" s="48"/>
      <c r="M47" s="48">
        <v>0</v>
      </c>
      <c r="N47" s="48"/>
      <c r="O47" s="48">
        <v>639475</v>
      </c>
      <c r="P47" s="48"/>
      <c r="Q47" s="48">
        <v>0</v>
      </c>
      <c r="R47" s="48"/>
      <c r="S47" s="48">
        <f t="shared" si="1"/>
        <v>22898591</v>
      </c>
      <c r="T47" s="44"/>
      <c r="U47" s="48">
        <v>1327006</v>
      </c>
      <c r="W47" s="44">
        <f>+S47-'Stmt net assets'!O47-U47</f>
        <v>0</v>
      </c>
    </row>
    <row r="48" spans="1:23" s="65" customFormat="1" ht="12.75" customHeight="1">
      <c r="A48" s="64" t="s">
        <v>67</v>
      </c>
      <c r="B48" s="66"/>
      <c r="C48" s="64" t="s">
        <v>375</v>
      </c>
      <c r="D48" s="64"/>
      <c r="E48" s="48">
        <v>1240000</v>
      </c>
      <c r="F48" s="48"/>
      <c r="G48" s="48">
        <v>0</v>
      </c>
      <c r="H48" s="48"/>
      <c r="I48" s="48">
        <v>0</v>
      </c>
      <c r="J48" s="48"/>
      <c r="K48" s="48">
        <v>0</v>
      </c>
      <c r="L48" s="48"/>
      <c r="M48" s="48">
        <v>81930</v>
      </c>
      <c r="N48" s="48"/>
      <c r="O48" s="48">
        <v>563258</v>
      </c>
      <c r="P48" s="48"/>
      <c r="Q48" s="48">
        <v>1122271</v>
      </c>
      <c r="R48" s="48"/>
      <c r="S48" s="48">
        <f t="shared" si="1"/>
        <v>3007459</v>
      </c>
      <c r="T48" s="44"/>
      <c r="U48" s="48">
        <v>499891</v>
      </c>
      <c r="W48" s="44">
        <f>+S48-'Stmt net assets'!O48-U48</f>
        <v>0</v>
      </c>
    </row>
    <row r="49" spans="1:23" s="65" customFormat="1" ht="12.75" customHeight="1">
      <c r="A49" s="64" t="s">
        <v>68</v>
      </c>
      <c r="B49" s="66"/>
      <c r="C49" s="64" t="s">
        <v>45</v>
      </c>
      <c r="D49" s="64"/>
      <c r="E49" s="48">
        <v>0</v>
      </c>
      <c r="F49" s="48"/>
      <c r="G49" s="48">
        <v>0</v>
      </c>
      <c r="H49" s="48"/>
      <c r="I49" s="48">
        <v>0</v>
      </c>
      <c r="J49" s="48"/>
      <c r="K49" s="48">
        <v>127298</v>
      </c>
      <c r="L49" s="48"/>
      <c r="M49" s="48">
        <v>0</v>
      </c>
      <c r="N49" s="48"/>
      <c r="O49" s="48">
        <v>138581</v>
      </c>
      <c r="P49" s="48"/>
      <c r="Q49" s="48">
        <v>0</v>
      </c>
      <c r="R49" s="48"/>
      <c r="S49" s="48">
        <f t="shared" si="1"/>
        <v>265879</v>
      </c>
      <c r="T49" s="44"/>
      <c r="U49" s="48">
        <v>54189</v>
      </c>
      <c r="W49" s="44">
        <f>+S49-'Stmt net assets'!O49-U49</f>
        <v>0</v>
      </c>
    </row>
    <row r="50" spans="1:23" s="65" customFormat="1" ht="12.75" customHeight="1">
      <c r="A50" s="35" t="s">
        <v>69</v>
      </c>
      <c r="B50" s="51"/>
      <c r="C50" s="35" t="s">
        <v>70</v>
      </c>
      <c r="D50" s="35"/>
      <c r="E50" s="48">
        <f>705000+6242+435000</f>
        <v>1146242</v>
      </c>
      <c r="F50" s="48"/>
      <c r="G50" s="48">
        <v>0</v>
      </c>
      <c r="H50" s="48"/>
      <c r="I50" s="48">
        <v>200000</v>
      </c>
      <c r="J50" s="48"/>
      <c r="K50" s="48">
        <v>75675</v>
      </c>
      <c r="L50" s="48"/>
      <c r="M50" s="48">
        <v>117598</v>
      </c>
      <c r="N50" s="48"/>
      <c r="O50" s="48">
        <v>2448192</v>
      </c>
      <c r="P50" s="48"/>
      <c r="Q50" s="48">
        <v>557076</v>
      </c>
      <c r="R50" s="48"/>
      <c r="S50" s="48">
        <f t="shared" si="1"/>
        <v>4544783</v>
      </c>
      <c r="T50" s="44"/>
      <c r="U50" s="48">
        <v>1555935</v>
      </c>
      <c r="W50" s="44">
        <f>+S50-'Stmt net assets'!O50-U50</f>
        <v>0</v>
      </c>
    </row>
    <row r="51" spans="1:23" s="65" customFormat="1" ht="12.75" customHeight="1">
      <c r="A51" s="35" t="s">
        <v>71</v>
      </c>
      <c r="B51" s="51"/>
      <c r="C51" s="35" t="s">
        <v>45</v>
      </c>
      <c r="D51" s="35"/>
      <c r="E51" s="48">
        <v>363120</v>
      </c>
      <c r="F51" s="48"/>
      <c r="G51" s="48">
        <v>0</v>
      </c>
      <c r="H51" s="48"/>
      <c r="I51" s="48">
        <v>73375</v>
      </c>
      <c r="J51" s="48"/>
      <c r="K51" s="48">
        <v>3220</v>
      </c>
      <c r="L51" s="48"/>
      <c r="M51" s="48">
        <v>247</v>
      </c>
      <c r="N51" s="48"/>
      <c r="O51" s="48">
        <v>90999</v>
      </c>
      <c r="P51" s="48"/>
      <c r="Q51" s="48">
        <v>92620</v>
      </c>
      <c r="R51" s="48"/>
      <c r="S51" s="48">
        <f t="shared" si="1"/>
        <v>623581</v>
      </c>
      <c r="T51" s="44"/>
      <c r="U51" s="48">
        <v>95701</v>
      </c>
      <c r="W51" s="44">
        <f>+S51-'Stmt net assets'!O51-U51</f>
        <v>0</v>
      </c>
    </row>
    <row r="52" spans="1:23" s="65" customFormat="1" ht="12.75" customHeight="1">
      <c r="A52" s="44" t="s">
        <v>463</v>
      </c>
      <c r="B52" s="51"/>
      <c r="C52" s="44" t="s">
        <v>464</v>
      </c>
      <c r="D52" s="44"/>
      <c r="E52" s="48">
        <v>4221694</v>
      </c>
      <c r="F52" s="48"/>
      <c r="G52" s="48">
        <v>0</v>
      </c>
      <c r="H52" s="48"/>
      <c r="I52" s="48">
        <v>0</v>
      </c>
      <c r="J52" s="48"/>
      <c r="K52" s="48">
        <v>0</v>
      </c>
      <c r="L52" s="48"/>
      <c r="M52" s="48">
        <v>200768</v>
      </c>
      <c r="N52" s="48"/>
      <c r="O52" s="48">
        <v>347036</v>
      </c>
      <c r="P52" s="48"/>
      <c r="Q52" s="48">
        <v>0</v>
      </c>
      <c r="R52" s="48"/>
      <c r="S52" s="48">
        <f t="shared" si="1"/>
        <v>4769498</v>
      </c>
      <c r="T52" s="44"/>
      <c r="U52" s="48">
        <v>583923</v>
      </c>
      <c r="W52" s="44">
        <f>+S52-'Stmt net assets'!O52-U52</f>
        <v>0</v>
      </c>
    </row>
    <row r="53" spans="1:23" s="65" customFormat="1" ht="12.75" customHeight="1">
      <c r="A53" s="35" t="s">
        <v>72</v>
      </c>
      <c r="B53" s="51"/>
      <c r="C53" s="35" t="s">
        <v>66</v>
      </c>
      <c r="D53" s="35"/>
      <c r="E53" s="48">
        <f>680000+3270000+190000+40595+83972</f>
        <v>4264567</v>
      </c>
      <c r="F53" s="48"/>
      <c r="G53" s="48">
        <v>0</v>
      </c>
      <c r="H53" s="48"/>
      <c r="I53" s="48">
        <v>0</v>
      </c>
      <c r="J53" s="48"/>
      <c r="K53" s="48">
        <v>0</v>
      </c>
      <c r="L53" s="48"/>
      <c r="M53" s="48">
        <v>681735</v>
      </c>
      <c r="N53" s="48"/>
      <c r="O53" s="48">
        <v>183217</v>
      </c>
      <c r="P53" s="48"/>
      <c r="Q53" s="48">
        <v>638933</v>
      </c>
      <c r="R53" s="48"/>
      <c r="S53" s="48">
        <f t="shared" si="1"/>
        <v>5768452</v>
      </c>
      <c r="T53" s="44"/>
      <c r="U53" s="48">
        <v>474008</v>
      </c>
      <c r="W53" s="44">
        <f>+S53-'Stmt net assets'!O53-U53</f>
        <v>0</v>
      </c>
    </row>
    <row r="54" spans="1:23" s="65" customFormat="1" ht="12.75" customHeight="1">
      <c r="A54" s="35" t="s">
        <v>73</v>
      </c>
      <c r="C54" s="35" t="s">
        <v>27</v>
      </c>
      <c r="D54" s="35"/>
      <c r="E54" s="48">
        <v>313630000</v>
      </c>
      <c r="F54" s="48"/>
      <c r="G54" s="48">
        <f>6325000+59960000+59560000</f>
        <v>125845000</v>
      </c>
      <c r="H54" s="48"/>
      <c r="I54" s="48">
        <v>0</v>
      </c>
      <c r="J54" s="48"/>
      <c r="K54" s="48">
        <v>0</v>
      </c>
      <c r="L54" s="48"/>
      <c r="M54" s="48">
        <v>8604000</v>
      </c>
      <c r="N54" s="48"/>
      <c r="O54" s="48">
        <v>2376000</v>
      </c>
      <c r="P54" s="48"/>
      <c r="Q54" s="48">
        <f>8959000+2376000+58801000+64363000+2000000+129949000+8562000+44330000+14725000+4700000</f>
        <v>338765000</v>
      </c>
      <c r="R54" s="48"/>
      <c r="S54" s="48">
        <f t="shared" si="0"/>
        <v>789220000</v>
      </c>
      <c r="T54" s="44"/>
      <c r="U54" s="48">
        <v>90751000</v>
      </c>
      <c r="W54" s="44">
        <f>+S54-'Stmt net assets'!O54-U54</f>
        <v>0</v>
      </c>
    </row>
    <row r="55" spans="1:23" s="65" customFormat="1" ht="12.75" hidden="1" customHeight="1">
      <c r="A55" s="35" t="s">
        <v>74</v>
      </c>
      <c r="B55" s="51"/>
      <c r="C55" s="35" t="s">
        <v>27</v>
      </c>
      <c r="D55" s="35"/>
      <c r="E55" s="132"/>
      <c r="F55" s="132"/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>
        <f t="shared" si="0"/>
        <v>0</v>
      </c>
      <c r="T55" s="121"/>
      <c r="U55" s="132"/>
      <c r="W55" s="44">
        <f>+S55-'Stmt net assets'!O55-U55</f>
        <v>-22508158</v>
      </c>
    </row>
    <row r="56" spans="1:23" s="66" customFormat="1" ht="12.75" customHeight="1">
      <c r="A56" s="35" t="s">
        <v>75</v>
      </c>
      <c r="B56" s="51"/>
      <c r="C56" s="35" t="s">
        <v>76</v>
      </c>
      <c r="D56" s="35"/>
      <c r="E56" s="48">
        <v>2980000</v>
      </c>
      <c r="F56" s="48"/>
      <c r="G56" s="48">
        <v>0</v>
      </c>
      <c r="H56" s="48"/>
      <c r="I56" s="48">
        <v>1600000</v>
      </c>
      <c r="J56" s="48"/>
      <c r="K56" s="48">
        <v>663073</v>
      </c>
      <c r="L56" s="48"/>
      <c r="M56" s="48">
        <v>0</v>
      </c>
      <c r="N56" s="48"/>
      <c r="O56" s="48">
        <v>154073</v>
      </c>
      <c r="P56" s="48"/>
      <c r="Q56" s="48">
        <f>73397</f>
        <v>73397</v>
      </c>
      <c r="R56" s="48"/>
      <c r="S56" s="48">
        <f t="shared" si="0"/>
        <v>5470543</v>
      </c>
      <c r="T56" s="44"/>
      <c r="U56" s="48">
        <v>2096592</v>
      </c>
      <c r="V56" s="65"/>
      <c r="W56" s="44">
        <f>+S56-'Stmt net assets'!O56-U56</f>
        <v>0</v>
      </c>
    </row>
    <row r="57" spans="1:23" s="65" customFormat="1" ht="12.75" customHeight="1">
      <c r="A57" s="35" t="s">
        <v>77</v>
      </c>
      <c r="B57" s="51"/>
      <c r="C57" s="35" t="s">
        <v>43</v>
      </c>
      <c r="D57" s="35"/>
      <c r="E57" s="48">
        <f>933075000-10356000-61795000-6000</f>
        <v>860918000</v>
      </c>
      <c r="F57" s="48"/>
      <c r="G57" s="48">
        <v>61795000</v>
      </c>
      <c r="H57" s="48"/>
      <c r="I57" s="48">
        <f>10356000+6000</f>
        <v>10362000</v>
      </c>
      <c r="J57" s="48"/>
      <c r="K57" s="48">
        <v>0</v>
      </c>
      <c r="L57" s="48"/>
      <c r="M57" s="48">
        <v>0</v>
      </c>
      <c r="N57" s="48"/>
      <c r="O57" s="48">
        <v>0</v>
      </c>
      <c r="P57" s="48"/>
      <c r="Q57" s="48">
        <v>0</v>
      </c>
      <c r="R57" s="48"/>
      <c r="S57" s="48">
        <f t="shared" si="0"/>
        <v>933075000</v>
      </c>
      <c r="T57" s="44"/>
      <c r="U57" s="48">
        <v>36528000</v>
      </c>
      <c r="W57" s="44">
        <f>+S57-'Stmt net assets'!O57-U57</f>
        <v>0</v>
      </c>
    </row>
    <row r="58" spans="1:23" s="65" customFormat="1" ht="12.75" customHeight="1">
      <c r="A58" s="35" t="s">
        <v>94</v>
      </c>
      <c r="B58" s="51"/>
      <c r="C58" s="35" t="s">
        <v>94</v>
      </c>
      <c r="D58" s="35"/>
      <c r="E58" s="48">
        <v>0</v>
      </c>
      <c r="F58" s="48"/>
      <c r="G58" s="48">
        <v>0</v>
      </c>
      <c r="H58" s="48"/>
      <c r="I58" s="48">
        <v>0</v>
      </c>
      <c r="J58" s="48"/>
      <c r="K58" s="48">
        <v>0</v>
      </c>
      <c r="L58" s="48"/>
      <c r="M58" s="48">
        <v>0</v>
      </c>
      <c r="N58" s="48"/>
      <c r="O58" s="48">
        <v>136770</v>
      </c>
      <c r="P58" s="48"/>
      <c r="Q58" s="48">
        <v>0</v>
      </c>
      <c r="R58" s="48"/>
      <c r="S58" s="48">
        <f>SUM(E58:Q58)</f>
        <v>136770</v>
      </c>
      <c r="T58" s="44"/>
      <c r="U58" s="48">
        <v>47604</v>
      </c>
      <c r="W58" s="44">
        <f>+S58-'Stmt net assets'!O58-U58</f>
        <v>0</v>
      </c>
    </row>
    <row r="59" spans="1:23" s="65" customFormat="1" ht="12.75" customHeight="1">
      <c r="A59" s="35" t="s">
        <v>78</v>
      </c>
      <c r="B59" s="51"/>
      <c r="C59" s="35" t="s">
        <v>19</v>
      </c>
      <c r="D59" s="35"/>
      <c r="E59" s="48">
        <v>1350000</v>
      </c>
      <c r="F59" s="48"/>
      <c r="G59" s="48">
        <v>0</v>
      </c>
      <c r="H59" s="48"/>
      <c r="I59" s="48">
        <v>242000</v>
      </c>
      <c r="J59" s="48"/>
      <c r="K59" s="48">
        <f>1115517+500000+26092</f>
        <v>1641609</v>
      </c>
      <c r="L59" s="48"/>
      <c r="M59" s="48">
        <v>256587</v>
      </c>
      <c r="N59" s="48"/>
      <c r="O59" s="48">
        <v>793012</v>
      </c>
      <c r="P59" s="48"/>
      <c r="Q59" s="48">
        <v>0</v>
      </c>
      <c r="R59" s="48"/>
      <c r="S59" s="48">
        <f t="shared" si="0"/>
        <v>4283208</v>
      </c>
      <c r="T59" s="44"/>
      <c r="U59" s="48">
        <v>708918</v>
      </c>
      <c r="W59" s="44">
        <f>+S59-'Stmt net assets'!O59-U59</f>
        <v>0</v>
      </c>
    </row>
    <row r="60" spans="1:23" s="65" customFormat="1" ht="12.75" customHeight="1">
      <c r="A60" s="35" t="s">
        <v>79</v>
      </c>
      <c r="C60" s="35" t="s">
        <v>80</v>
      </c>
      <c r="D60" s="35"/>
      <c r="E60" s="48">
        <v>0</v>
      </c>
      <c r="F60" s="48"/>
      <c r="G60" s="48">
        <v>0</v>
      </c>
      <c r="H60" s="48"/>
      <c r="I60" s="48">
        <v>0</v>
      </c>
      <c r="J60" s="48"/>
      <c r="K60" s="48">
        <v>0</v>
      </c>
      <c r="L60" s="48"/>
      <c r="M60" s="48">
        <v>0</v>
      </c>
      <c r="N60" s="48"/>
      <c r="O60" s="48">
        <v>251570</v>
      </c>
      <c r="P60" s="48"/>
      <c r="Q60" s="48">
        <v>0</v>
      </c>
      <c r="R60" s="48"/>
      <c r="S60" s="48">
        <f t="shared" si="0"/>
        <v>251570</v>
      </c>
      <c r="T60" s="44"/>
      <c r="U60" s="48">
        <v>22675</v>
      </c>
      <c r="W60" s="44">
        <f>+S60-'Stmt net assets'!O60-U60</f>
        <v>0</v>
      </c>
    </row>
    <row r="61" spans="1:23" s="66" customFormat="1" ht="12.75" customHeight="1">
      <c r="A61" s="35" t="s">
        <v>81</v>
      </c>
      <c r="B61" s="51"/>
      <c r="C61" s="35" t="s">
        <v>81</v>
      </c>
      <c r="D61" s="35"/>
      <c r="E61" s="48">
        <v>160000</v>
      </c>
      <c r="F61" s="48"/>
      <c r="G61" s="48">
        <v>0</v>
      </c>
      <c r="H61" s="48"/>
      <c r="I61" s="48">
        <v>600000</v>
      </c>
      <c r="J61" s="48"/>
      <c r="K61" s="48">
        <v>0</v>
      </c>
      <c r="L61" s="48"/>
      <c r="M61" s="48">
        <v>161074</v>
      </c>
      <c r="N61" s="48"/>
      <c r="O61" s="48">
        <v>617105</v>
      </c>
      <c r="P61" s="48"/>
      <c r="Q61" s="48">
        <v>0</v>
      </c>
      <c r="R61" s="48"/>
      <c r="S61" s="48">
        <f t="shared" si="0"/>
        <v>1538179</v>
      </c>
      <c r="T61" s="44"/>
      <c r="U61" s="48">
        <v>399736</v>
      </c>
      <c r="V61" s="65"/>
      <c r="W61" s="44">
        <f>+S61-'Stmt net assets'!O61-U61</f>
        <v>0</v>
      </c>
    </row>
    <row r="62" spans="1:23" s="65" customFormat="1" ht="12.75" customHeight="1">
      <c r="A62" s="47" t="s">
        <v>465</v>
      </c>
      <c r="B62" s="47"/>
      <c r="C62" s="47" t="s">
        <v>57</v>
      </c>
      <c r="D62" s="35"/>
      <c r="E62" s="48">
        <v>65000</v>
      </c>
      <c r="F62" s="48"/>
      <c r="G62" s="48">
        <v>0</v>
      </c>
      <c r="H62" s="48"/>
      <c r="I62" s="48">
        <v>0</v>
      </c>
      <c r="J62" s="48"/>
      <c r="K62" s="48">
        <v>0</v>
      </c>
      <c r="L62" s="48"/>
      <c r="M62" s="48">
        <v>110785</v>
      </c>
      <c r="N62" s="48"/>
      <c r="O62" s="48">
        <v>108934</v>
      </c>
      <c r="P62" s="48"/>
      <c r="Q62" s="48">
        <v>105977</v>
      </c>
      <c r="R62" s="48"/>
      <c r="S62" s="48">
        <f t="shared" si="0"/>
        <v>390696</v>
      </c>
      <c r="T62" s="44"/>
      <c r="U62" s="48">
        <v>115319</v>
      </c>
      <c r="W62" s="44">
        <f>+S62-'Stmt net assets'!O62-U62</f>
        <v>0</v>
      </c>
    </row>
    <row r="63" spans="1:23" s="65" customFormat="1" ht="12.75" customHeight="1">
      <c r="A63" s="35" t="s">
        <v>82</v>
      </c>
      <c r="B63" s="51"/>
      <c r="C63" s="35" t="s">
        <v>13</v>
      </c>
      <c r="D63" s="35"/>
      <c r="E63" s="48">
        <v>6958319</v>
      </c>
      <c r="F63" s="48"/>
      <c r="G63" s="48">
        <v>151000</v>
      </c>
      <c r="H63" s="48"/>
      <c r="I63" s="48">
        <v>0</v>
      </c>
      <c r="J63" s="48"/>
      <c r="K63" s="48">
        <v>0</v>
      </c>
      <c r="L63" s="48"/>
      <c r="M63" s="48">
        <v>2945806</v>
      </c>
      <c r="N63" s="48"/>
      <c r="O63" s="48">
        <v>6891899</v>
      </c>
      <c r="P63" s="48"/>
      <c r="Q63" s="48">
        <v>714369</v>
      </c>
      <c r="R63" s="48"/>
      <c r="S63" s="48">
        <f t="shared" si="0"/>
        <v>17661393</v>
      </c>
      <c r="T63" s="44"/>
      <c r="U63" s="48">
        <v>4820954</v>
      </c>
      <c r="W63" s="44">
        <f>+S63-'Stmt net assets'!O63-U63</f>
        <v>0</v>
      </c>
    </row>
    <row r="64" spans="1:23" s="65" customFormat="1" ht="12.75" customHeight="1">
      <c r="A64" s="35" t="s">
        <v>83</v>
      </c>
      <c r="B64" s="51"/>
      <c r="C64" s="35" t="s">
        <v>66</v>
      </c>
      <c r="D64" s="35"/>
      <c r="E64" s="48">
        <v>49441334</v>
      </c>
      <c r="F64" s="48"/>
      <c r="G64" s="48">
        <f>40500000+409600</f>
        <v>40909600</v>
      </c>
      <c r="H64" s="48"/>
      <c r="I64" s="48">
        <v>0</v>
      </c>
      <c r="J64" s="48"/>
      <c r="K64" s="48">
        <v>208176</v>
      </c>
      <c r="L64" s="48"/>
      <c r="M64" s="48">
        <v>1494000</v>
      </c>
      <c r="N64" s="48"/>
      <c r="O64" s="48">
        <f>12061010+512858</f>
        <v>12573868</v>
      </c>
      <c r="P64" s="48"/>
      <c r="Q64" s="48">
        <f>1780000+5267199+25577+302143-312025</f>
        <v>7062894</v>
      </c>
      <c r="R64" s="48"/>
      <c r="S64" s="48">
        <f t="shared" si="0"/>
        <v>111689872</v>
      </c>
      <c r="T64" s="44"/>
      <c r="U64" s="48">
        <v>15800437</v>
      </c>
      <c r="W64" s="44">
        <f>+S64-'Stmt net assets'!O64-U64</f>
        <v>0</v>
      </c>
    </row>
    <row r="65" spans="1:28" s="65" customFormat="1" ht="12.75" customHeight="1">
      <c r="A65" s="35" t="s">
        <v>84</v>
      </c>
      <c r="B65" s="51"/>
      <c r="C65" s="35" t="s">
        <v>45</v>
      </c>
      <c r="D65" s="35"/>
      <c r="E65" s="48">
        <v>2525000</v>
      </c>
      <c r="F65" s="48"/>
      <c r="G65" s="48">
        <v>0</v>
      </c>
      <c r="H65" s="48"/>
      <c r="I65" s="48">
        <v>102500</v>
      </c>
      <c r="J65" s="48"/>
      <c r="K65" s="48">
        <v>0</v>
      </c>
      <c r="L65" s="48"/>
      <c r="M65" s="48">
        <v>71234</v>
      </c>
      <c r="N65" s="48"/>
      <c r="O65" s="48">
        <v>141183</v>
      </c>
      <c r="P65" s="48"/>
      <c r="Q65" s="48">
        <f>115197+37650</f>
        <v>152847</v>
      </c>
      <c r="R65" s="48"/>
      <c r="S65" s="48">
        <f t="shared" si="0"/>
        <v>2992764</v>
      </c>
      <c r="T65" s="44"/>
      <c r="U65" s="48">
        <v>181852</v>
      </c>
      <c r="W65" s="44">
        <f>+S65-'Stmt net assets'!O65-U65</f>
        <v>0</v>
      </c>
    </row>
    <row r="66" spans="1:28" s="65" customFormat="1" ht="12.75" customHeight="1">
      <c r="A66" s="35" t="s">
        <v>85</v>
      </c>
      <c r="B66" s="51"/>
      <c r="C66" s="35" t="s">
        <v>85</v>
      </c>
      <c r="D66" s="35"/>
      <c r="E66" s="48">
        <v>120000</v>
      </c>
      <c r="F66" s="48"/>
      <c r="G66" s="48">
        <v>229316</v>
      </c>
      <c r="H66" s="48"/>
      <c r="I66" s="48">
        <v>0</v>
      </c>
      <c r="J66" s="48"/>
      <c r="K66" s="48">
        <v>0</v>
      </c>
      <c r="L66" s="48"/>
      <c r="M66" s="48">
        <v>11690</v>
      </c>
      <c r="N66" s="48"/>
      <c r="O66" s="48">
        <v>556910</v>
      </c>
      <c r="P66" s="48"/>
      <c r="Q66" s="48">
        <v>0</v>
      </c>
      <c r="R66" s="48"/>
      <c r="S66" s="48">
        <f t="shared" si="0"/>
        <v>917916</v>
      </c>
      <c r="T66" s="44"/>
      <c r="U66" s="48">
        <v>373788</v>
      </c>
      <c r="W66" s="44">
        <f>+S66-'Stmt net assets'!O66-U66</f>
        <v>0</v>
      </c>
    </row>
    <row r="67" spans="1:28" s="65" customFormat="1" ht="12.75" customHeight="1">
      <c r="A67" s="35" t="s">
        <v>86</v>
      </c>
      <c r="B67" s="51"/>
      <c r="C67" s="35" t="s">
        <v>86</v>
      </c>
      <c r="D67" s="35"/>
      <c r="E67" s="48">
        <f>4380000+3227834</f>
        <v>7607834</v>
      </c>
      <c r="F67" s="48"/>
      <c r="G67" s="48">
        <f>17000+45000</f>
        <v>62000</v>
      </c>
      <c r="H67" s="48"/>
      <c r="I67" s="48">
        <v>0</v>
      </c>
      <c r="J67" s="48"/>
      <c r="K67" s="48">
        <v>0</v>
      </c>
      <c r="L67" s="48"/>
      <c r="M67" s="48">
        <v>40815</v>
      </c>
      <c r="N67" s="48"/>
      <c r="O67" s="48">
        <v>4858142</v>
      </c>
      <c r="P67" s="48"/>
      <c r="Q67" s="48">
        <v>302380</v>
      </c>
      <c r="R67" s="48"/>
      <c r="S67" s="48">
        <f t="shared" si="0"/>
        <v>12871171</v>
      </c>
      <c r="T67" s="44"/>
      <c r="U67" s="48">
        <v>1327622</v>
      </c>
      <c r="W67" s="44">
        <f>+S67-'Stmt net assets'!O67-U67</f>
        <v>0</v>
      </c>
    </row>
    <row r="68" spans="1:28" s="65" customFormat="1" ht="12.75" customHeight="1">
      <c r="A68" s="64" t="s">
        <v>87</v>
      </c>
      <c r="B68" s="66"/>
      <c r="C68" s="64" t="s">
        <v>88</v>
      </c>
      <c r="D68" s="64"/>
      <c r="E68" s="48">
        <v>0</v>
      </c>
      <c r="F68" s="48"/>
      <c r="G68" s="48">
        <v>0</v>
      </c>
      <c r="H68" s="48"/>
      <c r="I68" s="48">
        <v>0</v>
      </c>
      <c r="J68" s="48"/>
      <c r="K68" s="48">
        <v>0</v>
      </c>
      <c r="L68" s="48"/>
      <c r="M68" s="48">
        <v>88196</v>
      </c>
      <c r="N68" s="48"/>
      <c r="O68" s="48">
        <v>290451</v>
      </c>
      <c r="P68" s="48"/>
      <c r="Q68" s="48">
        <v>0</v>
      </c>
      <c r="R68" s="48"/>
      <c r="S68" s="48">
        <f t="shared" si="0"/>
        <v>378647</v>
      </c>
      <c r="T68" s="44"/>
      <c r="U68" s="48">
        <v>164287</v>
      </c>
      <c r="W68" s="44">
        <f>+S68-'Stmt net assets'!O68-U68</f>
        <v>0</v>
      </c>
    </row>
    <row r="69" spans="1:28" s="65" customFormat="1" ht="12.75" customHeight="1">
      <c r="A69" s="64"/>
      <c r="B69" s="66"/>
      <c r="C69" s="64"/>
      <c r="D69" s="64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4"/>
      <c r="U69" s="48" t="s">
        <v>484</v>
      </c>
      <c r="W69" s="44"/>
    </row>
    <row r="70" spans="1:28" s="65" customFormat="1" ht="12.75" customHeight="1">
      <c r="A70" s="35" t="s">
        <v>395</v>
      </c>
      <c r="B70" s="51"/>
      <c r="C70" s="35" t="s">
        <v>89</v>
      </c>
      <c r="D70" s="35"/>
      <c r="E70" s="68">
        <v>0</v>
      </c>
      <c r="F70" s="68"/>
      <c r="G70" s="68">
        <v>0</v>
      </c>
      <c r="H70" s="68"/>
      <c r="I70" s="68">
        <v>2200000</v>
      </c>
      <c r="J70" s="68"/>
      <c r="K70" s="68">
        <v>0</v>
      </c>
      <c r="L70" s="68"/>
      <c r="M70" s="68">
        <v>0</v>
      </c>
      <c r="N70" s="68"/>
      <c r="O70" s="68">
        <v>1389486</v>
      </c>
      <c r="P70" s="68"/>
      <c r="Q70" s="68">
        <v>285319</v>
      </c>
      <c r="R70" s="68"/>
      <c r="S70" s="68">
        <f t="shared" si="0"/>
        <v>3874805</v>
      </c>
      <c r="T70" s="46"/>
      <c r="U70" s="68">
        <v>177345</v>
      </c>
      <c r="V70" s="66"/>
      <c r="W70" s="46">
        <f>+S70-'Stmt net assets'!O70-U70</f>
        <v>0</v>
      </c>
      <c r="X70" s="66"/>
      <c r="Y70" s="66"/>
      <c r="Z70" s="66"/>
      <c r="AA70" s="66"/>
      <c r="AB70" s="66"/>
    </row>
    <row r="71" spans="1:28" s="107" customFormat="1" ht="12.75" customHeight="1">
      <c r="A71" s="35" t="s">
        <v>90</v>
      </c>
      <c r="B71" s="96"/>
      <c r="C71" s="35" t="s">
        <v>43</v>
      </c>
      <c r="D71" s="35"/>
      <c r="E71" s="48">
        <v>38105000</v>
      </c>
      <c r="F71" s="48"/>
      <c r="G71" s="48">
        <v>0</v>
      </c>
      <c r="H71" s="48"/>
      <c r="I71" s="48">
        <v>0</v>
      </c>
      <c r="J71" s="48"/>
      <c r="K71" s="48">
        <v>8640923</v>
      </c>
      <c r="L71" s="48"/>
      <c r="M71" s="48">
        <v>0</v>
      </c>
      <c r="N71" s="48"/>
      <c r="O71" s="48">
        <v>3461954</v>
      </c>
      <c r="P71" s="48"/>
      <c r="Q71" s="48">
        <f>2997652+1002000</f>
        <v>3999652</v>
      </c>
      <c r="R71" s="48"/>
      <c r="S71" s="48">
        <f t="shared" si="0"/>
        <v>54207529</v>
      </c>
      <c r="T71" s="44"/>
      <c r="U71" s="48">
        <v>7627453</v>
      </c>
      <c r="W71" s="44">
        <f>+S71-'Stmt net assets'!O71-U71</f>
        <v>0</v>
      </c>
    </row>
    <row r="72" spans="1:28" s="65" customFormat="1" ht="12.75" customHeight="1">
      <c r="A72" s="35" t="s">
        <v>93</v>
      </c>
      <c r="B72" s="51"/>
      <c r="C72" s="35" t="s">
        <v>94</v>
      </c>
      <c r="D72" s="35"/>
      <c r="E72" s="48">
        <v>253585</v>
      </c>
      <c r="F72" s="48"/>
      <c r="G72" s="48">
        <v>0</v>
      </c>
      <c r="H72" s="48"/>
      <c r="I72" s="48">
        <v>0</v>
      </c>
      <c r="J72" s="48"/>
      <c r="K72" s="48">
        <f>345074+256763+856686</f>
        <v>1458523</v>
      </c>
      <c r="L72" s="48"/>
      <c r="M72" s="48">
        <v>86804</v>
      </c>
      <c r="N72" s="48"/>
      <c r="O72" s="48">
        <v>483788</v>
      </c>
      <c r="P72" s="48"/>
      <c r="Q72" s="48">
        <v>865282</v>
      </c>
      <c r="R72" s="48"/>
      <c r="S72" s="48">
        <f t="shared" si="0"/>
        <v>3147982</v>
      </c>
      <c r="T72" s="44"/>
      <c r="U72" s="48">
        <v>414176</v>
      </c>
      <c r="W72" s="44">
        <f>+S72-'Stmt net assets'!O72-U72</f>
        <v>0</v>
      </c>
    </row>
    <row r="73" spans="1:28" s="65" customFormat="1" ht="12.75" customHeight="1">
      <c r="A73" s="35" t="s">
        <v>488</v>
      </c>
      <c r="B73" s="51"/>
      <c r="C73" s="35" t="s">
        <v>27</v>
      </c>
      <c r="D73" s="35"/>
      <c r="E73" s="48">
        <v>0</v>
      </c>
      <c r="F73" s="48"/>
      <c r="G73" s="48">
        <v>0</v>
      </c>
      <c r="H73" s="48"/>
      <c r="I73" s="48">
        <v>0</v>
      </c>
      <c r="J73" s="48"/>
      <c r="K73" s="48">
        <v>3871915</v>
      </c>
      <c r="L73" s="48"/>
      <c r="M73" s="48">
        <v>374568</v>
      </c>
      <c r="N73" s="48"/>
      <c r="O73" s="48">
        <v>1647092</v>
      </c>
      <c r="P73" s="48"/>
      <c r="Q73" s="48">
        <v>1476839</v>
      </c>
      <c r="R73" s="48"/>
      <c r="S73" s="48">
        <f>SUM(E73:Q73)</f>
        <v>7370414</v>
      </c>
      <c r="T73" s="44"/>
      <c r="U73" s="48">
        <v>668697</v>
      </c>
      <c r="W73" s="44">
        <f>+S73-'Stmt net assets'!O73-U73</f>
        <v>0</v>
      </c>
      <c r="X73" s="107"/>
    </row>
    <row r="74" spans="1:28" s="65" customFormat="1" ht="12.75" customHeight="1">
      <c r="A74" s="35" t="s">
        <v>95</v>
      </c>
      <c r="C74" s="35" t="s">
        <v>94</v>
      </c>
      <c r="D74" s="35"/>
      <c r="E74" s="48">
        <v>0</v>
      </c>
      <c r="F74" s="48"/>
      <c r="G74" s="48">
        <v>0</v>
      </c>
      <c r="H74" s="48"/>
      <c r="I74" s="48">
        <v>53000</v>
      </c>
      <c r="J74" s="48"/>
      <c r="K74" s="48">
        <f>160000+265000+617066</f>
        <v>1042066</v>
      </c>
      <c r="L74" s="48"/>
      <c r="M74" s="48">
        <v>150360</v>
      </c>
      <c r="N74" s="48"/>
      <c r="O74" s="48">
        <v>170031</v>
      </c>
      <c r="P74" s="48"/>
      <c r="Q74" s="48">
        <v>0</v>
      </c>
      <c r="R74" s="48"/>
      <c r="S74" s="48">
        <f t="shared" ref="S74:S80" si="2">SUM(E74:Q74)</f>
        <v>1415457</v>
      </c>
      <c r="T74" s="44"/>
      <c r="U74" s="48">
        <v>499935</v>
      </c>
      <c r="W74" s="44">
        <f>+S74-'Stmt net assets'!O74-U74</f>
        <v>0</v>
      </c>
    </row>
    <row r="75" spans="1:28" s="65" customFormat="1" ht="12.75" customHeight="1">
      <c r="A75" s="35" t="s">
        <v>91</v>
      </c>
      <c r="B75" s="51"/>
      <c r="C75" s="35" t="s">
        <v>92</v>
      </c>
      <c r="D75" s="35"/>
      <c r="E75" s="48">
        <v>26895000</v>
      </c>
      <c r="F75" s="48"/>
      <c r="G75" s="48">
        <v>0</v>
      </c>
      <c r="H75" s="48"/>
      <c r="I75" s="48">
        <v>0</v>
      </c>
      <c r="J75" s="48"/>
      <c r="K75" s="48">
        <v>295921</v>
      </c>
      <c r="L75" s="48"/>
      <c r="M75" s="48">
        <v>2269</v>
      </c>
      <c r="N75" s="48"/>
      <c r="O75" s="48">
        <v>2079363</v>
      </c>
      <c r="P75" s="48"/>
      <c r="Q75" s="48">
        <v>296560</v>
      </c>
      <c r="R75" s="48"/>
      <c r="S75" s="48">
        <f t="shared" si="2"/>
        <v>29569113</v>
      </c>
      <c r="T75" s="44"/>
      <c r="U75" s="48">
        <v>1166844</v>
      </c>
      <c r="W75" s="44">
        <f>+S75-'Stmt net assets'!O75-U75</f>
        <v>0</v>
      </c>
    </row>
    <row r="76" spans="1:28" s="65" customFormat="1" ht="12.75" customHeight="1">
      <c r="A76" s="35" t="s">
        <v>96</v>
      </c>
      <c r="B76" s="51"/>
      <c r="C76" s="35" t="s">
        <v>97</v>
      </c>
      <c r="D76" s="35"/>
      <c r="E76" s="48">
        <v>977440</v>
      </c>
      <c r="F76" s="48"/>
      <c r="G76" s="48">
        <f>550000+431250</f>
        <v>981250</v>
      </c>
      <c r="H76" s="48"/>
      <c r="I76" s="48">
        <v>0</v>
      </c>
      <c r="J76" s="48"/>
      <c r="K76" s="48">
        <v>0</v>
      </c>
      <c r="L76" s="48"/>
      <c r="M76" s="48">
        <v>0</v>
      </c>
      <c r="N76" s="48"/>
      <c r="O76" s="48">
        <v>529131</v>
      </c>
      <c r="P76" s="48"/>
      <c r="Q76" s="48">
        <v>394487</v>
      </c>
      <c r="R76" s="48"/>
      <c r="S76" s="48">
        <f t="shared" si="2"/>
        <v>2882308</v>
      </c>
      <c r="T76" s="44"/>
      <c r="U76" s="48">
        <v>384609</v>
      </c>
      <c r="W76" s="44">
        <f>+S76-'Stmt net assets'!O76-U76</f>
        <v>0</v>
      </c>
    </row>
    <row r="77" spans="1:28" s="65" customFormat="1" ht="12.75" customHeight="1">
      <c r="A77" s="35" t="s">
        <v>98</v>
      </c>
      <c r="B77" s="51"/>
      <c r="C77" s="35" t="s">
        <v>17</v>
      </c>
      <c r="D77" s="35"/>
      <c r="E77" s="48">
        <v>27290924</v>
      </c>
      <c r="F77" s="48"/>
      <c r="G77" s="48">
        <v>4057031</v>
      </c>
      <c r="H77" s="48"/>
      <c r="I77" s="48">
        <v>0</v>
      </c>
      <c r="J77" s="48"/>
      <c r="K77" s="48">
        <v>481251</v>
      </c>
      <c r="L77" s="48"/>
      <c r="M77" s="48">
        <v>0</v>
      </c>
      <c r="N77" s="48"/>
      <c r="O77" s="48">
        <v>5364199</v>
      </c>
      <c r="P77" s="48"/>
      <c r="Q77" s="48">
        <v>0</v>
      </c>
      <c r="R77" s="48"/>
      <c r="S77" s="48">
        <f t="shared" si="2"/>
        <v>37193405</v>
      </c>
      <c r="T77" s="44"/>
      <c r="U77" s="48">
        <v>2108741</v>
      </c>
      <c r="W77" s="44">
        <f>+S77-'Stmt net assets'!O77-U77</f>
        <v>0</v>
      </c>
      <c r="X77" s="107"/>
    </row>
    <row r="78" spans="1:28" s="65" customFormat="1" ht="12.75" customHeight="1">
      <c r="A78" s="35" t="s">
        <v>99</v>
      </c>
      <c r="B78" s="51"/>
      <c r="C78" s="35" t="s">
        <v>66</v>
      </c>
      <c r="D78" s="35"/>
      <c r="E78" s="48">
        <v>0</v>
      </c>
      <c r="F78" s="48"/>
      <c r="G78" s="48">
        <v>0</v>
      </c>
      <c r="H78" s="48"/>
      <c r="I78" s="48">
        <v>0</v>
      </c>
      <c r="J78" s="48"/>
      <c r="K78" s="48">
        <v>0</v>
      </c>
      <c r="L78" s="48"/>
      <c r="M78" s="48">
        <v>0</v>
      </c>
      <c r="N78" s="48"/>
      <c r="O78" s="48">
        <v>382463</v>
      </c>
      <c r="P78" s="48"/>
      <c r="Q78" s="48">
        <v>0</v>
      </c>
      <c r="R78" s="48"/>
      <c r="S78" s="48">
        <f t="shared" si="2"/>
        <v>382463</v>
      </c>
      <c r="T78" s="44"/>
      <c r="U78" s="48">
        <v>243930</v>
      </c>
      <c r="W78" s="44">
        <f>+S78-'Stmt net assets'!O78-U78</f>
        <v>0</v>
      </c>
    </row>
    <row r="79" spans="1:28" s="65" customFormat="1" ht="12.75" customHeight="1">
      <c r="A79" s="35" t="s">
        <v>100</v>
      </c>
      <c r="B79" s="51"/>
      <c r="C79" s="35" t="s">
        <v>27</v>
      </c>
      <c r="D79" s="35"/>
      <c r="E79" s="48">
        <v>28354079</v>
      </c>
      <c r="F79" s="48"/>
      <c r="G79" s="48">
        <v>1160000</v>
      </c>
      <c r="H79" s="48"/>
      <c r="I79" s="48">
        <v>1652108</v>
      </c>
      <c r="J79" s="48"/>
      <c r="K79" s="48">
        <v>0</v>
      </c>
      <c r="L79" s="48"/>
      <c r="M79" s="48">
        <v>1085075</v>
      </c>
      <c r="N79" s="48"/>
      <c r="O79" s="48">
        <v>8707297</v>
      </c>
      <c r="P79" s="48"/>
      <c r="Q79" s="48">
        <f>1235000+968265</f>
        <v>2203265</v>
      </c>
      <c r="R79" s="48"/>
      <c r="S79" s="48">
        <f t="shared" si="2"/>
        <v>43161824</v>
      </c>
      <c r="T79" s="44"/>
      <c r="U79" s="48">
        <v>5333878</v>
      </c>
      <c r="W79" s="44">
        <f>+S79-'Stmt net assets'!O79-U79</f>
        <v>0</v>
      </c>
    </row>
    <row r="80" spans="1:28" s="65" customFormat="1" ht="12.75" customHeight="1">
      <c r="A80" s="35" t="s">
        <v>101</v>
      </c>
      <c r="B80" s="51"/>
      <c r="C80" s="35" t="s">
        <v>30</v>
      </c>
      <c r="D80" s="35"/>
      <c r="E80" s="48">
        <f>420000+470000+6818874</f>
        <v>7708874</v>
      </c>
      <c r="F80" s="48"/>
      <c r="G80" s="48">
        <v>1960000</v>
      </c>
      <c r="H80" s="48"/>
      <c r="I80" s="48">
        <v>135000</v>
      </c>
      <c r="J80" s="48"/>
      <c r="K80" s="48">
        <v>0</v>
      </c>
      <c r="L80" s="48"/>
      <c r="M80" s="48">
        <v>804147</v>
      </c>
      <c r="N80" s="48"/>
      <c r="O80" s="48">
        <v>1110487</v>
      </c>
      <c r="P80" s="48"/>
      <c r="Q80" s="48">
        <v>2710941</v>
      </c>
      <c r="R80" s="48"/>
      <c r="S80" s="48">
        <f t="shared" si="2"/>
        <v>14429449</v>
      </c>
      <c r="T80" s="44"/>
      <c r="U80" s="48">
        <v>2572776</v>
      </c>
      <c r="W80" s="44">
        <f>+S80-'Stmt net assets'!O80-U80</f>
        <v>0</v>
      </c>
    </row>
    <row r="81" spans="1:23" s="65" customFormat="1" ht="12.75" customHeight="1">
      <c r="A81" s="35" t="s">
        <v>102</v>
      </c>
      <c r="B81" s="51"/>
      <c r="C81" s="35" t="s">
        <v>103</v>
      </c>
      <c r="D81" s="35"/>
      <c r="E81" s="48">
        <v>11660000</v>
      </c>
      <c r="F81" s="48"/>
      <c r="G81" s="48">
        <v>0</v>
      </c>
      <c r="H81" s="48"/>
      <c r="I81" s="48">
        <v>0</v>
      </c>
      <c r="J81" s="48"/>
      <c r="K81" s="48">
        <v>0</v>
      </c>
      <c r="L81" s="48"/>
      <c r="M81" s="48">
        <v>0</v>
      </c>
      <c r="N81" s="48"/>
      <c r="O81" s="48">
        <v>2833771</v>
      </c>
      <c r="P81" s="48"/>
      <c r="Q81" s="48">
        <v>0</v>
      </c>
      <c r="R81" s="48"/>
      <c r="S81" s="48">
        <f t="shared" ref="S81:S146" si="3">SUM(E81:Q81)</f>
        <v>14493771</v>
      </c>
      <c r="T81" s="44"/>
      <c r="U81" s="48">
        <v>910461</v>
      </c>
      <c r="W81" s="44">
        <f>+S81-'Stmt net assets'!O81-U81</f>
        <v>0</v>
      </c>
    </row>
    <row r="82" spans="1:23" s="65" customFormat="1" ht="12.75" customHeight="1">
      <c r="A82" s="35" t="s">
        <v>104</v>
      </c>
      <c r="B82" s="51"/>
      <c r="C82" s="35" t="s">
        <v>13</v>
      </c>
      <c r="D82" s="35"/>
      <c r="E82" s="48">
        <v>7385000</v>
      </c>
      <c r="F82" s="48"/>
      <c r="G82" s="48">
        <v>520000</v>
      </c>
      <c r="H82" s="48"/>
      <c r="I82" s="48">
        <v>0</v>
      </c>
      <c r="J82" s="48"/>
      <c r="K82" s="48">
        <v>451422</v>
      </c>
      <c r="L82" s="48"/>
      <c r="M82" s="48">
        <v>0</v>
      </c>
      <c r="N82" s="48"/>
      <c r="O82" s="48">
        <v>1241879</v>
      </c>
      <c r="P82" s="48"/>
      <c r="Q82" s="48">
        <v>0</v>
      </c>
      <c r="R82" s="48"/>
      <c r="S82" s="48">
        <f t="shared" si="3"/>
        <v>9598301</v>
      </c>
      <c r="T82" s="44"/>
      <c r="U82" s="48">
        <v>1252546</v>
      </c>
      <c r="W82" s="44">
        <f>+S82-'Stmt net assets'!O82-U82</f>
        <v>0</v>
      </c>
    </row>
    <row r="83" spans="1:23" s="65" customFormat="1" ht="12.75" customHeight="1">
      <c r="A83" s="35" t="s">
        <v>105</v>
      </c>
      <c r="B83" s="51"/>
      <c r="C83" s="35" t="s">
        <v>27</v>
      </c>
      <c r="D83" s="35"/>
      <c r="E83" s="48">
        <f>24546498+381031</f>
        <v>24927529</v>
      </c>
      <c r="F83" s="48"/>
      <c r="G83" s="48"/>
      <c r="H83" s="48"/>
      <c r="I83" s="48"/>
      <c r="J83" s="48"/>
      <c r="K83" s="48">
        <f>247972+75000+463055</f>
        <v>786027</v>
      </c>
      <c r="L83" s="48"/>
      <c r="M83" s="48">
        <v>473340</v>
      </c>
      <c r="N83" s="48"/>
      <c r="O83" s="48">
        <v>1537902</v>
      </c>
      <c r="P83" s="48"/>
      <c r="Q83" s="48">
        <v>0</v>
      </c>
      <c r="R83" s="48"/>
      <c r="S83" s="48">
        <f t="shared" si="3"/>
        <v>27724798</v>
      </c>
      <c r="T83" s="44"/>
      <c r="U83" s="48">
        <v>689777</v>
      </c>
      <c r="W83" s="44">
        <f>+S83-'Stmt net assets'!O83-U83</f>
        <v>0</v>
      </c>
    </row>
    <row r="84" spans="1:23" s="65" customFormat="1" ht="12.75" customHeight="1">
      <c r="A84" s="35" t="s">
        <v>106</v>
      </c>
      <c r="B84" s="51"/>
      <c r="C84" s="35" t="s">
        <v>107</v>
      </c>
      <c r="D84" s="35"/>
      <c r="E84" s="48">
        <v>10610000</v>
      </c>
      <c r="F84" s="48"/>
      <c r="G84" s="48">
        <v>106185</v>
      </c>
      <c r="H84" s="48"/>
      <c r="I84" s="48">
        <v>0</v>
      </c>
      <c r="J84" s="48"/>
      <c r="K84" s="48">
        <v>242555</v>
      </c>
      <c r="L84" s="48"/>
      <c r="M84" s="48">
        <v>0</v>
      </c>
      <c r="N84" s="48"/>
      <c r="O84" s="48">
        <v>3574770</v>
      </c>
      <c r="P84" s="48"/>
      <c r="Q84" s="48">
        <f>1182555-93410</f>
        <v>1089145</v>
      </c>
      <c r="R84" s="48"/>
      <c r="S84" s="48">
        <f t="shared" si="3"/>
        <v>15622655</v>
      </c>
      <c r="T84" s="44"/>
      <c r="U84" s="48">
        <v>2319481</v>
      </c>
      <c r="W84" s="44">
        <f>+S84-'Stmt net assets'!O84-U84</f>
        <v>0</v>
      </c>
    </row>
    <row r="85" spans="1:23" s="65" customFormat="1" ht="12.75" customHeight="1">
      <c r="A85" s="35" t="s">
        <v>108</v>
      </c>
      <c r="B85" s="51"/>
      <c r="C85" s="35" t="s">
        <v>45</v>
      </c>
      <c r="D85" s="35"/>
      <c r="E85" s="48">
        <v>2930000</v>
      </c>
      <c r="F85" s="48"/>
      <c r="G85" s="48">
        <v>0</v>
      </c>
      <c r="H85" s="48"/>
      <c r="I85" s="48">
        <v>0</v>
      </c>
      <c r="J85" s="48"/>
      <c r="K85" s="48">
        <f>27346+6813</f>
        <v>34159</v>
      </c>
      <c r="L85" s="48"/>
      <c r="M85" s="48">
        <v>0</v>
      </c>
      <c r="N85" s="48"/>
      <c r="O85" s="48">
        <v>584867</v>
      </c>
      <c r="P85" s="48"/>
      <c r="Q85" s="48">
        <v>0</v>
      </c>
      <c r="R85" s="48"/>
      <c r="S85" s="48">
        <f t="shared" si="3"/>
        <v>3549026</v>
      </c>
      <c r="T85" s="44"/>
      <c r="U85" s="48">
        <v>462542</v>
      </c>
      <c r="W85" s="44">
        <f>+S85-'Stmt net assets'!O85-U85</f>
        <v>0</v>
      </c>
    </row>
    <row r="86" spans="1:23" s="65" customFormat="1" ht="12.75" customHeight="1">
      <c r="A86" s="35" t="s">
        <v>109</v>
      </c>
      <c r="C86" s="35" t="s">
        <v>110</v>
      </c>
      <c r="D86" s="35"/>
      <c r="E86" s="48">
        <v>0</v>
      </c>
      <c r="F86" s="48"/>
      <c r="G86" s="48">
        <v>237720</v>
      </c>
      <c r="H86" s="48"/>
      <c r="I86" s="48">
        <v>0</v>
      </c>
      <c r="J86" s="48"/>
      <c r="K86" s="48">
        <v>212419</v>
      </c>
      <c r="L86" s="48"/>
      <c r="M86" s="48">
        <v>347345</v>
      </c>
      <c r="N86" s="48"/>
      <c r="O86" s="48">
        <v>1137280</v>
      </c>
      <c r="P86" s="48"/>
      <c r="Q86" s="48">
        <v>0</v>
      </c>
      <c r="R86" s="48"/>
      <c r="S86" s="48">
        <f t="shared" si="3"/>
        <v>1934764</v>
      </c>
      <c r="T86" s="44"/>
      <c r="U86" s="48">
        <v>672244</v>
      </c>
      <c r="W86" s="44">
        <f>+S86-'Stmt net assets'!O86-U86</f>
        <v>0</v>
      </c>
    </row>
    <row r="87" spans="1:23" s="65" customFormat="1" ht="12.75" customHeight="1">
      <c r="A87" s="44" t="s">
        <v>43</v>
      </c>
      <c r="C87" s="35" t="s">
        <v>111</v>
      </c>
      <c r="D87" s="35"/>
      <c r="E87" s="48">
        <v>6816560</v>
      </c>
      <c r="F87" s="48"/>
      <c r="G87" s="48">
        <v>2733000</v>
      </c>
      <c r="H87" s="48"/>
      <c r="I87" s="48">
        <f>282500+247000+180500</f>
        <v>710000</v>
      </c>
      <c r="J87" s="48"/>
      <c r="K87" s="48">
        <v>0</v>
      </c>
      <c r="L87" s="48"/>
      <c r="M87" s="48">
        <v>0</v>
      </c>
      <c r="N87" s="48"/>
      <c r="O87" s="48">
        <v>828513</v>
      </c>
      <c r="P87" s="48"/>
      <c r="Q87" s="48">
        <v>68299</v>
      </c>
      <c r="R87" s="48"/>
      <c r="S87" s="48">
        <f t="shared" si="3"/>
        <v>11156372</v>
      </c>
      <c r="T87" s="44"/>
      <c r="U87" s="48">
        <v>811861</v>
      </c>
      <c r="W87" s="44">
        <f>+S87-'Stmt net assets'!O87-U87</f>
        <v>0</v>
      </c>
    </row>
    <row r="88" spans="1:23" s="65" customFormat="1" ht="12.75" customHeight="1">
      <c r="A88" s="35" t="s">
        <v>112</v>
      </c>
      <c r="B88" s="51"/>
      <c r="C88" s="35" t="s">
        <v>76</v>
      </c>
      <c r="D88" s="35"/>
      <c r="E88" s="48">
        <v>3130000</v>
      </c>
      <c r="F88" s="48"/>
      <c r="G88" s="48">
        <v>0</v>
      </c>
      <c r="H88" s="48"/>
      <c r="I88" s="48">
        <v>0</v>
      </c>
      <c r="J88" s="48"/>
      <c r="K88" s="48">
        <v>0</v>
      </c>
      <c r="L88" s="48"/>
      <c r="M88" s="48">
        <v>0</v>
      </c>
      <c r="N88" s="48"/>
      <c r="O88" s="48">
        <v>837033</v>
      </c>
      <c r="P88" s="48"/>
      <c r="Q88" s="48">
        <v>774831</v>
      </c>
      <c r="R88" s="48"/>
      <c r="S88" s="48">
        <f t="shared" si="3"/>
        <v>4741864</v>
      </c>
      <c r="T88" s="44"/>
      <c r="U88" s="48">
        <v>371698</v>
      </c>
      <c r="W88" s="44">
        <f>+S88-'Stmt net assets'!O88-U88</f>
        <v>0</v>
      </c>
    </row>
    <row r="89" spans="1:23" s="65" customFormat="1" ht="12.75" customHeight="1">
      <c r="A89" s="35" t="s">
        <v>113</v>
      </c>
      <c r="B89" s="51"/>
      <c r="C89" s="35" t="s">
        <v>43</v>
      </c>
      <c r="D89" s="35"/>
      <c r="E89" s="48">
        <v>21237196</v>
      </c>
      <c r="F89" s="48"/>
      <c r="G89" s="48">
        <v>0</v>
      </c>
      <c r="H89" s="48"/>
      <c r="I89" s="48">
        <v>0</v>
      </c>
      <c r="J89" s="48"/>
      <c r="K89" s="48">
        <v>813566</v>
      </c>
      <c r="L89" s="48"/>
      <c r="M89" s="48">
        <v>45502</v>
      </c>
      <c r="N89" s="48"/>
      <c r="O89" s="48">
        <v>2082768</v>
      </c>
      <c r="P89" s="48"/>
      <c r="Q89" s="48">
        <v>0</v>
      </c>
      <c r="R89" s="48"/>
      <c r="S89" s="48">
        <f t="shared" si="3"/>
        <v>24179032</v>
      </c>
      <c r="T89" s="44"/>
      <c r="U89" s="48">
        <v>1568293</v>
      </c>
      <c r="W89" s="44">
        <f>+S89-'Stmt net assets'!O89-U89</f>
        <v>0</v>
      </c>
    </row>
    <row r="90" spans="1:23" s="65" customFormat="1" ht="12.75" customHeight="1">
      <c r="A90" s="35" t="s">
        <v>489</v>
      </c>
      <c r="B90" s="51"/>
      <c r="C90" s="35" t="s">
        <v>57</v>
      </c>
      <c r="D90" s="35"/>
      <c r="E90" s="48">
        <v>2379070</v>
      </c>
      <c r="F90" s="48"/>
      <c r="G90" s="48">
        <v>0</v>
      </c>
      <c r="H90" s="48"/>
      <c r="I90" s="48">
        <v>0</v>
      </c>
      <c r="J90" s="48"/>
      <c r="K90" s="48">
        <v>52719</v>
      </c>
      <c r="L90" s="48"/>
      <c r="M90" s="48">
        <v>0</v>
      </c>
      <c r="N90" s="48"/>
      <c r="O90" s="48">
        <v>617389</v>
      </c>
      <c r="P90" s="48"/>
      <c r="Q90" s="48">
        <f>100621+26546</f>
        <v>127167</v>
      </c>
      <c r="R90" s="48"/>
      <c r="S90" s="48">
        <f>SUM(E90:Q90)</f>
        <v>3176345</v>
      </c>
      <c r="T90" s="44"/>
      <c r="U90" s="48">
        <v>594561</v>
      </c>
      <c r="W90" s="44">
        <f>+S90-'Stmt net assets'!O90-U90</f>
        <v>0</v>
      </c>
    </row>
    <row r="91" spans="1:23" s="65" customFormat="1" ht="12.75" customHeight="1">
      <c r="A91" s="35" t="s">
        <v>114</v>
      </c>
      <c r="B91" s="51"/>
      <c r="C91" s="35" t="s">
        <v>27</v>
      </c>
      <c r="D91" s="35"/>
      <c r="E91" s="48">
        <v>26939207</v>
      </c>
      <c r="F91" s="48"/>
      <c r="G91" s="48">
        <v>975247</v>
      </c>
      <c r="H91" s="48"/>
      <c r="I91" s="48">
        <v>5508000</v>
      </c>
      <c r="J91" s="48"/>
      <c r="K91" s="48">
        <v>0</v>
      </c>
      <c r="L91" s="48"/>
      <c r="M91" s="48">
        <v>384096</v>
      </c>
      <c r="N91" s="48"/>
      <c r="O91" s="48">
        <v>5398438</v>
      </c>
      <c r="P91" s="48"/>
      <c r="Q91" s="48">
        <v>633278</v>
      </c>
      <c r="R91" s="48"/>
      <c r="S91" s="48">
        <f>SUM(E91:Q91)</f>
        <v>39838266</v>
      </c>
      <c r="T91" s="44"/>
      <c r="U91" s="48">
        <v>2442271</v>
      </c>
      <c r="W91" s="44">
        <f>+S91-'Stmt net assets'!O91-U91</f>
        <v>0</v>
      </c>
    </row>
    <row r="92" spans="1:23" s="65" customFormat="1" ht="12.75" customHeight="1">
      <c r="A92" s="35" t="s">
        <v>115</v>
      </c>
      <c r="C92" s="35" t="s">
        <v>19</v>
      </c>
      <c r="D92" s="35"/>
      <c r="E92" s="48">
        <v>1134925</v>
      </c>
      <c r="F92" s="48"/>
      <c r="G92" s="48">
        <v>605000</v>
      </c>
      <c r="H92" s="48"/>
      <c r="I92" s="48">
        <v>0</v>
      </c>
      <c r="J92" s="48"/>
      <c r="K92" s="48">
        <v>486031</v>
      </c>
      <c r="L92" s="48"/>
      <c r="M92" s="48">
        <v>215100</v>
      </c>
      <c r="N92" s="48"/>
      <c r="O92" s="48">
        <v>122087</v>
      </c>
      <c r="P92" s="48"/>
      <c r="Q92" s="48">
        <v>0</v>
      </c>
      <c r="R92" s="48"/>
      <c r="S92" s="48">
        <f t="shared" si="3"/>
        <v>2563143</v>
      </c>
      <c r="T92" s="44"/>
      <c r="U92" s="48">
        <v>408635</v>
      </c>
      <c r="W92" s="44">
        <f>+S92-'Stmt net assets'!O92-U92</f>
        <v>0</v>
      </c>
    </row>
    <row r="93" spans="1:23" s="65" customFormat="1" ht="12.75" customHeight="1">
      <c r="A93" s="35" t="s">
        <v>116</v>
      </c>
      <c r="B93" s="51"/>
      <c r="C93" s="35" t="s">
        <v>80</v>
      </c>
      <c r="D93" s="35"/>
      <c r="E93" s="48">
        <v>0</v>
      </c>
      <c r="F93" s="48"/>
      <c r="G93" s="48">
        <v>0</v>
      </c>
      <c r="H93" s="48"/>
      <c r="I93" s="48">
        <v>0</v>
      </c>
      <c r="J93" s="48"/>
      <c r="K93" s="48">
        <v>4395809</v>
      </c>
      <c r="L93" s="48"/>
      <c r="M93" s="48">
        <v>0</v>
      </c>
      <c r="N93" s="48"/>
      <c r="O93" s="48">
        <v>536459</v>
      </c>
      <c r="P93" s="48"/>
      <c r="Q93" s="48">
        <f>90246+271238</f>
        <v>361484</v>
      </c>
      <c r="R93" s="48"/>
      <c r="S93" s="48">
        <f t="shared" si="3"/>
        <v>5293752</v>
      </c>
      <c r="T93" s="44"/>
      <c r="U93" s="48">
        <v>397960</v>
      </c>
      <c r="W93" s="44">
        <f>+S93-'Stmt net assets'!O93-U93</f>
        <v>0</v>
      </c>
    </row>
    <row r="94" spans="1:23" s="65" customFormat="1" ht="12.75" customHeight="1">
      <c r="A94" s="44" t="s">
        <v>117</v>
      </c>
      <c r="B94" s="51"/>
      <c r="C94" s="35" t="s">
        <v>43</v>
      </c>
      <c r="D94" s="35"/>
      <c r="E94" s="48">
        <v>0</v>
      </c>
      <c r="F94" s="48"/>
      <c r="G94" s="48">
        <v>0</v>
      </c>
      <c r="H94" s="48"/>
      <c r="I94" s="48">
        <v>0</v>
      </c>
      <c r="J94" s="48"/>
      <c r="K94" s="48">
        <v>1357735</v>
      </c>
      <c r="L94" s="48"/>
      <c r="M94" s="48">
        <v>130022</v>
      </c>
      <c r="N94" s="48"/>
      <c r="O94" s="48">
        <v>758773</v>
      </c>
      <c r="P94" s="48"/>
      <c r="Q94" s="48">
        <v>0</v>
      </c>
      <c r="R94" s="48"/>
      <c r="S94" s="48">
        <f t="shared" si="3"/>
        <v>2246530</v>
      </c>
      <c r="T94" s="44"/>
      <c r="U94" s="48">
        <v>570359</v>
      </c>
      <c r="W94" s="44">
        <f>+S94-'Stmt net assets'!O94-U94</f>
        <v>0</v>
      </c>
    </row>
    <row r="95" spans="1:23" s="65" customFormat="1" ht="12.75" customHeight="1">
      <c r="A95" s="35" t="s">
        <v>118</v>
      </c>
      <c r="B95" s="51"/>
      <c r="C95" s="35" t="s">
        <v>13</v>
      </c>
      <c r="D95" s="35"/>
      <c r="E95" s="48">
        <v>33826650</v>
      </c>
      <c r="F95" s="48"/>
      <c r="G95" s="48">
        <v>0</v>
      </c>
      <c r="H95" s="48"/>
      <c r="I95" s="48">
        <v>0</v>
      </c>
      <c r="J95" s="48"/>
      <c r="K95" s="48">
        <v>0</v>
      </c>
      <c r="L95" s="48"/>
      <c r="M95" s="48">
        <v>0</v>
      </c>
      <c r="N95" s="48"/>
      <c r="O95" s="48">
        <v>1463634</v>
      </c>
      <c r="P95" s="48"/>
      <c r="Q95" s="48">
        <v>0</v>
      </c>
      <c r="R95" s="48"/>
      <c r="S95" s="48">
        <f t="shared" si="3"/>
        <v>35290284</v>
      </c>
      <c r="T95" s="44"/>
      <c r="U95" s="48">
        <v>1045594</v>
      </c>
      <c r="W95" s="44">
        <f>+S95-'Stmt net assets'!O95-U95</f>
        <v>0</v>
      </c>
    </row>
    <row r="96" spans="1:23" s="65" customFormat="1" ht="12.75" customHeight="1">
      <c r="A96" s="35" t="s">
        <v>120</v>
      </c>
      <c r="B96" s="51"/>
      <c r="C96" s="35" t="s">
        <v>121</v>
      </c>
      <c r="D96" s="35"/>
      <c r="E96" s="48">
        <v>2100000</v>
      </c>
      <c r="F96" s="48"/>
      <c r="G96" s="48">
        <f>148000+980000</f>
        <v>1128000</v>
      </c>
      <c r="H96" s="48"/>
      <c r="I96" s="48">
        <v>0</v>
      </c>
      <c r="J96" s="48"/>
      <c r="K96" s="48">
        <v>295153</v>
      </c>
      <c r="L96" s="48"/>
      <c r="M96" s="48">
        <f>62955+314400+86533</f>
        <v>463888</v>
      </c>
      <c r="N96" s="48"/>
      <c r="O96" s="48">
        <v>448376</v>
      </c>
      <c r="P96" s="48"/>
      <c r="Q96" s="48">
        <f>90000+3389-78666</f>
        <v>14723</v>
      </c>
      <c r="R96" s="48"/>
      <c r="S96" s="48">
        <f t="shared" si="3"/>
        <v>4450140</v>
      </c>
      <c r="T96" s="44"/>
      <c r="U96" s="48">
        <v>429820</v>
      </c>
      <c r="W96" s="44">
        <f>+S96-'Stmt net assets'!O96-U96</f>
        <v>0</v>
      </c>
    </row>
    <row r="97" spans="1:25" s="65" customFormat="1" ht="12.75" customHeight="1">
      <c r="A97" s="35" t="s">
        <v>122</v>
      </c>
      <c r="B97" s="51"/>
      <c r="C97" s="35" t="s">
        <v>43</v>
      </c>
      <c r="D97" s="35"/>
      <c r="E97" s="48">
        <v>11362687</v>
      </c>
      <c r="F97" s="48"/>
      <c r="G97" s="48">
        <f>16075000+23777</f>
        <v>16098777</v>
      </c>
      <c r="H97" s="48"/>
      <c r="I97" s="48">
        <v>7585000</v>
      </c>
      <c r="J97" s="48"/>
      <c r="K97" s="48">
        <v>3809420</v>
      </c>
      <c r="L97" s="48"/>
      <c r="M97" s="48">
        <v>250764</v>
      </c>
      <c r="N97" s="48"/>
      <c r="O97" s="48">
        <v>1189289</v>
      </c>
      <c r="P97" s="48"/>
      <c r="Q97" s="48">
        <f>75343651-250764-7585000-1189289</f>
        <v>66318598</v>
      </c>
      <c r="R97" s="48"/>
      <c r="S97" s="48">
        <f t="shared" si="3"/>
        <v>106614535</v>
      </c>
      <c r="T97" s="44"/>
      <c r="U97" s="48">
        <v>2489253</v>
      </c>
      <c r="W97" s="44">
        <f>+S97-'Stmt net assets'!O97-U97</f>
        <v>0</v>
      </c>
    </row>
    <row r="98" spans="1:25" s="65" customFormat="1" ht="12.75" customHeight="1">
      <c r="A98" s="44" t="s">
        <v>45</v>
      </c>
      <c r="B98" s="51"/>
      <c r="C98" s="35" t="s">
        <v>103</v>
      </c>
      <c r="D98" s="35"/>
      <c r="E98" s="48">
        <v>28815000</v>
      </c>
      <c r="F98" s="48"/>
      <c r="G98" s="48">
        <v>2205000</v>
      </c>
      <c r="H98" s="48"/>
      <c r="I98" s="48">
        <v>0</v>
      </c>
      <c r="J98" s="48"/>
      <c r="K98" s="48">
        <v>0</v>
      </c>
      <c r="L98" s="48"/>
      <c r="M98" s="48">
        <v>0</v>
      </c>
      <c r="N98" s="48"/>
      <c r="O98" s="48">
        <v>6508075</v>
      </c>
      <c r="P98" s="48"/>
      <c r="Q98" s="48">
        <v>-119262</v>
      </c>
      <c r="R98" s="48"/>
      <c r="S98" s="48">
        <f t="shared" si="3"/>
        <v>37408813</v>
      </c>
      <c r="T98" s="44"/>
      <c r="U98" s="48">
        <v>4065095</v>
      </c>
      <c r="W98" s="44">
        <f>+S98-'Stmt net assets'!O98-U98</f>
        <v>0</v>
      </c>
    </row>
    <row r="99" spans="1:25" s="65" customFormat="1" ht="12.75" customHeight="1">
      <c r="A99" s="44" t="s">
        <v>123</v>
      </c>
      <c r="B99" s="51"/>
      <c r="C99" s="35" t="s">
        <v>45</v>
      </c>
      <c r="D99" s="35"/>
      <c r="E99" s="48">
        <v>2445000</v>
      </c>
      <c r="F99" s="48"/>
      <c r="G99" s="48">
        <v>0</v>
      </c>
      <c r="H99" s="48"/>
      <c r="I99" s="48">
        <v>0</v>
      </c>
      <c r="J99" s="48"/>
      <c r="K99" s="48">
        <f>413378+532230</f>
        <v>945608</v>
      </c>
      <c r="L99" s="48"/>
      <c r="M99" s="48">
        <v>1105984</v>
      </c>
      <c r="N99" s="48"/>
      <c r="O99" s="48">
        <v>344513</v>
      </c>
      <c r="P99" s="48"/>
      <c r="Q99" s="48">
        <f>47245-78230</f>
        <v>-30985</v>
      </c>
      <c r="R99" s="48"/>
      <c r="S99" s="48">
        <f t="shared" si="3"/>
        <v>4810120</v>
      </c>
      <c r="T99" s="44"/>
      <c r="U99" s="48">
        <v>432598</v>
      </c>
      <c r="W99" s="44">
        <f>+S99-'Stmt net assets'!O99-U99</f>
        <v>0</v>
      </c>
    </row>
    <row r="100" spans="1:25" s="65" customFormat="1" ht="12.75" customHeight="1">
      <c r="A100" s="64" t="s">
        <v>124</v>
      </c>
      <c r="B100" s="66"/>
      <c r="C100" s="64" t="s">
        <v>125</v>
      </c>
      <c r="D100" s="64"/>
      <c r="E100" s="48">
        <v>4235000</v>
      </c>
      <c r="F100" s="48"/>
      <c r="G100" s="48">
        <v>0</v>
      </c>
      <c r="H100" s="48"/>
      <c r="I100" s="48">
        <v>0</v>
      </c>
      <c r="J100" s="48"/>
      <c r="K100" s="48">
        <v>0</v>
      </c>
      <c r="L100" s="48"/>
      <c r="M100" s="48">
        <v>42826</v>
      </c>
      <c r="N100" s="48"/>
      <c r="O100" s="48">
        <v>709895</v>
      </c>
      <c r="P100" s="48"/>
      <c r="Q100" s="48">
        <v>0</v>
      </c>
      <c r="R100" s="48"/>
      <c r="S100" s="48">
        <f t="shared" si="3"/>
        <v>4987721</v>
      </c>
      <c r="T100" s="44"/>
      <c r="U100" s="48">
        <v>351269</v>
      </c>
      <c r="W100" s="44">
        <f>+S100-'Stmt net assets'!O100-U100</f>
        <v>0</v>
      </c>
    </row>
    <row r="101" spans="1:25" s="65" customFormat="1" ht="12.75" customHeight="1">
      <c r="A101" s="35" t="s">
        <v>126</v>
      </c>
      <c r="B101" s="51"/>
      <c r="C101" s="35" t="s">
        <v>27</v>
      </c>
      <c r="D101" s="35"/>
      <c r="E101" s="48">
        <v>8720949</v>
      </c>
      <c r="F101" s="48"/>
      <c r="G101" s="48">
        <v>3809050</v>
      </c>
      <c r="H101" s="48"/>
      <c r="I101" s="48">
        <v>0</v>
      </c>
      <c r="J101" s="48"/>
      <c r="K101" s="48">
        <v>2045801</v>
      </c>
      <c r="L101" s="48"/>
      <c r="M101" s="48">
        <v>0</v>
      </c>
      <c r="N101" s="48"/>
      <c r="O101" s="48">
        <v>973332</v>
      </c>
      <c r="P101" s="48"/>
      <c r="Q101" s="48">
        <v>0</v>
      </c>
      <c r="R101" s="48"/>
      <c r="S101" s="48">
        <f t="shared" si="3"/>
        <v>15549132</v>
      </c>
      <c r="T101" s="44"/>
      <c r="U101" s="48">
        <v>1453664</v>
      </c>
      <c r="W101" s="44">
        <f>+S101-'Stmt net assets'!O101-U101</f>
        <v>0</v>
      </c>
    </row>
    <row r="102" spans="1:25" s="65" customFormat="1" ht="12.75" customHeight="1">
      <c r="A102" s="35" t="s">
        <v>127</v>
      </c>
      <c r="B102" s="51"/>
      <c r="C102" s="35" t="s">
        <v>43</v>
      </c>
      <c r="D102" s="35"/>
      <c r="E102" s="48">
        <v>37463333</v>
      </c>
      <c r="F102" s="48"/>
      <c r="G102" s="48">
        <v>0</v>
      </c>
      <c r="H102" s="48"/>
      <c r="I102" s="48">
        <v>0</v>
      </c>
      <c r="J102" s="48"/>
      <c r="K102" s="48">
        <v>2216777</v>
      </c>
      <c r="L102" s="48"/>
      <c r="M102" s="48">
        <v>342992</v>
      </c>
      <c r="N102" s="48"/>
      <c r="O102" s="48">
        <v>1883458</v>
      </c>
      <c r="P102" s="48"/>
      <c r="Q102" s="48">
        <v>1114698</v>
      </c>
      <c r="R102" s="48"/>
      <c r="S102" s="48">
        <f t="shared" si="3"/>
        <v>43021258</v>
      </c>
      <c r="T102" s="44"/>
      <c r="U102" s="48">
        <v>3174003</v>
      </c>
      <c r="W102" s="44">
        <f>+S102-'Stmt net assets'!O102-U102</f>
        <v>0</v>
      </c>
    </row>
    <row r="103" spans="1:25" s="65" customFormat="1" ht="12.75" customHeight="1">
      <c r="A103" s="35" t="s">
        <v>128</v>
      </c>
      <c r="B103" s="51"/>
      <c r="C103" s="35" t="s">
        <v>119</v>
      </c>
      <c r="D103" s="35"/>
      <c r="E103" s="48">
        <v>665000</v>
      </c>
      <c r="F103" s="48"/>
      <c r="G103" s="48">
        <v>0</v>
      </c>
      <c r="H103" s="48"/>
      <c r="I103" s="48">
        <v>0</v>
      </c>
      <c r="J103" s="48"/>
      <c r="K103" s="48">
        <v>0</v>
      </c>
      <c r="L103" s="48"/>
      <c r="M103" s="48">
        <v>223139</v>
      </c>
      <c r="N103" s="48"/>
      <c r="O103" s="48">
        <v>332099</v>
      </c>
      <c r="P103" s="48"/>
      <c r="Q103" s="48">
        <v>0</v>
      </c>
      <c r="R103" s="48"/>
      <c r="S103" s="48">
        <f t="shared" si="3"/>
        <v>1220238</v>
      </c>
      <c r="T103" s="44"/>
      <c r="U103" s="48">
        <v>124711</v>
      </c>
      <c r="W103" s="44">
        <f>+S103-'Stmt net assets'!O103-U103</f>
        <v>0</v>
      </c>
    </row>
    <row r="104" spans="1:25" s="66" customFormat="1" ht="12.75" customHeight="1">
      <c r="A104" s="35" t="s">
        <v>129</v>
      </c>
      <c r="B104" s="51"/>
      <c r="C104" s="35" t="s">
        <v>80</v>
      </c>
      <c r="D104" s="35"/>
      <c r="E104" s="48">
        <v>3990000</v>
      </c>
      <c r="F104" s="48"/>
      <c r="G104" s="48">
        <v>0</v>
      </c>
      <c r="H104" s="48"/>
      <c r="I104" s="48">
        <v>0</v>
      </c>
      <c r="J104" s="48"/>
      <c r="K104" s="48">
        <v>0</v>
      </c>
      <c r="L104" s="48"/>
      <c r="M104" s="48">
        <v>93892</v>
      </c>
      <c r="N104" s="48"/>
      <c r="O104" s="48">
        <v>225575</v>
      </c>
      <c r="P104" s="48"/>
      <c r="Q104" s="48">
        <v>0</v>
      </c>
      <c r="R104" s="48"/>
      <c r="S104" s="48">
        <f t="shared" si="3"/>
        <v>4309467</v>
      </c>
      <c r="T104" s="44"/>
      <c r="U104" s="48">
        <v>513342</v>
      </c>
      <c r="V104" s="65"/>
      <c r="W104" s="44">
        <f>+S104-'Stmt net assets'!O104-U104</f>
        <v>0</v>
      </c>
    </row>
    <row r="105" spans="1:25" s="65" customFormat="1" ht="12.75" customHeight="1">
      <c r="A105" s="35" t="s">
        <v>130</v>
      </c>
      <c r="B105" s="51"/>
      <c r="C105" s="35" t="s">
        <v>66</v>
      </c>
      <c r="D105" s="35"/>
      <c r="E105" s="48">
        <v>7299412</v>
      </c>
      <c r="F105" s="48"/>
      <c r="G105" s="48">
        <v>15020000</v>
      </c>
      <c r="H105" s="48"/>
      <c r="I105" s="48">
        <v>0</v>
      </c>
      <c r="J105" s="48"/>
      <c r="K105" s="48">
        <f>65963+2152649</f>
        <v>2218612</v>
      </c>
      <c r="L105" s="48"/>
      <c r="M105" s="48">
        <v>926339</v>
      </c>
      <c r="N105" s="48"/>
      <c r="O105" s="48">
        <v>1252446</v>
      </c>
      <c r="P105" s="48"/>
      <c r="Q105" s="48">
        <v>0</v>
      </c>
      <c r="R105" s="48"/>
      <c r="S105" s="48">
        <f t="shared" si="3"/>
        <v>26716809</v>
      </c>
      <c r="T105" s="44"/>
      <c r="U105" s="48">
        <v>2629211</v>
      </c>
      <c r="W105" s="44">
        <f>+S105-'Stmt net assets'!O105-U105</f>
        <v>0</v>
      </c>
    </row>
    <row r="106" spans="1:25" s="65" customFormat="1" ht="12.75" customHeight="1">
      <c r="A106" s="35" t="s">
        <v>131</v>
      </c>
      <c r="B106" s="51"/>
      <c r="C106" s="35" t="s">
        <v>13</v>
      </c>
      <c r="D106" s="35"/>
      <c r="E106" s="48">
        <v>26939529</v>
      </c>
      <c r="F106" s="48"/>
      <c r="G106" s="48">
        <v>1760106</v>
      </c>
      <c r="H106" s="48"/>
      <c r="I106" s="48">
        <v>0</v>
      </c>
      <c r="J106" s="48"/>
      <c r="K106" s="48">
        <v>0</v>
      </c>
      <c r="L106" s="48"/>
      <c r="M106" s="48">
        <v>268310</v>
      </c>
      <c r="N106" s="48"/>
      <c r="O106" s="48">
        <v>1741025</v>
      </c>
      <c r="P106" s="48"/>
      <c r="Q106" s="48">
        <v>0</v>
      </c>
      <c r="R106" s="48"/>
      <c r="S106" s="48">
        <f t="shared" si="3"/>
        <v>30708970</v>
      </c>
      <c r="T106" s="44"/>
      <c r="U106" s="48">
        <v>3439993</v>
      </c>
      <c r="W106" s="44">
        <f>+S106-'Stmt net assets'!O106-U106</f>
        <v>0</v>
      </c>
    </row>
    <row r="107" spans="1:25" s="65" customFormat="1" ht="12.75" customHeight="1">
      <c r="A107" s="35" t="s">
        <v>38</v>
      </c>
      <c r="B107" s="51"/>
      <c r="C107" s="35" t="s">
        <v>132</v>
      </c>
      <c r="D107" s="35"/>
      <c r="E107" s="48">
        <v>1712696</v>
      </c>
      <c r="F107" s="48"/>
      <c r="G107" s="48">
        <v>0</v>
      </c>
      <c r="H107" s="48"/>
      <c r="I107" s="48">
        <f>515000</f>
        <v>515000</v>
      </c>
      <c r="J107" s="48"/>
      <c r="K107" s="48">
        <v>0</v>
      </c>
      <c r="L107" s="48"/>
      <c r="M107" s="48">
        <v>12919</v>
      </c>
      <c r="N107" s="48"/>
      <c r="O107" s="48">
        <v>406894</v>
      </c>
      <c r="P107" s="48"/>
      <c r="Q107" s="48">
        <v>356752</v>
      </c>
      <c r="R107" s="48"/>
      <c r="S107" s="48">
        <f t="shared" si="3"/>
        <v>3004261</v>
      </c>
      <c r="T107" s="44"/>
      <c r="U107" s="48">
        <v>341231</v>
      </c>
      <c r="W107" s="44">
        <f>+S107-'Stmt net assets'!O107-U107</f>
        <v>0</v>
      </c>
    </row>
    <row r="108" spans="1:25" s="65" customFormat="1" ht="12.75" customHeight="1">
      <c r="A108" s="35" t="s">
        <v>133</v>
      </c>
      <c r="B108" s="51"/>
      <c r="C108" s="35" t="s">
        <v>27</v>
      </c>
      <c r="D108" s="35"/>
      <c r="E108" s="48">
        <v>26840541</v>
      </c>
      <c r="F108" s="48"/>
      <c r="G108" s="48">
        <v>585926</v>
      </c>
      <c r="H108" s="48"/>
      <c r="I108" s="48">
        <v>0</v>
      </c>
      <c r="J108" s="48"/>
      <c r="K108" s="48">
        <f>37219+7100000-1111285</f>
        <v>6025934</v>
      </c>
      <c r="L108" s="48"/>
      <c r="M108" s="48">
        <f>629487-572487</f>
        <v>57000</v>
      </c>
      <c r="N108" s="48"/>
      <c r="O108" s="48">
        <v>683564</v>
      </c>
      <c r="P108" s="48"/>
      <c r="Q108" s="48">
        <f>67291+28054252+19319+184375</f>
        <v>28325237</v>
      </c>
      <c r="R108" s="48"/>
      <c r="S108" s="48">
        <f t="shared" si="3"/>
        <v>62518202</v>
      </c>
      <c r="T108" s="44"/>
      <c r="U108" s="48">
        <v>1630007</v>
      </c>
      <c r="W108" s="44">
        <f>+S108-'Stmt net assets'!O108-U108</f>
        <v>0</v>
      </c>
    </row>
    <row r="109" spans="1:25" s="65" customFormat="1" ht="12.75" customHeight="1">
      <c r="A109" s="35" t="s">
        <v>482</v>
      </c>
      <c r="B109" s="51"/>
      <c r="C109" s="35" t="s">
        <v>45</v>
      </c>
      <c r="D109" s="35"/>
      <c r="E109" s="48">
        <v>2737070</v>
      </c>
      <c r="F109" s="48"/>
      <c r="G109" s="48">
        <v>0</v>
      </c>
      <c r="H109" s="48"/>
      <c r="I109" s="48">
        <v>0</v>
      </c>
      <c r="J109" s="48"/>
      <c r="K109" s="48">
        <v>0</v>
      </c>
      <c r="L109" s="48"/>
      <c r="M109" s="48">
        <v>0</v>
      </c>
      <c r="N109" s="48"/>
      <c r="O109" s="48">
        <v>1401286</v>
      </c>
      <c r="P109" s="48"/>
      <c r="Q109" s="48">
        <v>0</v>
      </c>
      <c r="R109" s="48"/>
      <c r="S109" s="48">
        <f t="shared" si="3"/>
        <v>4138356</v>
      </c>
      <c r="T109" s="44"/>
      <c r="U109" s="48">
        <v>742788</v>
      </c>
      <c r="W109" s="44">
        <f>+S109-'Stmt net assets'!O109-U109</f>
        <v>0</v>
      </c>
    </row>
    <row r="110" spans="1:25" s="65" customFormat="1" ht="12.75" customHeight="1">
      <c r="A110" s="35" t="s">
        <v>136</v>
      </c>
      <c r="B110" s="51"/>
      <c r="C110" s="35" t="s">
        <v>136</v>
      </c>
      <c r="D110" s="35"/>
      <c r="E110" s="48">
        <v>0</v>
      </c>
      <c r="F110" s="48"/>
      <c r="G110" s="48">
        <v>0</v>
      </c>
      <c r="H110" s="48"/>
      <c r="I110" s="48">
        <v>521551</v>
      </c>
      <c r="J110" s="48"/>
      <c r="K110" s="48">
        <v>0</v>
      </c>
      <c r="L110" s="48"/>
      <c r="M110" s="48">
        <v>0</v>
      </c>
      <c r="N110" s="48"/>
      <c r="O110" s="48">
        <v>444722</v>
      </c>
      <c r="P110" s="48"/>
      <c r="Q110" s="48">
        <v>36242</v>
      </c>
      <c r="R110" s="48"/>
      <c r="S110" s="48">
        <f t="shared" si="3"/>
        <v>1002515</v>
      </c>
      <c r="T110" s="44"/>
      <c r="U110" s="48">
        <v>445907</v>
      </c>
      <c r="W110" s="44">
        <f>+S110-'Stmt net assets'!O110-U110</f>
        <v>0</v>
      </c>
      <c r="Y110" s="108"/>
    </row>
    <row r="111" spans="1:25" s="65" customFormat="1" ht="12.75" customHeight="1">
      <c r="A111" s="35" t="s">
        <v>137</v>
      </c>
      <c r="B111" s="51"/>
      <c r="C111" s="35" t="s">
        <v>22</v>
      </c>
      <c r="D111" s="35"/>
      <c r="E111" s="48">
        <v>1830000</v>
      </c>
      <c r="F111" s="48"/>
      <c r="G111" s="48">
        <v>410000</v>
      </c>
      <c r="H111" s="48"/>
      <c r="I111" s="48">
        <v>0</v>
      </c>
      <c r="J111" s="48"/>
      <c r="K111" s="48">
        <v>305920</v>
      </c>
      <c r="L111" s="48"/>
      <c r="M111" s="48">
        <v>0</v>
      </c>
      <c r="N111" s="48"/>
      <c r="O111" s="48">
        <v>983363</v>
      </c>
      <c r="P111" s="48"/>
      <c r="Q111" s="48">
        <v>0</v>
      </c>
      <c r="R111" s="48"/>
      <c r="S111" s="48">
        <f t="shared" si="3"/>
        <v>3529283</v>
      </c>
      <c r="T111" s="44"/>
      <c r="U111" s="48">
        <v>953642</v>
      </c>
      <c r="W111" s="44">
        <f>+S111-'Stmt net assets'!O111-U111</f>
        <v>0</v>
      </c>
    </row>
    <row r="112" spans="1:25" s="65" customFormat="1" ht="12.75" hidden="1" customHeight="1">
      <c r="A112" s="35" t="s">
        <v>138</v>
      </c>
      <c r="B112" s="51"/>
      <c r="C112" s="35" t="s">
        <v>139</v>
      </c>
      <c r="D112" s="35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>
        <f t="shared" si="3"/>
        <v>0</v>
      </c>
      <c r="T112" s="44"/>
      <c r="U112" s="48"/>
      <c r="W112" s="44">
        <f>+S112-'Stmt net assets'!O112-U112</f>
        <v>0</v>
      </c>
    </row>
    <row r="113" spans="1:23" s="66" customFormat="1" ht="12.75" customHeight="1">
      <c r="A113" s="35" t="s">
        <v>140</v>
      </c>
      <c r="B113" s="51"/>
      <c r="C113" s="35" t="s">
        <v>66</v>
      </c>
      <c r="D113" s="35"/>
      <c r="E113" s="48">
        <v>3879270</v>
      </c>
      <c r="F113" s="48"/>
      <c r="G113" s="48">
        <v>510730</v>
      </c>
      <c r="H113" s="48"/>
      <c r="I113" s="48">
        <v>2442338</v>
      </c>
      <c r="J113" s="48"/>
      <c r="K113" s="48">
        <v>0</v>
      </c>
      <c r="L113" s="48"/>
      <c r="M113" s="48">
        <v>0</v>
      </c>
      <c r="N113" s="48"/>
      <c r="O113" s="48">
        <v>4086709</v>
      </c>
      <c r="P113" s="48"/>
      <c r="Q113" s="48">
        <v>0</v>
      </c>
      <c r="R113" s="48"/>
      <c r="S113" s="48">
        <f t="shared" si="3"/>
        <v>10919047</v>
      </c>
      <c r="T113" s="44"/>
      <c r="U113" s="48">
        <v>2920582</v>
      </c>
      <c r="V113" s="65"/>
      <c r="W113" s="44">
        <f>+S113-'Stmt net assets'!O113-U113</f>
        <v>0</v>
      </c>
    </row>
    <row r="114" spans="1:23" s="66" customFormat="1" ht="12.75" customHeight="1">
      <c r="A114" s="35" t="s">
        <v>478</v>
      </c>
      <c r="B114" s="51"/>
      <c r="C114" s="35" t="s">
        <v>92</v>
      </c>
      <c r="D114" s="35"/>
      <c r="E114" s="48">
        <v>3397508</v>
      </c>
      <c r="F114" s="48"/>
      <c r="G114" s="48">
        <v>0</v>
      </c>
      <c r="H114" s="48"/>
      <c r="I114" s="48">
        <v>0</v>
      </c>
      <c r="J114" s="48"/>
      <c r="K114" s="48">
        <v>43750</v>
      </c>
      <c r="L114" s="48"/>
      <c r="M114" s="48">
        <v>1040</v>
      </c>
      <c r="N114" s="48"/>
      <c r="O114" s="48">
        <v>147307</v>
      </c>
      <c r="P114" s="48"/>
      <c r="Q114" s="48">
        <v>0</v>
      </c>
      <c r="R114" s="48"/>
      <c r="S114" s="48">
        <f t="shared" si="3"/>
        <v>3589605</v>
      </c>
      <c r="T114" s="44"/>
      <c r="U114" s="48">
        <v>248529</v>
      </c>
      <c r="V114" s="65"/>
      <c r="W114" s="44">
        <f>+S114-'Stmt net assets'!O114-U114</f>
        <v>0</v>
      </c>
    </row>
    <row r="115" spans="1:23" s="65" customFormat="1" ht="12.75" customHeight="1">
      <c r="A115" s="64" t="s">
        <v>141</v>
      </c>
      <c r="B115" s="66"/>
      <c r="C115" s="64" t="s">
        <v>27</v>
      </c>
      <c r="D115" s="64"/>
      <c r="E115" s="48">
        <v>33476781</v>
      </c>
      <c r="F115" s="48"/>
      <c r="G115" s="48">
        <v>0</v>
      </c>
      <c r="H115" s="48"/>
      <c r="I115" s="48">
        <v>7771000</v>
      </c>
      <c r="J115" s="48"/>
      <c r="K115" s="48">
        <v>308000</v>
      </c>
      <c r="L115" s="48"/>
      <c r="M115" s="48">
        <v>5143660</v>
      </c>
      <c r="N115" s="48"/>
      <c r="O115" s="48">
        <v>5969349</v>
      </c>
      <c r="P115" s="48"/>
      <c r="Q115" s="48">
        <v>0</v>
      </c>
      <c r="R115" s="48"/>
      <c r="S115" s="48">
        <f t="shared" si="3"/>
        <v>52668790</v>
      </c>
      <c r="T115" s="44"/>
      <c r="U115" s="48">
        <v>6087037</v>
      </c>
      <c r="W115" s="44">
        <f>+S115-'Stmt net assets'!O115-U115</f>
        <v>0</v>
      </c>
    </row>
    <row r="116" spans="1:23" s="65" customFormat="1" ht="12.75" customHeight="1">
      <c r="A116" s="35" t="s">
        <v>142</v>
      </c>
      <c r="B116" s="51"/>
      <c r="C116" s="35" t="s">
        <v>102</v>
      </c>
      <c r="D116" s="35"/>
      <c r="E116" s="48">
        <f>11319061-5658693</f>
        <v>5660368</v>
      </c>
      <c r="F116" s="48"/>
      <c r="G116" s="48">
        <v>0</v>
      </c>
      <c r="H116" s="48"/>
      <c r="I116" s="48">
        <v>0</v>
      </c>
      <c r="J116" s="48"/>
      <c r="K116" s="48">
        <v>0</v>
      </c>
      <c r="L116" s="48"/>
      <c r="M116" s="48">
        <v>641890</v>
      </c>
      <c r="N116" s="48"/>
      <c r="O116" s="48">
        <v>5016803</v>
      </c>
      <c r="P116" s="48"/>
      <c r="Q116" s="48">
        <v>0</v>
      </c>
      <c r="R116" s="48"/>
      <c r="S116" s="48">
        <f t="shared" si="3"/>
        <v>11319061</v>
      </c>
      <c r="T116" s="44"/>
      <c r="U116" s="48">
        <v>2093830</v>
      </c>
      <c r="W116" s="44">
        <f>+S116-'Stmt net assets'!O116-U116</f>
        <v>0</v>
      </c>
    </row>
    <row r="117" spans="1:23" s="65" customFormat="1" ht="12.75" customHeight="1">
      <c r="A117" s="64" t="s">
        <v>143</v>
      </c>
      <c r="B117" s="66"/>
      <c r="C117" s="64" t="s">
        <v>111</v>
      </c>
      <c r="D117" s="64"/>
      <c r="E117" s="48">
        <f>113925+6934314</f>
        <v>7048239</v>
      </c>
      <c r="F117" s="48"/>
      <c r="G117" s="48">
        <v>315883</v>
      </c>
      <c r="H117" s="48"/>
      <c r="I117" s="48">
        <v>0</v>
      </c>
      <c r="J117" s="48"/>
      <c r="K117" s="48">
        <v>0</v>
      </c>
      <c r="L117" s="48"/>
      <c r="M117" s="48">
        <v>60361</v>
      </c>
      <c r="N117" s="48"/>
      <c r="O117" s="48">
        <v>933290</v>
      </c>
      <c r="P117" s="48"/>
      <c r="Q117" s="48">
        <f>4638189+19988</f>
        <v>4658177</v>
      </c>
      <c r="R117" s="48"/>
      <c r="S117" s="48">
        <f t="shared" si="3"/>
        <v>13015950</v>
      </c>
      <c r="T117" s="44"/>
      <c r="U117" s="48">
        <v>1166054</v>
      </c>
      <c r="W117" s="44">
        <f>+S117-'Stmt net assets'!O117-U117</f>
        <v>0</v>
      </c>
    </row>
    <row r="118" spans="1:23" s="65" customFormat="1" ht="12.75" customHeight="1">
      <c r="A118" s="35" t="s">
        <v>144</v>
      </c>
      <c r="B118" s="51"/>
      <c r="C118" s="35" t="s">
        <v>88</v>
      </c>
      <c r="D118" s="35"/>
      <c r="E118" s="48">
        <v>1170801</v>
      </c>
      <c r="F118" s="48"/>
      <c r="G118" s="48">
        <v>0</v>
      </c>
      <c r="H118" s="48"/>
      <c r="I118" s="48">
        <v>714367</v>
      </c>
      <c r="J118" s="48"/>
      <c r="K118" s="48">
        <v>0</v>
      </c>
      <c r="L118" s="48"/>
      <c r="M118" s="48">
        <v>0</v>
      </c>
      <c r="N118" s="48"/>
      <c r="O118" s="48">
        <v>2688434</v>
      </c>
      <c r="P118" s="48"/>
      <c r="Q118" s="48">
        <v>110000</v>
      </c>
      <c r="R118" s="48"/>
      <c r="S118" s="48">
        <f t="shared" si="3"/>
        <v>4683602</v>
      </c>
      <c r="T118" s="44"/>
      <c r="U118" s="48">
        <v>1058392</v>
      </c>
      <c r="W118" s="44">
        <f>+S118-'Stmt net assets'!O118-U118</f>
        <v>0</v>
      </c>
    </row>
    <row r="119" spans="1:23" s="65" customFormat="1" ht="12.75" customHeight="1">
      <c r="A119" s="35" t="s">
        <v>36</v>
      </c>
      <c r="B119" s="51"/>
      <c r="C119" s="35" t="s">
        <v>145</v>
      </c>
      <c r="D119" s="35"/>
      <c r="E119" s="48">
        <v>3863</v>
      </c>
      <c r="F119" s="48"/>
      <c r="G119" s="48">
        <v>0</v>
      </c>
      <c r="H119" s="48"/>
      <c r="I119" s="48">
        <v>0</v>
      </c>
      <c r="J119" s="48"/>
      <c r="K119" s="48">
        <v>0</v>
      </c>
      <c r="L119" s="48"/>
      <c r="M119" s="48">
        <v>474967</v>
      </c>
      <c r="N119" s="48"/>
      <c r="O119" s="48">
        <v>281661</v>
      </c>
      <c r="P119" s="48"/>
      <c r="Q119" s="48">
        <v>0</v>
      </c>
      <c r="R119" s="48"/>
      <c r="S119" s="48">
        <f t="shared" si="3"/>
        <v>760491</v>
      </c>
      <c r="T119" s="44"/>
      <c r="U119" s="48">
        <v>177267</v>
      </c>
      <c r="W119" s="44">
        <f>+S119-'Stmt net assets'!O119-U119</f>
        <v>0</v>
      </c>
    </row>
    <row r="120" spans="1:23" s="65" customFormat="1" ht="12.75" customHeight="1">
      <c r="A120" s="35" t="s">
        <v>146</v>
      </c>
      <c r="B120" s="51"/>
      <c r="C120" s="35" t="s">
        <v>147</v>
      </c>
      <c r="D120" s="35"/>
      <c r="E120" s="48">
        <f>30000+254200+235000</f>
        <v>519200</v>
      </c>
      <c r="F120" s="48"/>
      <c r="G120" s="48">
        <v>35000</v>
      </c>
      <c r="H120" s="48"/>
      <c r="I120" s="48">
        <v>0</v>
      </c>
      <c r="J120" s="48"/>
      <c r="K120" s="48">
        <f>80298+232692+516278</f>
        <v>829268</v>
      </c>
      <c r="L120" s="48"/>
      <c r="M120" s="48">
        <v>0</v>
      </c>
      <c r="N120" s="48"/>
      <c r="O120" s="48">
        <f>307419+62848</f>
        <v>370267</v>
      </c>
      <c r="P120" s="48"/>
      <c r="Q120" s="48">
        <v>0</v>
      </c>
      <c r="R120" s="48"/>
      <c r="S120" s="48">
        <f t="shared" si="3"/>
        <v>1753735</v>
      </c>
      <c r="T120" s="44"/>
      <c r="U120" s="48">
        <v>234022</v>
      </c>
      <c r="W120" s="44">
        <f>+S120-'Stmt net assets'!O120-U120</f>
        <v>0</v>
      </c>
    </row>
    <row r="121" spans="1:23" s="65" customFormat="1" ht="12.75" customHeight="1">
      <c r="A121" s="35" t="s">
        <v>17</v>
      </c>
      <c r="B121" s="51"/>
      <c r="C121" s="35" t="s">
        <v>17</v>
      </c>
      <c r="D121" s="35"/>
      <c r="E121" s="48">
        <v>31714580</v>
      </c>
      <c r="F121" s="48"/>
      <c r="G121" s="48">
        <v>467691</v>
      </c>
      <c r="H121" s="48"/>
      <c r="I121" s="48">
        <v>0</v>
      </c>
      <c r="J121" s="48"/>
      <c r="K121" s="48">
        <v>5005000</v>
      </c>
      <c r="L121" s="48"/>
      <c r="M121" s="48">
        <v>2385686</v>
      </c>
      <c r="N121" s="48"/>
      <c r="O121" s="48">
        <v>7491132</v>
      </c>
      <c r="P121" s="48"/>
      <c r="Q121" s="48">
        <f>53827662-47064089+10646</f>
        <v>6774219</v>
      </c>
      <c r="R121" s="48"/>
      <c r="S121" s="48">
        <f t="shared" si="3"/>
        <v>53838308</v>
      </c>
      <c r="T121" s="44"/>
      <c r="U121" s="48">
        <v>4440467</v>
      </c>
      <c r="W121" s="44">
        <f>+S121-'Stmt net assets'!O121-U121</f>
        <v>0</v>
      </c>
    </row>
    <row r="122" spans="1:23" s="65" customFormat="1" ht="12.75" customHeight="1">
      <c r="A122" s="35" t="s">
        <v>148</v>
      </c>
      <c r="B122" s="51"/>
      <c r="C122" s="35" t="s">
        <v>15</v>
      </c>
      <c r="D122" s="35"/>
      <c r="E122" s="48">
        <v>303000</v>
      </c>
      <c r="F122" s="48"/>
      <c r="G122" s="48">
        <v>0</v>
      </c>
      <c r="H122" s="48"/>
      <c r="I122" s="48">
        <v>0</v>
      </c>
      <c r="J122" s="48"/>
      <c r="K122" s="48">
        <v>0</v>
      </c>
      <c r="L122" s="48"/>
      <c r="M122" s="48">
        <v>155434</v>
      </c>
      <c r="N122" s="48"/>
      <c r="O122" s="48">
        <f>263298+45029</f>
        <v>308327</v>
      </c>
      <c r="P122" s="48"/>
      <c r="Q122" s="48">
        <v>0</v>
      </c>
      <c r="R122" s="48"/>
      <c r="S122" s="48">
        <f t="shared" si="3"/>
        <v>766761</v>
      </c>
      <c r="T122" s="44"/>
      <c r="U122" s="48">
        <v>228990</v>
      </c>
      <c r="W122" s="44">
        <f>+S122-'Stmt net assets'!O122-U122</f>
        <v>0</v>
      </c>
    </row>
    <row r="123" spans="1:23" s="65" customFormat="1" ht="12.75" customHeight="1">
      <c r="A123" s="35" t="s">
        <v>149</v>
      </c>
      <c r="B123" s="51"/>
      <c r="C123" s="35" t="s">
        <v>45</v>
      </c>
      <c r="D123" s="35"/>
      <c r="E123" s="48">
        <v>4245327</v>
      </c>
      <c r="F123" s="48"/>
      <c r="G123" s="48">
        <v>0</v>
      </c>
      <c r="H123" s="48"/>
      <c r="I123" s="48">
        <v>0</v>
      </c>
      <c r="J123" s="48"/>
      <c r="K123" s="48">
        <v>2716949</v>
      </c>
      <c r="L123" s="48"/>
      <c r="M123" s="48">
        <v>14514</v>
      </c>
      <c r="N123" s="48"/>
      <c r="O123" s="48">
        <v>999907</v>
      </c>
      <c r="P123" s="48"/>
      <c r="Q123" s="48">
        <v>34050</v>
      </c>
      <c r="R123" s="48"/>
      <c r="S123" s="48">
        <f t="shared" si="3"/>
        <v>8010747</v>
      </c>
      <c r="T123" s="44"/>
      <c r="U123" s="48">
        <v>850538</v>
      </c>
      <c r="W123" s="44">
        <f>+S123-'Stmt net assets'!O123-U123</f>
        <v>0</v>
      </c>
    </row>
    <row r="124" spans="1:23" s="65" customFormat="1" ht="12.75" customHeight="1">
      <c r="A124" s="35" t="s">
        <v>150</v>
      </c>
      <c r="B124" s="51"/>
      <c r="C124" s="35" t="s">
        <v>27</v>
      </c>
      <c r="D124" s="35"/>
      <c r="E124" s="48">
        <v>2025000</v>
      </c>
      <c r="F124" s="48"/>
      <c r="G124" s="48">
        <v>4000</v>
      </c>
      <c r="H124" s="48"/>
      <c r="I124" s="48">
        <v>1000000</v>
      </c>
      <c r="J124" s="48"/>
      <c r="K124" s="48">
        <v>0</v>
      </c>
      <c r="L124" s="48"/>
      <c r="M124" s="48">
        <v>2267</v>
      </c>
      <c r="N124" s="48"/>
      <c r="O124" s="48">
        <v>1241383</v>
      </c>
      <c r="P124" s="48"/>
      <c r="Q124" s="48">
        <v>0</v>
      </c>
      <c r="R124" s="48"/>
      <c r="S124" s="48">
        <f t="shared" si="3"/>
        <v>4272650</v>
      </c>
      <c r="T124" s="44"/>
      <c r="U124" s="48">
        <v>1371157</v>
      </c>
      <c r="W124" s="44">
        <f>+S124-'Stmt net assets'!O124-U124</f>
        <v>0</v>
      </c>
    </row>
    <row r="125" spans="1:23" s="65" customFormat="1" ht="12.75" customHeight="1">
      <c r="A125" s="35" t="s">
        <v>151</v>
      </c>
      <c r="C125" s="35" t="s">
        <v>13</v>
      </c>
      <c r="D125" s="35"/>
      <c r="E125" s="48">
        <v>7677968</v>
      </c>
      <c r="F125" s="48"/>
      <c r="G125" s="48">
        <v>1688400</v>
      </c>
      <c r="H125" s="48"/>
      <c r="I125" s="48">
        <v>0</v>
      </c>
      <c r="J125" s="48"/>
      <c r="K125" s="48">
        <v>4543029</v>
      </c>
      <c r="L125" s="48"/>
      <c r="M125" s="48">
        <v>164430</v>
      </c>
      <c r="N125" s="48"/>
      <c r="O125" s="48">
        <v>589939</v>
      </c>
      <c r="P125" s="48"/>
      <c r="Q125" s="48">
        <v>611061</v>
      </c>
      <c r="R125" s="48"/>
      <c r="S125" s="48">
        <f t="shared" si="3"/>
        <v>15274827</v>
      </c>
      <c r="T125" s="44"/>
      <c r="U125" s="48">
        <v>1371514</v>
      </c>
      <c r="W125" s="44">
        <f>+S125-'Stmt net assets'!O125-U125</f>
        <v>0</v>
      </c>
    </row>
    <row r="126" spans="1:23" s="65" customFormat="1" ht="12.75" customHeight="1">
      <c r="A126" s="35" t="s">
        <v>481</v>
      </c>
      <c r="C126" s="35" t="s">
        <v>45</v>
      </c>
      <c r="D126" s="35"/>
      <c r="E126" s="48">
        <v>815000</v>
      </c>
      <c r="F126" s="48"/>
      <c r="G126" s="48">
        <v>0</v>
      </c>
      <c r="H126" s="48"/>
      <c r="I126" s="48">
        <v>0</v>
      </c>
      <c r="J126" s="48"/>
      <c r="K126" s="48">
        <v>0</v>
      </c>
      <c r="L126" s="48"/>
      <c r="M126" s="48">
        <v>0</v>
      </c>
      <c r="N126" s="48"/>
      <c r="O126" s="48">
        <v>137950</v>
      </c>
      <c r="P126" s="48"/>
      <c r="Q126" s="48">
        <v>0</v>
      </c>
      <c r="R126" s="48"/>
      <c r="S126" s="48">
        <f t="shared" si="3"/>
        <v>952950</v>
      </c>
      <c r="T126" s="44"/>
      <c r="U126" s="48">
        <v>364378</v>
      </c>
      <c r="W126" s="44">
        <f>+S126-'Stmt net assets'!O126-U126</f>
        <v>0</v>
      </c>
    </row>
    <row r="127" spans="1:23" s="65" customFormat="1" ht="12.75" customHeight="1">
      <c r="A127" s="35" t="s">
        <v>152</v>
      </c>
      <c r="B127" s="51"/>
      <c r="C127" s="35" t="s">
        <v>153</v>
      </c>
      <c r="D127" s="35"/>
      <c r="E127" s="48">
        <v>3340000</v>
      </c>
      <c r="F127" s="48"/>
      <c r="G127" s="48">
        <v>0</v>
      </c>
      <c r="H127" s="48"/>
      <c r="I127" s="48">
        <v>440000</v>
      </c>
      <c r="J127" s="48"/>
      <c r="K127" s="48">
        <v>0</v>
      </c>
      <c r="L127" s="48"/>
      <c r="M127" s="48">
        <v>20473</v>
      </c>
      <c r="N127" s="48"/>
      <c r="O127" s="48">
        <v>5444801</v>
      </c>
      <c r="P127" s="48"/>
      <c r="Q127" s="48">
        <v>301337</v>
      </c>
      <c r="R127" s="48"/>
      <c r="S127" s="48">
        <f t="shared" si="3"/>
        <v>9546611</v>
      </c>
      <c r="T127" s="44"/>
      <c r="U127" s="48">
        <v>366546</v>
      </c>
      <c r="W127" s="44">
        <f>+S127-'Stmt net assets'!O127-U127</f>
        <v>0</v>
      </c>
    </row>
    <row r="128" spans="1:23" s="125" customFormat="1" ht="12.75" hidden="1" customHeight="1">
      <c r="A128" s="126" t="s">
        <v>154</v>
      </c>
      <c r="B128" s="124"/>
      <c r="C128" s="126" t="s">
        <v>27</v>
      </c>
      <c r="D128" s="126"/>
      <c r="E128" s="132"/>
      <c r="F128" s="132"/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>
        <f t="shared" si="3"/>
        <v>0</v>
      </c>
      <c r="T128" s="121"/>
      <c r="U128" s="132"/>
      <c r="W128" s="121">
        <f>+S128-'Stmt net assets'!O128-U128</f>
        <v>0</v>
      </c>
    </row>
    <row r="129" spans="1:30" s="65" customFormat="1" ht="12.75" customHeight="1">
      <c r="A129" s="35" t="s">
        <v>155</v>
      </c>
      <c r="C129" s="35" t="s">
        <v>40</v>
      </c>
      <c r="D129" s="35"/>
      <c r="E129" s="48">
        <v>137500</v>
      </c>
      <c r="F129" s="48"/>
      <c r="G129" s="48">
        <v>0</v>
      </c>
      <c r="H129" s="48"/>
      <c r="I129" s="48">
        <v>970000</v>
      </c>
      <c r="J129" s="48"/>
      <c r="K129" s="48">
        <f>514000+102346</f>
        <v>616346</v>
      </c>
      <c r="L129" s="48"/>
      <c r="M129" s="48">
        <v>0</v>
      </c>
      <c r="N129" s="48"/>
      <c r="O129" s="48">
        <v>723902</v>
      </c>
      <c r="P129" s="48"/>
      <c r="Q129" s="48">
        <v>0</v>
      </c>
      <c r="R129" s="48"/>
      <c r="S129" s="48">
        <f t="shared" si="3"/>
        <v>2447748</v>
      </c>
      <c r="T129" s="44"/>
      <c r="U129" s="48">
        <v>82811</v>
      </c>
      <c r="W129" s="44">
        <f>+S129-'Stmt net assets'!O129-U129</f>
        <v>0</v>
      </c>
    </row>
    <row r="130" spans="1:30" s="65" customFormat="1" ht="12.75" customHeight="1">
      <c r="A130" s="35"/>
      <c r="C130" s="35"/>
      <c r="D130" s="35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4"/>
      <c r="U130" s="48" t="s">
        <v>484</v>
      </c>
      <c r="W130" s="44"/>
    </row>
    <row r="131" spans="1:30" s="65" customFormat="1" ht="12.75" customHeight="1">
      <c r="A131" s="35" t="s">
        <v>156</v>
      </c>
      <c r="B131" s="51"/>
      <c r="C131" s="35" t="s">
        <v>156</v>
      </c>
      <c r="D131" s="35"/>
      <c r="E131" s="68">
        <v>815000</v>
      </c>
      <c r="F131" s="68"/>
      <c r="G131" s="68">
        <v>0</v>
      </c>
      <c r="H131" s="68"/>
      <c r="I131" s="68">
        <v>1580000</v>
      </c>
      <c r="J131" s="68"/>
      <c r="K131" s="68">
        <v>929716</v>
      </c>
      <c r="L131" s="68"/>
      <c r="M131" s="68">
        <f>449500+77566</f>
        <v>527066</v>
      </c>
      <c r="N131" s="68"/>
      <c r="O131" s="68">
        <v>4231843</v>
      </c>
      <c r="P131" s="68"/>
      <c r="Q131" s="68">
        <v>88537</v>
      </c>
      <c r="R131" s="68"/>
      <c r="S131" s="68">
        <f t="shared" si="3"/>
        <v>8172162</v>
      </c>
      <c r="T131" s="46"/>
      <c r="U131" s="68">
        <v>2455113</v>
      </c>
      <c r="V131" s="66"/>
      <c r="W131" s="46">
        <f>+S131-'Stmt net assets'!O131-U131</f>
        <v>0</v>
      </c>
      <c r="X131" s="66"/>
      <c r="Y131" s="66"/>
    </row>
    <row r="132" spans="1:30" s="65" customFormat="1" ht="12.75" customHeight="1">
      <c r="A132" s="35" t="s">
        <v>157</v>
      </c>
      <c r="B132" s="51"/>
      <c r="C132" s="35" t="s">
        <v>33</v>
      </c>
      <c r="D132" s="35"/>
      <c r="E132" s="48">
        <v>0</v>
      </c>
      <c r="F132" s="48"/>
      <c r="G132" s="48">
        <v>0</v>
      </c>
      <c r="H132" s="48"/>
      <c r="I132" s="48">
        <v>290000</v>
      </c>
      <c r="J132" s="48"/>
      <c r="K132" s="48">
        <v>7271</v>
      </c>
      <c r="L132" s="48"/>
      <c r="M132" s="48">
        <v>0</v>
      </c>
      <c r="N132" s="48"/>
      <c r="O132" s="48">
        <f>185379+83986</f>
        <v>269365</v>
      </c>
      <c r="P132" s="48"/>
      <c r="Q132" s="48">
        <v>0</v>
      </c>
      <c r="R132" s="48"/>
      <c r="S132" s="48">
        <f t="shared" si="3"/>
        <v>566636</v>
      </c>
      <c r="T132" s="44"/>
      <c r="U132" s="48">
        <v>294400</v>
      </c>
      <c r="W132" s="44">
        <f>+S132-'Stmt net assets'!O132-U132</f>
        <v>0</v>
      </c>
    </row>
    <row r="133" spans="1:30" s="65" customFormat="1" ht="12.75" customHeight="1">
      <c r="A133" s="35" t="s">
        <v>158</v>
      </c>
      <c r="B133" s="51"/>
      <c r="C133" s="35" t="s">
        <v>159</v>
      </c>
      <c r="D133" s="35"/>
      <c r="E133" s="48">
        <v>7550903</v>
      </c>
      <c r="F133" s="48"/>
      <c r="G133" s="48">
        <v>0</v>
      </c>
      <c r="H133" s="48"/>
      <c r="I133" s="48">
        <v>0</v>
      </c>
      <c r="J133" s="48"/>
      <c r="K133" s="48">
        <v>0</v>
      </c>
      <c r="L133" s="48"/>
      <c r="M133" s="48">
        <v>18808</v>
      </c>
      <c r="N133" s="48"/>
      <c r="O133" s="48">
        <v>802073</v>
      </c>
      <c r="P133" s="48"/>
      <c r="Q133" s="48">
        <v>0</v>
      </c>
      <c r="R133" s="48"/>
      <c r="S133" s="48">
        <f t="shared" si="3"/>
        <v>8371784</v>
      </c>
      <c r="T133" s="44"/>
      <c r="U133" s="48">
        <v>1077009</v>
      </c>
      <c r="W133" s="44">
        <f>+S133-'Stmt net assets'!O133-U133</f>
        <v>0</v>
      </c>
    </row>
    <row r="134" spans="1:30" s="66" customFormat="1" ht="12.75" customHeight="1">
      <c r="A134" s="64" t="s">
        <v>160</v>
      </c>
      <c r="C134" s="64" t="s">
        <v>111</v>
      </c>
      <c r="D134" s="64"/>
      <c r="E134" s="48">
        <v>23355000</v>
      </c>
      <c r="F134" s="48"/>
      <c r="G134" s="48">
        <v>262000</v>
      </c>
      <c r="H134" s="48"/>
      <c r="I134" s="48">
        <v>0</v>
      </c>
      <c r="J134" s="48"/>
      <c r="K134" s="48">
        <v>0</v>
      </c>
      <c r="L134" s="48"/>
      <c r="M134" s="48">
        <v>19640000</v>
      </c>
      <c r="N134" s="48"/>
      <c r="O134" s="48">
        <v>1104203</v>
      </c>
      <c r="P134" s="48"/>
      <c r="Q134" s="48">
        <v>0</v>
      </c>
      <c r="R134" s="48"/>
      <c r="S134" s="48">
        <f t="shared" si="3"/>
        <v>44361203</v>
      </c>
      <c r="T134" s="44"/>
      <c r="U134" s="48">
        <v>2394254</v>
      </c>
      <c r="V134" s="65"/>
      <c r="W134" s="44">
        <f>+S134-'Stmt net assets'!O134-U134</f>
        <v>0</v>
      </c>
      <c r="X134" s="65"/>
      <c r="Y134" s="65"/>
      <c r="Z134" s="65"/>
      <c r="AA134" s="65"/>
      <c r="AB134" s="65"/>
      <c r="AC134" s="65"/>
      <c r="AD134" s="65"/>
    </row>
    <row r="135" spans="1:30" s="65" customFormat="1" ht="12.75" customHeight="1">
      <c r="A135" s="35" t="s">
        <v>161</v>
      </c>
      <c r="C135" s="35" t="s">
        <v>15</v>
      </c>
      <c r="D135" s="35"/>
      <c r="E135" s="48">
        <v>18449472</v>
      </c>
      <c r="F135" s="48"/>
      <c r="G135" s="48">
        <v>0</v>
      </c>
      <c r="H135" s="48"/>
      <c r="I135" s="48">
        <v>0</v>
      </c>
      <c r="J135" s="48"/>
      <c r="K135" s="48">
        <v>2292131</v>
      </c>
      <c r="L135" s="48"/>
      <c r="M135" s="48">
        <v>293049</v>
      </c>
      <c r="N135" s="48"/>
      <c r="O135" s="48">
        <v>3010070</v>
      </c>
      <c r="P135" s="48"/>
      <c r="Q135" s="48">
        <v>1468802</v>
      </c>
      <c r="R135" s="48"/>
      <c r="S135" s="48">
        <f t="shared" si="3"/>
        <v>25513524</v>
      </c>
      <c r="T135" s="44"/>
      <c r="U135" s="48">
        <v>1124037</v>
      </c>
      <c r="W135" s="44">
        <f>+S135-'Stmt net assets'!O135-U135</f>
        <v>0</v>
      </c>
    </row>
    <row r="136" spans="1:30" s="65" customFormat="1" ht="12.75" customHeight="1">
      <c r="A136" s="35" t="s">
        <v>162</v>
      </c>
      <c r="B136" s="51"/>
      <c r="C136" s="35" t="s">
        <v>163</v>
      </c>
      <c r="D136" s="35"/>
      <c r="E136" s="48">
        <v>23050000</v>
      </c>
      <c r="F136" s="48"/>
      <c r="G136" s="48">
        <v>182800</v>
      </c>
      <c r="H136" s="48"/>
      <c r="I136" s="48">
        <v>455000</v>
      </c>
      <c r="J136" s="48"/>
      <c r="K136" s="48">
        <v>302758</v>
      </c>
      <c r="L136" s="48"/>
      <c r="M136" s="48">
        <v>0</v>
      </c>
      <c r="N136" s="48"/>
      <c r="O136" s="48">
        <v>2237785</v>
      </c>
      <c r="P136" s="48"/>
      <c r="Q136" s="48">
        <f>54999+55603</f>
        <v>110602</v>
      </c>
      <c r="R136" s="48"/>
      <c r="S136" s="48">
        <f t="shared" si="3"/>
        <v>26338945</v>
      </c>
      <c r="T136" s="44"/>
      <c r="U136" s="48">
        <v>2278706</v>
      </c>
      <c r="W136" s="44">
        <f>+S136-'Stmt net assets'!O136-U136</f>
        <v>0</v>
      </c>
    </row>
    <row r="137" spans="1:30" s="65" customFormat="1" ht="12.75" customHeight="1">
      <c r="A137" s="35" t="s">
        <v>164</v>
      </c>
      <c r="C137" s="35" t="s">
        <v>27</v>
      </c>
      <c r="D137" s="35"/>
      <c r="E137" s="48">
        <v>5000</v>
      </c>
      <c r="F137" s="48"/>
      <c r="G137" s="48">
        <v>0</v>
      </c>
      <c r="H137" s="48"/>
      <c r="I137" s="48">
        <f>3600000+2400000</f>
        <v>6000000</v>
      </c>
      <c r="J137" s="48"/>
      <c r="K137" s="48">
        <v>1582830</v>
      </c>
      <c r="L137" s="48"/>
      <c r="M137" s="48">
        <v>0</v>
      </c>
      <c r="N137" s="48"/>
      <c r="O137" s="48">
        <v>2607828</v>
      </c>
      <c r="P137" s="48"/>
      <c r="Q137" s="48">
        <v>0</v>
      </c>
      <c r="R137" s="48"/>
      <c r="S137" s="48">
        <f t="shared" si="3"/>
        <v>10195658</v>
      </c>
      <c r="T137" s="44"/>
      <c r="U137" s="48">
        <v>800741</v>
      </c>
      <c r="W137" s="44">
        <f>+S137-'Stmt net assets'!O137-U137</f>
        <v>0</v>
      </c>
    </row>
    <row r="138" spans="1:30" s="65" customFormat="1" ht="12.75" customHeight="1">
      <c r="A138" s="35" t="s">
        <v>53</v>
      </c>
      <c r="B138" s="51"/>
      <c r="C138" s="35" t="s">
        <v>53</v>
      </c>
      <c r="D138" s="35"/>
      <c r="E138" s="48">
        <v>725000</v>
      </c>
      <c r="F138" s="48"/>
      <c r="G138" s="48">
        <v>1260039</v>
      </c>
      <c r="H138" s="48"/>
      <c r="I138" s="48">
        <v>0</v>
      </c>
      <c r="J138" s="48"/>
      <c r="K138" s="48">
        <v>148180</v>
      </c>
      <c r="L138" s="48"/>
      <c r="M138" s="48">
        <v>0</v>
      </c>
      <c r="N138" s="48"/>
      <c r="O138" s="48">
        <v>543608</v>
      </c>
      <c r="P138" s="48"/>
      <c r="Q138" s="48">
        <v>0</v>
      </c>
      <c r="R138" s="48"/>
      <c r="S138" s="48">
        <f t="shared" si="3"/>
        <v>2676827</v>
      </c>
      <c r="T138" s="44"/>
      <c r="U138" s="48">
        <v>512396</v>
      </c>
      <c r="W138" s="44">
        <f>+S138-'Stmt net assets'!O138-U138</f>
        <v>0</v>
      </c>
    </row>
    <row r="139" spans="1:30" s="65" customFormat="1" ht="12.75" customHeight="1">
      <c r="A139" s="35" t="s">
        <v>165</v>
      </c>
      <c r="B139" s="51"/>
      <c r="C139" s="35" t="s">
        <v>92</v>
      </c>
      <c r="D139" s="35"/>
      <c r="E139" s="48">
        <v>17770131</v>
      </c>
      <c r="F139" s="48"/>
      <c r="G139" s="48">
        <v>12574869</v>
      </c>
      <c r="H139" s="48"/>
      <c r="I139" s="48">
        <v>0</v>
      </c>
      <c r="J139" s="48"/>
      <c r="K139" s="48">
        <v>0</v>
      </c>
      <c r="L139" s="48"/>
      <c r="M139" s="48">
        <v>4759733</v>
      </c>
      <c r="N139" s="48"/>
      <c r="O139" s="48">
        <v>3207467</v>
      </c>
      <c r="P139" s="48"/>
      <c r="Q139" s="48">
        <v>50000</v>
      </c>
      <c r="R139" s="48"/>
      <c r="S139" s="48">
        <f t="shared" si="3"/>
        <v>38362200</v>
      </c>
      <c r="T139" s="44"/>
      <c r="U139" s="48">
        <v>7886200</v>
      </c>
      <c r="W139" s="44">
        <f>+S139-'Stmt net assets'!O139-U139</f>
        <v>0</v>
      </c>
    </row>
    <row r="140" spans="1:30" s="65" customFormat="1" ht="12.75" customHeight="1">
      <c r="A140" s="35" t="s">
        <v>166</v>
      </c>
      <c r="B140" s="51"/>
      <c r="C140" s="35" t="s">
        <v>92</v>
      </c>
      <c r="D140" s="35"/>
      <c r="E140" s="48">
        <v>0</v>
      </c>
      <c r="F140" s="48"/>
      <c r="G140" s="48">
        <v>0</v>
      </c>
      <c r="H140" s="48"/>
      <c r="I140" s="48">
        <v>0</v>
      </c>
      <c r="J140" s="48"/>
      <c r="K140" s="48">
        <v>462774</v>
      </c>
      <c r="L140" s="48"/>
      <c r="M140" s="48">
        <v>0</v>
      </c>
      <c r="N140" s="48"/>
      <c r="O140" s="48">
        <v>343933</v>
      </c>
      <c r="P140" s="48"/>
      <c r="Q140" s="48">
        <f>1198466+489238</f>
        <v>1687704</v>
      </c>
      <c r="R140" s="48"/>
      <c r="S140" s="48">
        <f t="shared" si="3"/>
        <v>2494411</v>
      </c>
      <c r="T140" s="44"/>
      <c r="U140" s="48">
        <v>169049</v>
      </c>
      <c r="W140" s="44">
        <f>+S140-'Stmt net assets'!O140-U140</f>
        <v>0</v>
      </c>
    </row>
    <row r="141" spans="1:30" s="65" customFormat="1" ht="12.75" customHeight="1">
      <c r="A141" s="35" t="s">
        <v>167</v>
      </c>
      <c r="B141" s="51"/>
      <c r="C141" s="35" t="s">
        <v>66</v>
      </c>
      <c r="D141" s="35"/>
      <c r="E141" s="48">
        <v>3114898</v>
      </c>
      <c r="F141" s="48"/>
      <c r="G141" s="48">
        <v>0</v>
      </c>
      <c r="H141" s="48"/>
      <c r="I141" s="48">
        <v>0</v>
      </c>
      <c r="J141" s="48"/>
      <c r="K141" s="48">
        <v>0</v>
      </c>
      <c r="L141" s="48"/>
      <c r="M141" s="48">
        <v>0</v>
      </c>
      <c r="N141" s="48"/>
      <c r="O141" s="48">
        <f>241069+1853964</f>
        <v>2095033</v>
      </c>
      <c r="P141" s="48"/>
      <c r="Q141" s="48">
        <v>0</v>
      </c>
      <c r="R141" s="48"/>
      <c r="S141" s="48">
        <f t="shared" si="3"/>
        <v>5209931</v>
      </c>
      <c r="T141" s="44"/>
      <c r="U141" s="48">
        <v>1305864</v>
      </c>
      <c r="W141" s="44">
        <f>+S141-'Stmt net assets'!O141-U141</f>
        <v>0</v>
      </c>
    </row>
    <row r="142" spans="1:30" s="65" customFormat="1" ht="12.75" customHeight="1">
      <c r="A142" s="44" t="s">
        <v>168</v>
      </c>
      <c r="B142" s="66"/>
      <c r="C142" s="64" t="s">
        <v>27</v>
      </c>
      <c r="D142" s="64"/>
      <c r="E142" s="48">
        <v>12816972</v>
      </c>
      <c r="F142" s="48"/>
      <c r="G142" s="48">
        <v>1364806</v>
      </c>
      <c r="H142" s="48"/>
      <c r="I142" s="48">
        <v>0</v>
      </c>
      <c r="J142" s="48"/>
      <c r="K142" s="48">
        <v>0</v>
      </c>
      <c r="L142" s="48"/>
      <c r="M142" s="48">
        <f>47197+107276</f>
        <v>154473</v>
      </c>
      <c r="N142" s="48"/>
      <c r="O142" s="48">
        <v>2863235</v>
      </c>
      <c r="P142" s="48"/>
      <c r="Q142" s="48">
        <v>90</v>
      </c>
      <c r="R142" s="48"/>
      <c r="S142" s="48">
        <f t="shared" si="3"/>
        <v>17199576</v>
      </c>
      <c r="T142" s="44"/>
      <c r="U142" s="48">
        <v>3509034</v>
      </c>
      <c r="W142" s="44">
        <f>+S142-'Stmt net assets'!O142-U142</f>
        <v>0</v>
      </c>
    </row>
    <row r="143" spans="1:30" s="65" customFormat="1" ht="12.75" customHeight="1">
      <c r="A143" s="35" t="s">
        <v>169</v>
      </c>
      <c r="B143" s="51"/>
      <c r="C143" s="35" t="s">
        <v>103</v>
      </c>
      <c r="D143" s="35"/>
      <c r="E143" s="48">
        <v>21409566</v>
      </c>
      <c r="F143" s="48"/>
      <c r="G143" s="48">
        <v>2823043</v>
      </c>
      <c r="H143" s="48"/>
      <c r="I143" s="48"/>
      <c r="J143" s="48"/>
      <c r="K143" s="48"/>
      <c r="L143" s="48"/>
      <c r="M143" s="48"/>
      <c r="N143" s="48"/>
      <c r="O143" s="48">
        <f>4527598+2456824+637595</f>
        <v>7622017</v>
      </c>
      <c r="P143" s="48"/>
      <c r="Q143" s="48">
        <v>0</v>
      </c>
      <c r="R143" s="48"/>
      <c r="S143" s="48">
        <f t="shared" si="3"/>
        <v>31854626</v>
      </c>
      <c r="T143" s="44"/>
      <c r="U143" s="48">
        <v>3509734</v>
      </c>
      <c r="W143" s="44">
        <f>+S143-'Stmt net assets'!O143-U143</f>
        <v>0</v>
      </c>
    </row>
    <row r="144" spans="1:30" s="65" customFormat="1" ht="12.75" customHeight="1">
      <c r="A144" s="35" t="s">
        <v>170</v>
      </c>
      <c r="B144" s="51"/>
      <c r="C144" s="35" t="s">
        <v>171</v>
      </c>
      <c r="D144" s="35"/>
      <c r="E144" s="48">
        <v>3492594</v>
      </c>
      <c r="F144" s="48"/>
      <c r="G144" s="48">
        <v>0</v>
      </c>
      <c r="H144" s="48"/>
      <c r="I144" s="48">
        <v>0</v>
      </c>
      <c r="J144" s="48"/>
      <c r="K144" s="48">
        <v>0</v>
      </c>
      <c r="L144" s="48"/>
      <c r="M144" s="48">
        <v>0</v>
      </c>
      <c r="N144" s="48"/>
      <c r="O144" s="48">
        <v>207192</v>
      </c>
      <c r="P144" s="48"/>
      <c r="Q144" s="48">
        <v>0</v>
      </c>
      <c r="R144" s="48"/>
      <c r="S144" s="48">
        <f t="shared" si="3"/>
        <v>3699786</v>
      </c>
      <c r="T144" s="44"/>
      <c r="U144" s="48">
        <v>365418</v>
      </c>
      <c r="W144" s="44">
        <f>+S144-'Stmt net assets'!O144-U144</f>
        <v>0</v>
      </c>
    </row>
    <row r="145" spans="1:23" s="65" customFormat="1" ht="12.75" customHeight="1">
      <c r="A145" s="35" t="s">
        <v>172</v>
      </c>
      <c r="B145" s="51"/>
      <c r="C145" s="35" t="s">
        <v>103</v>
      </c>
      <c r="D145" s="35"/>
      <c r="E145" s="48">
        <f>2000000+5970689</f>
        <v>7970689</v>
      </c>
      <c r="F145" s="48"/>
      <c r="G145" s="48">
        <v>816800</v>
      </c>
      <c r="H145" s="48"/>
      <c r="I145" s="48">
        <v>0</v>
      </c>
      <c r="J145" s="48"/>
      <c r="K145" s="48">
        <v>0</v>
      </c>
      <c r="L145" s="48"/>
      <c r="M145" s="48">
        <v>454562</v>
      </c>
      <c r="N145" s="48"/>
      <c r="O145" s="48">
        <v>155880</v>
      </c>
      <c r="P145" s="48"/>
      <c r="Q145" s="48">
        <v>0</v>
      </c>
      <c r="R145" s="48"/>
      <c r="S145" s="48">
        <f t="shared" si="3"/>
        <v>9397931</v>
      </c>
      <c r="T145" s="44"/>
      <c r="U145" s="48">
        <v>788309</v>
      </c>
      <c r="W145" s="44">
        <f>+S145-'[3]Stmt net assets'!O145-U145</f>
        <v>0</v>
      </c>
    </row>
    <row r="146" spans="1:23" s="65" customFormat="1" ht="12.75" customHeight="1">
      <c r="A146" s="35" t="s">
        <v>66</v>
      </c>
      <c r="B146" s="51"/>
      <c r="C146" s="35" t="s">
        <v>45</v>
      </c>
      <c r="D146" s="35"/>
      <c r="E146" s="48">
        <v>4899074</v>
      </c>
      <c r="F146" s="48"/>
      <c r="G146" s="48">
        <v>139697</v>
      </c>
      <c r="H146" s="48"/>
      <c r="I146" s="48">
        <v>0</v>
      </c>
      <c r="J146" s="48"/>
      <c r="K146" s="48">
        <v>0</v>
      </c>
      <c r="L146" s="48"/>
      <c r="M146" s="48">
        <v>0</v>
      </c>
      <c r="N146" s="48"/>
      <c r="O146" s="48">
        <v>744692</v>
      </c>
      <c r="P146" s="48"/>
      <c r="Q146" s="48">
        <v>0</v>
      </c>
      <c r="R146" s="48"/>
      <c r="S146" s="48">
        <f t="shared" si="3"/>
        <v>5783463</v>
      </c>
      <c r="T146" s="44"/>
      <c r="U146" s="48">
        <v>917189</v>
      </c>
      <c r="W146" s="44">
        <f>+S146-'[3]Stmt net assets'!O146-U146</f>
        <v>0</v>
      </c>
    </row>
    <row r="147" spans="1:23" s="65" customFormat="1" ht="12.75" customHeight="1">
      <c r="A147" s="35" t="s">
        <v>173</v>
      </c>
      <c r="B147" s="51"/>
      <c r="C147" s="35" t="s">
        <v>66</v>
      </c>
      <c r="D147" s="35"/>
      <c r="E147" s="48">
        <v>0</v>
      </c>
      <c r="F147" s="48"/>
      <c r="G147" s="48">
        <v>0</v>
      </c>
      <c r="H147" s="48"/>
      <c r="I147" s="48">
        <f>5300000+207830</f>
        <v>5507830</v>
      </c>
      <c r="J147" s="48"/>
      <c r="K147" s="48">
        <v>0</v>
      </c>
      <c r="L147" s="48"/>
      <c r="M147" s="48">
        <v>693399</v>
      </c>
      <c r="N147" s="48"/>
      <c r="O147" s="48">
        <v>2712387</v>
      </c>
      <c r="P147" s="48"/>
      <c r="Q147" s="48">
        <v>0</v>
      </c>
      <c r="R147" s="48"/>
      <c r="S147" s="48">
        <f t="shared" ref="S147:S213" si="4">SUM(E147:Q147)</f>
        <v>8913616</v>
      </c>
      <c r="T147" s="44"/>
      <c r="U147" s="48">
        <v>5834502</v>
      </c>
      <c r="W147" s="44">
        <f>+S147-'[3]Stmt net assets'!O147-U147</f>
        <v>0</v>
      </c>
    </row>
    <row r="148" spans="1:23" s="65" customFormat="1" ht="12.75" customHeight="1">
      <c r="A148" s="35" t="s">
        <v>174</v>
      </c>
      <c r="B148" s="51"/>
      <c r="C148" s="35" t="s">
        <v>45</v>
      </c>
      <c r="D148" s="35"/>
      <c r="E148" s="48">
        <v>1183000</v>
      </c>
      <c r="F148" s="48"/>
      <c r="G148" s="48">
        <v>0</v>
      </c>
      <c r="H148" s="48"/>
      <c r="I148" s="48">
        <v>500000</v>
      </c>
      <c r="J148" s="48"/>
      <c r="K148" s="48">
        <v>0</v>
      </c>
      <c r="L148" s="48"/>
      <c r="M148" s="48">
        <v>6615</v>
      </c>
      <c r="N148" s="48"/>
      <c r="O148" s="48">
        <v>145125</v>
      </c>
      <c r="P148" s="48"/>
      <c r="Q148" s="48">
        <v>48119</v>
      </c>
      <c r="R148" s="48"/>
      <c r="S148" s="48">
        <f t="shared" si="4"/>
        <v>1882859</v>
      </c>
      <c r="T148" s="44"/>
      <c r="U148" s="48">
        <v>162447</v>
      </c>
      <c r="W148" s="44">
        <f>+S148-'[3]Stmt net assets'!O148-U148</f>
        <v>0</v>
      </c>
    </row>
    <row r="149" spans="1:23" s="65" customFormat="1" ht="12.75" customHeight="1">
      <c r="A149" s="35" t="s">
        <v>175</v>
      </c>
      <c r="B149" s="51"/>
      <c r="C149" s="35" t="s">
        <v>176</v>
      </c>
      <c r="D149" s="35"/>
      <c r="E149" s="48">
        <v>5420015</v>
      </c>
      <c r="F149" s="48"/>
      <c r="G149" s="48">
        <v>0</v>
      </c>
      <c r="H149" s="48"/>
      <c r="I149" s="48">
        <v>2100000</v>
      </c>
      <c r="J149" s="48"/>
      <c r="K149" s="48">
        <v>329375</v>
      </c>
      <c r="L149" s="48"/>
      <c r="M149" s="48">
        <v>0</v>
      </c>
      <c r="N149" s="48"/>
      <c r="O149" s="48">
        <v>894404</v>
      </c>
      <c r="P149" s="48"/>
      <c r="Q149" s="48">
        <v>440274</v>
      </c>
      <c r="R149" s="48"/>
      <c r="S149" s="48">
        <f>SUM(E149:Q149)</f>
        <v>9184068</v>
      </c>
      <c r="T149" s="44"/>
      <c r="U149" s="48">
        <v>2682117</v>
      </c>
      <c r="W149" s="44">
        <f>+S149-'[3]Stmt net assets'!O149-U149</f>
        <v>0</v>
      </c>
    </row>
    <row r="150" spans="1:23" s="65" customFormat="1" ht="12.75" customHeight="1">
      <c r="A150" s="35" t="s">
        <v>177</v>
      </c>
      <c r="B150" s="51"/>
      <c r="C150" s="35" t="s">
        <v>13</v>
      </c>
      <c r="D150" s="35"/>
      <c r="E150" s="48">
        <f>1835976-227651-146260</f>
        <v>1462065</v>
      </c>
      <c r="F150" s="48"/>
      <c r="G150" s="48">
        <v>0</v>
      </c>
      <c r="H150" s="48"/>
      <c r="I150" s="48">
        <v>0</v>
      </c>
      <c r="J150" s="48"/>
      <c r="K150" s="48">
        <v>0</v>
      </c>
      <c r="L150" s="48"/>
      <c r="M150" s="48">
        <v>227651</v>
      </c>
      <c r="N150" s="48"/>
      <c r="O150" s="48">
        <v>146260</v>
      </c>
      <c r="P150" s="48"/>
      <c r="Q150" s="48">
        <v>0</v>
      </c>
      <c r="R150" s="48"/>
      <c r="S150" s="48">
        <f t="shared" si="4"/>
        <v>1835976</v>
      </c>
      <c r="T150" s="44"/>
      <c r="U150" s="48">
        <v>388605</v>
      </c>
      <c r="W150" s="44">
        <f>+S150-'[3]Stmt net assets'!O150-U150</f>
        <v>0</v>
      </c>
    </row>
    <row r="151" spans="1:23" s="66" customFormat="1" ht="12.75" customHeight="1">
      <c r="A151" s="35" t="s">
        <v>178</v>
      </c>
      <c r="B151" s="51"/>
      <c r="C151" s="35" t="s">
        <v>179</v>
      </c>
      <c r="D151" s="35"/>
      <c r="E151" s="48">
        <v>605000</v>
      </c>
      <c r="F151" s="48"/>
      <c r="G151" s="48">
        <v>459353</v>
      </c>
      <c r="H151" s="48"/>
      <c r="I151" s="48">
        <v>0</v>
      </c>
      <c r="J151" s="48"/>
      <c r="K151" s="48">
        <v>111162</v>
      </c>
      <c r="L151" s="48"/>
      <c r="M151" s="48">
        <v>0</v>
      </c>
      <c r="N151" s="48"/>
      <c r="O151" s="48">
        <v>673374</v>
      </c>
      <c r="P151" s="48"/>
      <c r="Q151" s="48">
        <v>0</v>
      </c>
      <c r="R151" s="48"/>
      <c r="S151" s="48">
        <f t="shared" si="4"/>
        <v>1848889</v>
      </c>
      <c r="T151" s="44"/>
      <c r="U151" s="48">
        <v>401482</v>
      </c>
      <c r="V151" s="65"/>
      <c r="W151" s="44">
        <f>+S151-'[3]Stmt net assets'!O151-U151</f>
        <v>0</v>
      </c>
    </row>
    <row r="152" spans="1:23" s="125" customFormat="1" ht="12.75" hidden="1" customHeight="1">
      <c r="A152" s="35" t="s">
        <v>180</v>
      </c>
      <c r="B152" s="51"/>
      <c r="C152" s="35" t="s">
        <v>20</v>
      </c>
      <c r="D152" s="35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>
        <f t="shared" si="4"/>
        <v>0</v>
      </c>
      <c r="T152" s="44"/>
      <c r="U152" s="48"/>
      <c r="V152" s="65"/>
      <c r="W152" s="44">
        <f>+S152-'[3]Stmt net assets'!O152-U152</f>
        <v>0</v>
      </c>
    </row>
    <row r="153" spans="1:23" s="65" customFormat="1" ht="12.75" customHeight="1">
      <c r="A153" s="35" t="s">
        <v>182</v>
      </c>
      <c r="C153" s="35" t="s">
        <v>183</v>
      </c>
      <c r="D153" s="35"/>
      <c r="E153" s="48">
        <f>1528299-50928</f>
        <v>1477371</v>
      </c>
      <c r="F153" s="48"/>
      <c r="G153" s="48">
        <v>0</v>
      </c>
      <c r="H153" s="48"/>
      <c r="I153" s="48">
        <v>0</v>
      </c>
      <c r="J153" s="48"/>
      <c r="K153" s="48">
        <v>0</v>
      </c>
      <c r="L153" s="48"/>
      <c r="M153" s="48">
        <v>0</v>
      </c>
      <c r="N153" s="48"/>
      <c r="O153" s="48">
        <v>50928</v>
      </c>
      <c r="P153" s="48"/>
      <c r="Q153" s="48">
        <v>0</v>
      </c>
      <c r="R153" s="48"/>
      <c r="S153" s="48">
        <f t="shared" si="4"/>
        <v>1528299</v>
      </c>
      <c r="T153" s="44"/>
      <c r="U153" s="48">
        <v>121713</v>
      </c>
      <c r="W153" s="44">
        <f>+S153-'[3]Stmt net assets'!O153-U153</f>
        <v>0</v>
      </c>
    </row>
    <row r="154" spans="1:23" s="65" customFormat="1" ht="12.75" customHeight="1">
      <c r="A154" s="35" t="s">
        <v>487</v>
      </c>
      <c r="B154" s="51"/>
      <c r="C154" s="35" t="s">
        <v>13</v>
      </c>
      <c r="D154" s="35"/>
      <c r="E154" s="48">
        <v>0</v>
      </c>
      <c r="F154" s="48"/>
      <c r="G154" s="48">
        <v>0</v>
      </c>
      <c r="H154" s="48"/>
      <c r="I154" s="48">
        <v>0</v>
      </c>
      <c r="J154" s="48"/>
      <c r="K154" s="48">
        <v>0</v>
      </c>
      <c r="L154" s="48"/>
      <c r="M154" s="48">
        <v>65881</v>
      </c>
      <c r="N154" s="48"/>
      <c r="O154" s="48">
        <v>598905</v>
      </c>
      <c r="P154" s="48"/>
      <c r="Q154" s="48">
        <v>0</v>
      </c>
      <c r="R154" s="48"/>
      <c r="S154" s="48">
        <f>SUM(E154:Q154)</f>
        <v>664786</v>
      </c>
      <c r="T154" s="44"/>
      <c r="U154" s="48">
        <v>109523</v>
      </c>
      <c r="W154" s="44">
        <f>+S154-'[3]Stmt net assets'!O154-U154</f>
        <v>0</v>
      </c>
    </row>
    <row r="155" spans="1:23" s="65" customFormat="1" ht="12.75" customHeight="1">
      <c r="A155" s="35" t="s">
        <v>184</v>
      </c>
      <c r="B155" s="51"/>
      <c r="C155" s="35" t="s">
        <v>89</v>
      </c>
      <c r="D155" s="35"/>
      <c r="E155" s="48">
        <v>1985000</v>
      </c>
      <c r="F155" s="48"/>
      <c r="G155" s="48">
        <v>0</v>
      </c>
      <c r="H155" s="48"/>
      <c r="I155" s="48">
        <v>0</v>
      </c>
      <c r="J155" s="48"/>
      <c r="K155" s="48">
        <v>0</v>
      </c>
      <c r="L155" s="48"/>
      <c r="M155" s="48">
        <v>146484</v>
      </c>
      <c r="N155" s="48"/>
      <c r="O155" s="48">
        <v>1021208</v>
      </c>
      <c r="P155" s="48"/>
      <c r="Q155" s="48">
        <v>0</v>
      </c>
      <c r="R155" s="48"/>
      <c r="S155" s="48">
        <f t="shared" si="4"/>
        <v>3152692</v>
      </c>
      <c r="T155" s="44"/>
      <c r="U155" s="48">
        <v>371458</v>
      </c>
      <c r="W155" s="44">
        <f>+S155-'[3]Stmt net assets'!O155-U155</f>
        <v>0</v>
      </c>
    </row>
    <row r="156" spans="1:23" s="65" customFormat="1" ht="12.75" customHeight="1">
      <c r="A156" s="35" t="s">
        <v>181</v>
      </c>
      <c r="B156" s="51"/>
      <c r="C156" s="35" t="s">
        <v>125</v>
      </c>
      <c r="D156" s="35"/>
      <c r="E156" s="48">
        <v>14816117</v>
      </c>
      <c r="F156" s="48"/>
      <c r="G156" s="48">
        <v>0</v>
      </c>
      <c r="H156" s="48"/>
      <c r="I156" s="48">
        <v>0</v>
      </c>
      <c r="J156" s="48"/>
      <c r="K156" s="48">
        <v>0</v>
      </c>
      <c r="L156" s="48"/>
      <c r="M156" s="48">
        <v>2904221</v>
      </c>
      <c r="N156" s="48"/>
      <c r="O156" s="48">
        <v>3409376</v>
      </c>
      <c r="P156" s="48"/>
      <c r="Q156" s="48">
        <v>1974342</v>
      </c>
      <c r="R156" s="48"/>
      <c r="S156" s="48">
        <f>SUM(E156:Q156)</f>
        <v>23104056</v>
      </c>
      <c r="T156" s="44"/>
      <c r="U156" s="48">
        <v>3338217</v>
      </c>
      <c r="W156" s="44">
        <f>+S156-'[3]Stmt net assets'!O156-U156</f>
        <v>0</v>
      </c>
    </row>
    <row r="157" spans="1:23" s="65" customFormat="1" ht="12.75" customHeight="1">
      <c r="A157" s="35" t="s">
        <v>185</v>
      </c>
      <c r="B157" s="51"/>
      <c r="C157" s="35" t="s">
        <v>80</v>
      </c>
      <c r="D157" s="35"/>
      <c r="E157" s="48">
        <v>0</v>
      </c>
      <c r="F157" s="48"/>
      <c r="G157" s="48">
        <v>0</v>
      </c>
      <c r="H157" s="48"/>
      <c r="I157" s="48">
        <v>0</v>
      </c>
      <c r="J157" s="48"/>
      <c r="K157" s="48">
        <v>0</v>
      </c>
      <c r="L157" s="48"/>
      <c r="M157" s="48">
        <v>8778</v>
      </c>
      <c r="N157" s="48"/>
      <c r="O157" s="48">
        <v>1156119</v>
      </c>
      <c r="P157" s="48"/>
      <c r="Q157" s="48">
        <v>411201</v>
      </c>
      <c r="R157" s="48"/>
      <c r="S157" s="48">
        <f t="shared" si="4"/>
        <v>1576098</v>
      </c>
      <c r="T157" s="44"/>
      <c r="U157" s="48">
        <v>84912</v>
      </c>
      <c r="W157" s="44">
        <f>+S157-'[3]Stmt net assets'!O157-U157</f>
        <v>0</v>
      </c>
    </row>
    <row r="158" spans="1:23" s="65" customFormat="1" ht="12.75" customHeight="1">
      <c r="A158" s="35" t="s">
        <v>186</v>
      </c>
      <c r="B158" s="51"/>
      <c r="C158" s="35" t="s">
        <v>15</v>
      </c>
      <c r="D158" s="35"/>
      <c r="E158" s="48">
        <v>0</v>
      </c>
      <c r="F158" s="48"/>
      <c r="G158" s="48">
        <v>0</v>
      </c>
      <c r="H158" s="48"/>
      <c r="I158" s="48">
        <v>800000</v>
      </c>
      <c r="J158" s="48"/>
      <c r="K158" s="48">
        <v>0</v>
      </c>
      <c r="L158" s="48"/>
      <c r="M158" s="48">
        <v>647237</v>
      </c>
      <c r="N158" s="48"/>
      <c r="O158" s="48">
        <v>1754291</v>
      </c>
      <c r="P158" s="48"/>
      <c r="Q158" s="48">
        <v>0</v>
      </c>
      <c r="R158" s="48"/>
      <c r="S158" s="48">
        <f t="shared" si="4"/>
        <v>3201528</v>
      </c>
      <c r="T158" s="44"/>
      <c r="U158" s="48">
        <v>268857</v>
      </c>
      <c r="W158" s="44">
        <f>+S158-'[3]Stmt net assets'!O158-U158</f>
        <v>0</v>
      </c>
    </row>
    <row r="159" spans="1:23" s="65" customFormat="1" ht="12.75" customHeight="1">
      <c r="A159" s="35" t="s">
        <v>187</v>
      </c>
      <c r="C159" s="35" t="s">
        <v>27</v>
      </c>
      <c r="D159" s="35"/>
      <c r="E159" s="48">
        <v>35442003</v>
      </c>
      <c r="F159" s="48"/>
      <c r="G159" s="48">
        <v>175000</v>
      </c>
      <c r="H159" s="48"/>
      <c r="I159" s="48">
        <v>2370000</v>
      </c>
      <c r="J159" s="48"/>
      <c r="K159" s="48">
        <f>68061+99341</f>
        <v>167402</v>
      </c>
      <c r="L159" s="48"/>
      <c r="M159" s="48">
        <v>21991</v>
      </c>
      <c r="N159" s="48"/>
      <c r="O159" s="48">
        <v>4743810</v>
      </c>
      <c r="P159" s="48"/>
      <c r="Q159" s="48">
        <v>208628</v>
      </c>
      <c r="R159" s="48"/>
      <c r="S159" s="48">
        <f t="shared" si="4"/>
        <v>43128834</v>
      </c>
      <c r="T159" s="44"/>
      <c r="U159" s="48">
        <v>6359356</v>
      </c>
      <c r="W159" s="44">
        <f>+S159-'[3]Stmt net assets'!O159-U159</f>
        <v>0</v>
      </c>
    </row>
    <row r="160" spans="1:23" s="65" customFormat="1" ht="12.75" customHeight="1">
      <c r="A160" s="35" t="s">
        <v>189</v>
      </c>
      <c r="B160" s="51"/>
      <c r="C160" s="35" t="s">
        <v>17</v>
      </c>
      <c r="D160" s="35"/>
      <c r="E160" s="48">
        <v>6635000</v>
      </c>
      <c r="F160" s="48"/>
      <c r="G160" s="48">
        <v>190000</v>
      </c>
      <c r="H160" s="48"/>
      <c r="I160" s="48">
        <v>0</v>
      </c>
      <c r="J160" s="48"/>
      <c r="K160" s="48">
        <v>795919</v>
      </c>
      <c r="L160" s="48"/>
      <c r="M160" s="48">
        <v>0</v>
      </c>
      <c r="N160" s="48"/>
      <c r="O160" s="48">
        <v>3536500</v>
      </c>
      <c r="P160" s="48"/>
      <c r="Q160" s="48">
        <v>0</v>
      </c>
      <c r="R160" s="48"/>
      <c r="S160" s="48">
        <f t="shared" si="4"/>
        <v>11157419</v>
      </c>
      <c r="T160" s="44"/>
      <c r="U160" s="48">
        <v>1637477</v>
      </c>
      <c r="W160" s="44">
        <f>+S160-'[3]Stmt net assets'!O160-U160</f>
        <v>0</v>
      </c>
    </row>
    <row r="161" spans="1:23" s="65" customFormat="1" ht="12.75" customHeight="1">
      <c r="A161" s="35" t="s">
        <v>188</v>
      </c>
      <c r="B161" s="51"/>
      <c r="C161" s="35" t="s">
        <v>27</v>
      </c>
      <c r="D161" s="35"/>
      <c r="E161" s="48">
        <v>10886106</v>
      </c>
      <c r="F161" s="48"/>
      <c r="G161" s="48">
        <v>1641899</v>
      </c>
      <c r="H161" s="48"/>
      <c r="I161" s="48">
        <v>5000000</v>
      </c>
      <c r="J161" s="48"/>
      <c r="K161" s="48">
        <v>0</v>
      </c>
      <c r="L161" s="48"/>
      <c r="M161" s="48">
        <v>0</v>
      </c>
      <c r="N161" s="48"/>
      <c r="O161" s="48">
        <v>3057797</v>
      </c>
      <c r="P161" s="48"/>
      <c r="Q161" s="48">
        <f>443801+534000+125531</f>
        <v>1103332</v>
      </c>
      <c r="R161" s="48"/>
      <c r="S161" s="48">
        <f t="shared" si="4"/>
        <v>21689134</v>
      </c>
      <c r="T161" s="44"/>
      <c r="U161" s="48">
        <v>2351111</v>
      </c>
      <c r="W161" s="44">
        <f>+S161-'[3]Stmt net assets'!O161-U161</f>
        <v>0</v>
      </c>
    </row>
    <row r="162" spans="1:23" s="66" customFormat="1" ht="12.75" customHeight="1">
      <c r="A162" s="35" t="s">
        <v>190</v>
      </c>
      <c r="B162" s="51"/>
      <c r="C162" s="35" t="s">
        <v>47</v>
      </c>
      <c r="D162" s="35"/>
      <c r="E162" s="48">
        <v>2715000</v>
      </c>
      <c r="F162" s="48"/>
      <c r="G162" s="48">
        <v>0</v>
      </c>
      <c r="H162" s="48"/>
      <c r="I162" s="48">
        <v>0</v>
      </c>
      <c r="J162" s="48"/>
      <c r="K162" s="48">
        <f>879607+98585</f>
        <v>978192</v>
      </c>
      <c r="L162" s="48"/>
      <c r="M162" s="48">
        <v>0</v>
      </c>
      <c r="N162" s="48"/>
      <c r="O162" s="48">
        <v>365228</v>
      </c>
      <c r="P162" s="48"/>
      <c r="Q162" s="48"/>
      <c r="R162" s="48"/>
      <c r="S162" s="48">
        <f t="shared" si="4"/>
        <v>4058420</v>
      </c>
      <c r="T162" s="44"/>
      <c r="U162" s="48">
        <v>284002</v>
      </c>
      <c r="V162" s="65"/>
      <c r="W162" s="44">
        <f>+S162-'[3]Stmt net assets'!O162-U162</f>
        <v>0</v>
      </c>
    </row>
    <row r="163" spans="1:23" s="65" customFormat="1" ht="12.75" customHeight="1">
      <c r="A163" s="35" t="s">
        <v>191</v>
      </c>
      <c r="B163" s="51"/>
      <c r="C163" s="35" t="s">
        <v>13</v>
      </c>
      <c r="D163" s="35"/>
      <c r="E163" s="48">
        <v>2641884</v>
      </c>
      <c r="F163" s="48"/>
      <c r="G163" s="48">
        <v>758116</v>
      </c>
      <c r="H163" s="48"/>
      <c r="I163" s="48">
        <v>0</v>
      </c>
      <c r="J163" s="48"/>
      <c r="K163" s="48">
        <v>0</v>
      </c>
      <c r="L163" s="48"/>
      <c r="M163" s="48">
        <v>9364</v>
      </c>
      <c r="N163" s="48"/>
      <c r="O163" s="48">
        <v>690242</v>
      </c>
      <c r="P163" s="48"/>
      <c r="Q163" s="48">
        <v>70000</v>
      </c>
      <c r="R163" s="48"/>
      <c r="S163" s="48">
        <f t="shared" si="4"/>
        <v>4169606</v>
      </c>
      <c r="T163" s="44"/>
      <c r="U163" s="48">
        <v>524982</v>
      </c>
      <c r="W163" s="44">
        <f>+S163-'[3]Stmt net assets'!O163-U163</f>
        <v>0</v>
      </c>
    </row>
    <row r="164" spans="1:23" s="65" customFormat="1" ht="12.75" customHeight="1">
      <c r="A164" s="35" t="s">
        <v>192</v>
      </c>
      <c r="C164" s="35" t="s">
        <v>38</v>
      </c>
      <c r="D164" s="35"/>
      <c r="E164" s="48">
        <v>592062</v>
      </c>
      <c r="F164" s="48"/>
      <c r="G164" s="48">
        <v>0</v>
      </c>
      <c r="H164" s="48"/>
      <c r="I164" s="48">
        <v>0</v>
      </c>
      <c r="J164" s="48"/>
      <c r="K164" s="48">
        <v>376219</v>
      </c>
      <c r="L164" s="48"/>
      <c r="M164" s="48">
        <v>0</v>
      </c>
      <c r="N164" s="48"/>
      <c r="O164" s="48">
        <v>919979</v>
      </c>
      <c r="P164" s="48"/>
      <c r="Q164" s="48">
        <f>878869+440572</f>
        <v>1319441</v>
      </c>
      <c r="R164" s="48"/>
      <c r="S164" s="48">
        <f>SUM(E164:Q164)</f>
        <v>3207701</v>
      </c>
      <c r="T164" s="44"/>
      <c r="U164" s="48">
        <v>526998</v>
      </c>
      <c r="W164" s="44">
        <f>+S164-'[3]Stmt net assets'!O164-U164</f>
        <v>0</v>
      </c>
    </row>
    <row r="165" spans="1:23" s="125" customFormat="1" ht="12.75" hidden="1" customHeight="1">
      <c r="A165" s="35" t="s">
        <v>193</v>
      </c>
      <c r="B165" s="51"/>
      <c r="C165" s="35" t="s">
        <v>45</v>
      </c>
      <c r="D165" s="35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>
        <f t="shared" si="4"/>
        <v>0</v>
      </c>
      <c r="T165" s="44"/>
      <c r="U165" s="48"/>
      <c r="V165" s="65"/>
      <c r="W165" s="44">
        <f>+S165-'[3]Stmt net assets'!O165-U165</f>
        <v>0</v>
      </c>
    </row>
    <row r="166" spans="1:23" s="65" customFormat="1" ht="12.75" customHeight="1">
      <c r="A166" s="35" t="s">
        <v>194</v>
      </c>
      <c r="B166" s="51"/>
      <c r="C166" s="35" t="s">
        <v>66</v>
      </c>
      <c r="D166" s="35"/>
      <c r="E166" s="48">
        <v>0</v>
      </c>
      <c r="F166" s="48"/>
      <c r="G166" s="48">
        <v>0</v>
      </c>
      <c r="H166" s="48"/>
      <c r="I166" s="48">
        <v>0</v>
      </c>
      <c r="J166" s="48"/>
      <c r="K166" s="48">
        <v>0</v>
      </c>
      <c r="L166" s="48"/>
      <c r="M166" s="48">
        <v>0</v>
      </c>
      <c r="N166" s="48"/>
      <c r="O166" s="48">
        <v>559240</v>
      </c>
      <c r="P166" s="48"/>
      <c r="Q166" s="48">
        <v>567682</v>
      </c>
      <c r="R166" s="48"/>
      <c r="S166" s="48">
        <f t="shared" si="4"/>
        <v>1126922</v>
      </c>
      <c r="T166" s="44"/>
      <c r="U166" s="48">
        <v>96731</v>
      </c>
      <c r="W166" s="44">
        <f>+S166-'[3]Stmt net assets'!O166-U166</f>
        <v>0</v>
      </c>
    </row>
    <row r="167" spans="1:23" s="65" customFormat="1" ht="12.75" customHeight="1">
      <c r="A167" s="64" t="s">
        <v>195</v>
      </c>
      <c r="B167" s="66"/>
      <c r="C167" s="64" t="s">
        <v>17</v>
      </c>
      <c r="D167" s="64"/>
      <c r="E167" s="48">
        <v>4438530</v>
      </c>
      <c r="F167" s="48"/>
      <c r="G167" s="48">
        <v>0</v>
      </c>
      <c r="H167" s="48"/>
      <c r="I167" s="48">
        <v>0</v>
      </c>
      <c r="J167" s="48"/>
      <c r="K167" s="48">
        <v>49775</v>
      </c>
      <c r="L167" s="48"/>
      <c r="M167" s="48">
        <v>0</v>
      </c>
      <c r="N167" s="48"/>
      <c r="O167" s="48">
        <v>615707</v>
      </c>
      <c r="P167" s="48"/>
      <c r="Q167" s="48">
        <v>0</v>
      </c>
      <c r="R167" s="48"/>
      <c r="S167" s="48">
        <f t="shared" si="4"/>
        <v>5104012</v>
      </c>
      <c r="T167" s="44"/>
      <c r="U167" s="48">
        <v>591077</v>
      </c>
      <c r="W167" s="44">
        <f>+S167-'[3]Stmt net assets'!O167-U167</f>
        <v>0</v>
      </c>
    </row>
    <row r="168" spans="1:23" s="65" customFormat="1" ht="12.75" hidden="1" customHeight="1">
      <c r="A168" s="35" t="s">
        <v>196</v>
      </c>
      <c r="B168" s="51"/>
      <c r="C168" s="35" t="s">
        <v>27</v>
      </c>
      <c r="D168" s="35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>
        <f t="shared" si="4"/>
        <v>0</v>
      </c>
      <c r="T168" s="44"/>
      <c r="U168" s="48"/>
      <c r="W168" s="44">
        <f>+S168-'[3]Stmt net assets'!O168-U168</f>
        <v>0</v>
      </c>
    </row>
    <row r="169" spans="1:23" s="125" customFormat="1" ht="12.75" hidden="1" customHeight="1">
      <c r="A169" s="35" t="s">
        <v>386</v>
      </c>
      <c r="B169" s="51"/>
      <c r="C169" s="35" t="s">
        <v>153</v>
      </c>
      <c r="D169" s="35"/>
      <c r="E169" s="48">
        <v>0</v>
      </c>
      <c r="F169" s="48"/>
      <c r="G169" s="48">
        <v>0</v>
      </c>
      <c r="H169" s="48"/>
      <c r="I169" s="48">
        <v>0</v>
      </c>
      <c r="J169" s="48"/>
      <c r="K169" s="48">
        <v>0</v>
      </c>
      <c r="L169" s="48"/>
      <c r="M169" s="48">
        <f>76858+19643</f>
        <v>96501</v>
      </c>
      <c r="N169" s="48"/>
      <c r="O169" s="48">
        <v>248398</v>
      </c>
      <c r="P169" s="48"/>
      <c r="Q169" s="48">
        <v>0</v>
      </c>
      <c r="R169" s="48"/>
      <c r="S169" s="48">
        <f t="shared" si="4"/>
        <v>344899</v>
      </c>
      <c r="T169" s="44"/>
      <c r="U169" s="48">
        <v>88974</v>
      </c>
      <c r="V169" s="65"/>
      <c r="W169" s="44">
        <f>+S169-'[3]Stmt net assets'!O169-U169</f>
        <v>0</v>
      </c>
    </row>
    <row r="170" spans="1:23" s="65" customFormat="1" ht="12.75" customHeight="1">
      <c r="A170" s="35" t="s">
        <v>197</v>
      </c>
      <c r="B170" s="51"/>
      <c r="C170" s="35" t="s">
        <v>163</v>
      </c>
      <c r="D170" s="35"/>
      <c r="E170" s="48">
        <v>1542513</v>
      </c>
      <c r="F170" s="48"/>
      <c r="G170" s="48">
        <v>1079414</v>
      </c>
      <c r="H170" s="48"/>
      <c r="I170" s="48">
        <v>144787</v>
      </c>
      <c r="J170" s="48"/>
      <c r="K170" s="48">
        <f>1804182+8989785</f>
        <v>10793967</v>
      </c>
      <c r="L170" s="48"/>
      <c r="M170" s="48">
        <v>0</v>
      </c>
      <c r="N170" s="48"/>
      <c r="O170" s="48">
        <v>2020360</v>
      </c>
      <c r="P170" s="48"/>
      <c r="Q170" s="48">
        <f>50313+52477</f>
        <v>102790</v>
      </c>
      <c r="R170" s="48"/>
      <c r="S170" s="48">
        <f>SUM(E170:Q170)</f>
        <v>15683831</v>
      </c>
      <c r="T170" s="44"/>
      <c r="U170" s="48">
        <v>1864848</v>
      </c>
      <c r="W170" s="44">
        <f>+S170-'[3]Stmt net assets'!O170-U170</f>
        <v>0</v>
      </c>
    </row>
    <row r="171" spans="1:23" s="65" customFormat="1" ht="12.75" customHeight="1">
      <c r="A171" s="35" t="s">
        <v>198</v>
      </c>
      <c r="B171" s="51"/>
      <c r="C171" s="35" t="s">
        <v>199</v>
      </c>
      <c r="D171" s="35"/>
      <c r="E171" s="48">
        <v>0</v>
      </c>
      <c r="F171" s="48"/>
      <c r="G171" s="48">
        <v>82920</v>
      </c>
      <c r="H171" s="48"/>
      <c r="I171" s="48">
        <v>0</v>
      </c>
      <c r="J171" s="48"/>
      <c r="K171" s="48">
        <v>0</v>
      </c>
      <c r="L171" s="48"/>
      <c r="M171" s="48">
        <v>0</v>
      </c>
      <c r="N171" s="48"/>
      <c r="O171" s="48">
        <v>114900</v>
      </c>
      <c r="P171" s="48"/>
      <c r="Q171" s="48">
        <v>0</v>
      </c>
      <c r="R171" s="48"/>
      <c r="S171" s="48">
        <f t="shared" si="4"/>
        <v>197820</v>
      </c>
      <c r="T171" s="44"/>
      <c r="U171" s="48">
        <v>120055</v>
      </c>
      <c r="W171" s="44">
        <f>+S171-'[3]Stmt net assets'!O171-U171</f>
        <v>0</v>
      </c>
    </row>
    <row r="172" spans="1:23" s="65" customFormat="1" ht="12.75" customHeight="1">
      <c r="A172" s="35" t="s">
        <v>200</v>
      </c>
      <c r="B172" s="51"/>
      <c r="C172" s="35" t="s">
        <v>103</v>
      </c>
      <c r="D172" s="35"/>
      <c r="E172" s="48">
        <v>2635000</v>
      </c>
      <c r="F172" s="48"/>
      <c r="G172" s="48">
        <v>0</v>
      </c>
      <c r="H172" s="48"/>
      <c r="I172" s="48">
        <v>2000000</v>
      </c>
      <c r="J172" s="48"/>
      <c r="K172" s="48">
        <v>0</v>
      </c>
      <c r="L172" s="48"/>
      <c r="M172" s="48">
        <v>0</v>
      </c>
      <c r="N172" s="48"/>
      <c r="O172" s="48">
        <v>493824</v>
      </c>
      <c r="P172" s="48"/>
      <c r="Q172" s="48">
        <v>0</v>
      </c>
      <c r="R172" s="48"/>
      <c r="S172" s="48">
        <f t="shared" si="4"/>
        <v>5128824</v>
      </c>
      <c r="T172" s="44"/>
      <c r="U172" s="48">
        <v>890905</v>
      </c>
      <c r="W172" s="44">
        <f>+S172-'[3]Stmt net assets'!O172-U172</f>
        <v>0</v>
      </c>
    </row>
    <row r="173" spans="1:23" s="65" customFormat="1" ht="12.75" customHeight="1">
      <c r="A173" s="35" t="s">
        <v>201</v>
      </c>
      <c r="B173" s="51"/>
      <c r="C173" s="35" t="s">
        <v>92</v>
      </c>
      <c r="D173" s="35"/>
      <c r="E173" s="48">
        <v>1975000</v>
      </c>
      <c r="F173" s="48"/>
      <c r="G173" s="48">
        <v>370000</v>
      </c>
      <c r="H173" s="48"/>
      <c r="I173" s="48">
        <v>0</v>
      </c>
      <c r="J173" s="48"/>
      <c r="K173" s="48">
        <v>15000</v>
      </c>
      <c r="L173" s="48"/>
      <c r="M173" s="48">
        <v>905656</v>
      </c>
      <c r="N173" s="48"/>
      <c r="O173" s="48">
        <v>1739931</v>
      </c>
      <c r="P173" s="48"/>
      <c r="Q173" s="48">
        <f>489012+772715+189795+1216</f>
        <v>1452738</v>
      </c>
      <c r="R173" s="48"/>
      <c r="S173" s="48">
        <f>SUM(E173:Q173)</f>
        <v>6458325</v>
      </c>
      <c r="T173" s="44"/>
      <c r="U173" s="48">
        <v>540518</v>
      </c>
      <c r="W173" s="44">
        <f>+S173-'[3]Stmt net assets'!O173-U173</f>
        <v>0</v>
      </c>
    </row>
    <row r="174" spans="1:23" s="65" customFormat="1" ht="12.75" hidden="1" customHeight="1">
      <c r="A174" s="35" t="s">
        <v>202</v>
      </c>
      <c r="B174" s="51"/>
      <c r="C174" s="35" t="s">
        <v>27</v>
      </c>
      <c r="D174" s="35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>
        <f>SUM(E174:Q174)</f>
        <v>0</v>
      </c>
      <c r="T174" s="44"/>
      <c r="U174" s="48"/>
      <c r="W174" s="44">
        <f>+S174-'[3]Stmt net assets'!O174-U174</f>
        <v>0</v>
      </c>
    </row>
    <row r="175" spans="1:23" s="65" customFormat="1" ht="12.75" customHeight="1">
      <c r="A175" s="35" t="s">
        <v>203</v>
      </c>
      <c r="B175" s="51"/>
      <c r="C175" s="35" t="s">
        <v>27</v>
      </c>
      <c r="D175" s="35"/>
      <c r="E175" s="48">
        <v>5495000</v>
      </c>
      <c r="F175" s="48"/>
      <c r="G175" s="48">
        <v>287861</v>
      </c>
      <c r="H175" s="48"/>
      <c r="I175" s="48">
        <v>0</v>
      </c>
      <c r="J175" s="48"/>
      <c r="K175" s="48">
        <f>732246+85484</f>
        <v>817730</v>
      </c>
      <c r="L175" s="48"/>
      <c r="M175" s="48">
        <v>530326</v>
      </c>
      <c r="N175" s="48"/>
      <c r="O175" s="48">
        <v>992304</v>
      </c>
      <c r="P175" s="48"/>
      <c r="Q175" s="48">
        <v>0</v>
      </c>
      <c r="R175" s="48"/>
      <c r="S175" s="48">
        <f>SUM(E175:Q175)</f>
        <v>8123221</v>
      </c>
      <c r="T175" s="44"/>
      <c r="U175" s="48">
        <v>713464</v>
      </c>
      <c r="W175" s="44">
        <f>+S175-'[3]Stmt net assets'!O175-U175</f>
        <v>0</v>
      </c>
    </row>
    <row r="176" spans="1:23" s="65" customFormat="1" ht="12.75" customHeight="1">
      <c r="A176" s="35" t="s">
        <v>204</v>
      </c>
      <c r="B176" s="51"/>
      <c r="C176" s="35" t="s">
        <v>125</v>
      </c>
      <c r="D176" s="35"/>
      <c r="E176" s="48">
        <v>92355</v>
      </c>
      <c r="F176" s="48"/>
      <c r="G176" s="48">
        <v>0</v>
      </c>
      <c r="H176" s="48"/>
      <c r="I176" s="48">
        <v>0</v>
      </c>
      <c r="J176" s="48"/>
      <c r="K176" s="48">
        <v>0</v>
      </c>
      <c r="L176" s="48"/>
      <c r="M176" s="48">
        <v>253537</v>
      </c>
      <c r="N176" s="48"/>
      <c r="O176" s="48">
        <v>78508</v>
      </c>
      <c r="P176" s="48"/>
      <c r="Q176" s="48">
        <v>0</v>
      </c>
      <c r="R176" s="48"/>
      <c r="S176" s="48">
        <f t="shared" si="4"/>
        <v>424400</v>
      </c>
      <c r="T176" s="44"/>
      <c r="U176" s="48">
        <v>139875</v>
      </c>
      <c r="W176" s="44">
        <f>+S176-'[3]Stmt net assets'!O176-U176</f>
        <v>0</v>
      </c>
    </row>
    <row r="177" spans="1:25" s="65" customFormat="1" ht="12.75" customHeight="1">
      <c r="A177" s="35" t="s">
        <v>205</v>
      </c>
      <c r="B177" s="51"/>
      <c r="C177" s="35" t="s">
        <v>27</v>
      </c>
      <c r="D177" s="35"/>
      <c r="E177" s="48">
        <v>5990000</v>
      </c>
      <c r="F177" s="48"/>
      <c r="G177" s="48">
        <v>0</v>
      </c>
      <c r="H177" s="48"/>
      <c r="I177" s="48">
        <v>0</v>
      </c>
      <c r="J177" s="48"/>
      <c r="K177" s="48">
        <v>989340</v>
      </c>
      <c r="L177" s="48"/>
      <c r="M177" s="48">
        <v>0</v>
      </c>
      <c r="N177" s="48"/>
      <c r="O177" s="48">
        <v>314570</v>
      </c>
      <c r="P177" s="48"/>
      <c r="Q177" s="48">
        <v>0</v>
      </c>
      <c r="R177" s="48"/>
      <c r="S177" s="48">
        <f t="shared" si="4"/>
        <v>7293910</v>
      </c>
      <c r="T177" s="44"/>
      <c r="U177" s="48">
        <v>568407</v>
      </c>
      <c r="W177" s="44">
        <f>+S177-'[3]Stmt net assets'!O177-U177</f>
        <v>0</v>
      </c>
    </row>
    <row r="178" spans="1:25" s="65" customFormat="1" ht="12.75" customHeight="1">
      <c r="A178" s="35" t="s">
        <v>206</v>
      </c>
      <c r="B178" s="51"/>
      <c r="C178" s="35" t="s">
        <v>47</v>
      </c>
      <c r="D178" s="35"/>
      <c r="E178" s="48">
        <v>0</v>
      </c>
      <c r="F178" s="48"/>
      <c r="G178" s="48">
        <v>0</v>
      </c>
      <c r="H178" s="48"/>
      <c r="I178" s="48">
        <v>0</v>
      </c>
      <c r="J178" s="48"/>
      <c r="K178" s="48">
        <v>0</v>
      </c>
      <c r="L178" s="48"/>
      <c r="M178" s="48">
        <v>0</v>
      </c>
      <c r="N178" s="48"/>
      <c r="O178" s="48">
        <v>818375</v>
      </c>
      <c r="P178" s="48"/>
      <c r="Q178" s="48">
        <v>0</v>
      </c>
      <c r="R178" s="48"/>
      <c r="S178" s="48">
        <f t="shared" si="4"/>
        <v>818375</v>
      </c>
      <c r="T178" s="44"/>
      <c r="U178" s="48">
        <v>320086</v>
      </c>
      <c r="W178" s="44">
        <f>+S178-'[3]Stmt net assets'!O178-U178</f>
        <v>0</v>
      </c>
    </row>
    <row r="179" spans="1:25" s="65" customFormat="1" ht="12.75" customHeight="1">
      <c r="A179" s="35" t="s">
        <v>207</v>
      </c>
      <c r="B179" s="51"/>
      <c r="C179" s="35" t="s">
        <v>102</v>
      </c>
      <c r="D179" s="35"/>
      <c r="E179" s="48">
        <v>1369768</v>
      </c>
      <c r="F179" s="48"/>
      <c r="G179" s="48">
        <v>0</v>
      </c>
      <c r="H179" s="48"/>
      <c r="I179" s="48">
        <v>3475000</v>
      </c>
      <c r="J179" s="48"/>
      <c r="K179" s="48">
        <v>6070951</v>
      </c>
      <c r="L179" s="48"/>
      <c r="M179" s="48">
        <v>3746958</v>
      </c>
      <c r="N179" s="48"/>
      <c r="O179" s="48">
        <v>646438</v>
      </c>
      <c r="P179" s="48"/>
      <c r="Q179" s="48">
        <v>0</v>
      </c>
      <c r="R179" s="48"/>
      <c r="S179" s="48">
        <f t="shared" si="4"/>
        <v>15309115</v>
      </c>
      <c r="T179" s="44"/>
      <c r="U179" s="48">
        <v>1035003</v>
      </c>
      <c r="W179" s="44">
        <f>+S179-'[3]Stmt net assets'!O179-U179</f>
        <v>0</v>
      </c>
    </row>
    <row r="180" spans="1:25" s="65" customFormat="1" ht="12.75" customHeight="1">
      <c r="A180" s="35" t="s">
        <v>208</v>
      </c>
      <c r="B180" s="51"/>
      <c r="C180" s="35" t="s">
        <v>209</v>
      </c>
      <c r="D180" s="35"/>
      <c r="E180" s="48">
        <v>1000000</v>
      </c>
      <c r="F180" s="48"/>
      <c r="G180" s="48">
        <f>2210000+91397</f>
        <v>2301397</v>
      </c>
      <c r="H180" s="48"/>
      <c r="I180" s="48">
        <v>486977</v>
      </c>
      <c r="J180" s="48"/>
      <c r="K180" s="48">
        <v>0</v>
      </c>
      <c r="L180" s="48"/>
      <c r="M180" s="48">
        <v>28809</v>
      </c>
      <c r="N180" s="48"/>
      <c r="O180" s="48">
        <v>1972449</v>
      </c>
      <c r="P180" s="48"/>
      <c r="Q180" s="48">
        <f>17176+335000</f>
        <v>352176</v>
      </c>
      <c r="R180" s="48"/>
      <c r="S180" s="48">
        <f t="shared" si="4"/>
        <v>6141808</v>
      </c>
      <c r="T180" s="44"/>
      <c r="U180" s="48">
        <v>1342824</v>
      </c>
      <c r="W180" s="44">
        <f>+S180-'[3]Stmt net assets'!O180-U180</f>
        <v>0</v>
      </c>
    </row>
    <row r="181" spans="1:25" s="65" customFormat="1" ht="12.75" customHeight="1">
      <c r="A181" s="44" t="s">
        <v>210</v>
      </c>
      <c r="B181" s="51"/>
      <c r="C181" s="44" t="s">
        <v>211</v>
      </c>
      <c r="D181" s="44"/>
      <c r="E181" s="48">
        <v>206538</v>
      </c>
      <c r="F181" s="48"/>
      <c r="G181" s="48">
        <v>80462</v>
      </c>
      <c r="H181" s="48"/>
      <c r="I181" s="48">
        <v>0</v>
      </c>
      <c r="J181" s="48"/>
      <c r="K181" s="48">
        <v>0</v>
      </c>
      <c r="L181" s="48"/>
      <c r="M181" s="48">
        <v>282432</v>
      </c>
      <c r="N181" s="48"/>
      <c r="O181" s="48">
        <v>126022</v>
      </c>
      <c r="P181" s="48"/>
      <c r="Q181" s="48">
        <v>0</v>
      </c>
      <c r="R181" s="48"/>
      <c r="S181" s="48">
        <f t="shared" si="4"/>
        <v>695454</v>
      </c>
      <c r="T181" s="44"/>
      <c r="U181" s="48">
        <v>153578</v>
      </c>
      <c r="W181" s="44">
        <f>+S181-'[3]Stmt net assets'!O181-U181</f>
        <v>0</v>
      </c>
      <c r="X181" s="66"/>
      <c r="Y181" s="66"/>
    </row>
    <row r="182" spans="1:25" s="65" customFormat="1" ht="12.75" customHeight="1">
      <c r="A182" s="44" t="s">
        <v>212</v>
      </c>
      <c r="B182" s="51"/>
      <c r="C182" s="44" t="s">
        <v>213</v>
      </c>
      <c r="D182" s="44"/>
      <c r="E182" s="48">
        <v>1760000</v>
      </c>
      <c r="F182" s="48"/>
      <c r="G182" s="48">
        <v>0</v>
      </c>
      <c r="H182" s="48"/>
      <c r="I182" s="48">
        <v>0</v>
      </c>
      <c r="J182" s="48"/>
      <c r="K182" s="48">
        <v>0</v>
      </c>
      <c r="L182" s="48"/>
      <c r="M182" s="48">
        <v>1021742</v>
      </c>
      <c r="N182" s="48"/>
      <c r="O182" s="48">
        <v>665046</v>
      </c>
      <c r="P182" s="48"/>
      <c r="Q182" s="48">
        <v>0</v>
      </c>
      <c r="R182" s="48"/>
      <c r="S182" s="48">
        <f t="shared" si="4"/>
        <v>3446788</v>
      </c>
      <c r="T182" s="44"/>
      <c r="U182" s="48">
        <v>303675</v>
      </c>
      <c r="W182" s="44">
        <f>+S182-'[3]Stmt net assets'!O182-U182</f>
        <v>0</v>
      </c>
    </row>
    <row r="183" spans="1:25" s="65" customFormat="1" ht="12.75" customHeight="1">
      <c r="A183" s="44" t="s">
        <v>214</v>
      </c>
      <c r="B183" s="51"/>
      <c r="C183" s="44" t="s">
        <v>86</v>
      </c>
      <c r="D183" s="44"/>
      <c r="E183" s="48">
        <v>25980000</v>
      </c>
      <c r="F183" s="48"/>
      <c r="G183" s="48">
        <v>0</v>
      </c>
      <c r="H183" s="48"/>
      <c r="I183" s="48">
        <v>0</v>
      </c>
      <c r="J183" s="48"/>
      <c r="K183" s="48">
        <v>0</v>
      </c>
      <c r="L183" s="48"/>
      <c r="M183" s="48">
        <v>0</v>
      </c>
      <c r="N183" s="48"/>
      <c r="O183" s="48">
        <v>178444</v>
      </c>
      <c r="P183" s="48"/>
      <c r="Q183" s="48">
        <v>0</v>
      </c>
      <c r="R183" s="48"/>
      <c r="S183" s="48">
        <f t="shared" si="4"/>
        <v>26158444</v>
      </c>
      <c r="T183" s="44"/>
      <c r="U183" s="48">
        <f>1536473-117457</f>
        <v>1419016</v>
      </c>
      <c r="W183" s="44">
        <f>+S183-'[3]Stmt net assets'!O183-U183</f>
        <v>0</v>
      </c>
    </row>
    <row r="184" spans="1:25" s="65" customFormat="1" ht="12.75" customHeight="1">
      <c r="A184" s="35" t="s">
        <v>215</v>
      </c>
      <c r="C184" s="35" t="s">
        <v>22</v>
      </c>
      <c r="D184" s="35"/>
      <c r="E184" s="48">
        <v>948073</v>
      </c>
      <c r="F184" s="48"/>
      <c r="G184" s="48">
        <f>271927+4843447</f>
        <v>5115374</v>
      </c>
      <c r="H184" s="48"/>
      <c r="I184" s="48">
        <v>0</v>
      </c>
      <c r="J184" s="48"/>
      <c r="K184" s="48">
        <v>0</v>
      </c>
      <c r="L184" s="48"/>
      <c r="M184" s="48">
        <v>845356</v>
      </c>
      <c r="N184" s="48"/>
      <c r="O184" s="48">
        <v>1082197</v>
      </c>
      <c r="P184" s="48"/>
      <c r="Q184" s="48">
        <v>98544</v>
      </c>
      <c r="R184" s="48"/>
      <c r="S184" s="48">
        <f t="shared" si="4"/>
        <v>8089544</v>
      </c>
      <c r="T184" s="44"/>
      <c r="U184" s="48">
        <v>802760</v>
      </c>
      <c r="W184" s="44">
        <f>+S184-'[3]Stmt net assets'!O184-U184</f>
        <v>0</v>
      </c>
    </row>
    <row r="185" spans="1:25" s="65" customFormat="1" ht="12.75" customHeight="1">
      <c r="A185" s="35" t="s">
        <v>216</v>
      </c>
      <c r="B185" s="51"/>
      <c r="C185" s="35" t="s">
        <v>45</v>
      </c>
      <c r="D185" s="35"/>
      <c r="E185" s="48">
        <v>1250000</v>
      </c>
      <c r="F185" s="48"/>
      <c r="G185" s="48">
        <v>0</v>
      </c>
      <c r="H185" s="48"/>
      <c r="I185" s="48">
        <v>0</v>
      </c>
      <c r="J185" s="48"/>
      <c r="K185" s="48">
        <v>0</v>
      </c>
      <c r="L185" s="48"/>
      <c r="M185" s="48">
        <v>64917</v>
      </c>
      <c r="N185" s="48"/>
      <c r="O185" s="48">
        <v>832063</v>
      </c>
      <c r="P185" s="48"/>
      <c r="Q185" s="48">
        <v>0</v>
      </c>
      <c r="R185" s="48"/>
      <c r="S185" s="48">
        <f t="shared" si="4"/>
        <v>2146980</v>
      </c>
      <c r="T185" s="44"/>
      <c r="U185" s="48">
        <v>443693</v>
      </c>
      <c r="W185" s="44">
        <f>+S185-'[3]Stmt net assets'!O185-U185</f>
        <v>0</v>
      </c>
    </row>
    <row r="186" spans="1:25" s="65" customFormat="1" ht="12.75" customHeight="1">
      <c r="A186" s="35" t="s">
        <v>217</v>
      </c>
      <c r="B186" s="51"/>
      <c r="C186" s="35" t="s">
        <v>43</v>
      </c>
      <c r="D186" s="35"/>
      <c r="E186" s="48">
        <v>24624368</v>
      </c>
      <c r="F186" s="48"/>
      <c r="G186" s="48">
        <v>0</v>
      </c>
      <c r="H186" s="48"/>
      <c r="I186" s="48">
        <v>0</v>
      </c>
      <c r="J186" s="48"/>
      <c r="K186" s="48">
        <v>3440153</v>
      </c>
      <c r="L186" s="48"/>
      <c r="M186" s="48">
        <v>0</v>
      </c>
      <c r="N186" s="48"/>
      <c r="O186" s="48">
        <v>941206</v>
      </c>
      <c r="P186" s="48"/>
      <c r="Q186" s="48">
        <v>213762</v>
      </c>
      <c r="R186" s="48"/>
      <c r="S186" s="48">
        <f t="shared" si="4"/>
        <v>29219489</v>
      </c>
      <c r="T186" s="44"/>
      <c r="U186" s="48">
        <v>2068713</v>
      </c>
      <c r="W186" s="44">
        <f>+S186-'[3]Stmt net assets'!O186-U186</f>
        <v>0</v>
      </c>
    </row>
    <row r="187" spans="1:25" s="65" customFormat="1" ht="12.75" hidden="1" customHeight="1">
      <c r="A187" s="35" t="s">
        <v>218</v>
      </c>
      <c r="B187" s="51"/>
      <c r="C187" s="35" t="s">
        <v>27</v>
      </c>
      <c r="D187" s="35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>
        <f t="shared" si="4"/>
        <v>0</v>
      </c>
      <c r="T187" s="44"/>
      <c r="U187" s="48"/>
      <c r="W187" s="44">
        <f>+S187-'[3]Stmt net assets'!O187-U187</f>
        <v>0</v>
      </c>
    </row>
    <row r="188" spans="1:25" s="65" customFormat="1" ht="12.75" customHeight="1">
      <c r="A188" s="35" t="s">
        <v>219</v>
      </c>
      <c r="B188" s="51"/>
      <c r="C188" s="35" t="s">
        <v>199</v>
      </c>
      <c r="D188" s="35"/>
      <c r="E188" s="48">
        <v>1120000</v>
      </c>
      <c r="F188" s="48"/>
      <c r="G188" s="48">
        <v>43208</v>
      </c>
      <c r="H188" s="48"/>
      <c r="I188" s="48">
        <v>0</v>
      </c>
      <c r="J188" s="48"/>
      <c r="K188" s="48">
        <v>0</v>
      </c>
      <c r="L188" s="48"/>
      <c r="M188" s="48">
        <v>50479</v>
      </c>
      <c r="N188" s="48"/>
      <c r="O188" s="48">
        <v>129823</v>
      </c>
      <c r="P188" s="48"/>
      <c r="Q188" s="48">
        <v>0</v>
      </c>
      <c r="R188" s="48"/>
      <c r="S188" s="48">
        <f t="shared" si="4"/>
        <v>1343510</v>
      </c>
      <c r="T188" s="44"/>
      <c r="U188" s="48">
        <v>151736</v>
      </c>
      <c r="W188" s="44">
        <f>+S188-'[3]Stmt net assets'!O188-U188</f>
        <v>0</v>
      </c>
    </row>
    <row r="189" spans="1:25" s="65" customFormat="1" ht="12.75" customHeight="1">
      <c r="A189" s="35" t="s">
        <v>220</v>
      </c>
      <c r="B189" s="51"/>
      <c r="C189" s="35" t="s">
        <v>66</v>
      </c>
      <c r="D189" s="35"/>
      <c r="E189" s="48">
        <v>1507929</v>
      </c>
      <c r="F189" s="48"/>
      <c r="G189" s="48">
        <v>0</v>
      </c>
      <c r="H189" s="48"/>
      <c r="I189" s="48">
        <v>20370</v>
      </c>
      <c r="J189" s="48"/>
      <c r="K189" s="48">
        <v>0</v>
      </c>
      <c r="L189" s="48"/>
      <c r="M189" s="48">
        <v>10609</v>
      </c>
      <c r="N189" s="48"/>
      <c r="O189" s="48">
        <v>179750</v>
      </c>
      <c r="P189" s="48"/>
      <c r="Q189" s="48">
        <v>0</v>
      </c>
      <c r="R189" s="48"/>
      <c r="S189" s="48">
        <f t="shared" si="4"/>
        <v>1718658</v>
      </c>
      <c r="T189" s="44"/>
      <c r="U189" s="48">
        <v>406099</v>
      </c>
      <c r="W189" s="44">
        <f>+S189-'[3]Stmt net assets'!O189-U189</f>
        <v>0</v>
      </c>
    </row>
    <row r="190" spans="1:25" s="65" customFormat="1" ht="12.75" customHeight="1">
      <c r="A190" s="35" t="s">
        <v>221</v>
      </c>
      <c r="B190" s="51"/>
      <c r="C190" s="35" t="s">
        <v>27</v>
      </c>
      <c r="D190" s="35"/>
      <c r="E190" s="48">
        <v>18950140</v>
      </c>
      <c r="F190" s="48"/>
      <c r="G190" s="48">
        <v>630000</v>
      </c>
      <c r="H190" s="48"/>
      <c r="I190" s="48">
        <v>0</v>
      </c>
      <c r="J190" s="48"/>
      <c r="K190" s="48">
        <v>0</v>
      </c>
      <c r="L190" s="48"/>
      <c r="M190" s="48">
        <v>0</v>
      </c>
      <c r="N190" s="48"/>
      <c r="O190" s="48">
        <v>4385870</v>
      </c>
      <c r="P190" s="48"/>
      <c r="Q190" s="48">
        <v>576608</v>
      </c>
      <c r="R190" s="48"/>
      <c r="S190" s="48">
        <f t="shared" si="4"/>
        <v>24542618</v>
      </c>
      <c r="T190" s="44"/>
      <c r="U190" s="48">
        <v>1561488</v>
      </c>
      <c r="W190" s="44">
        <f>+S190-'[3]Stmt net assets'!O190-U190</f>
        <v>0</v>
      </c>
    </row>
    <row r="191" spans="1:25" s="65" customFormat="1" ht="12.75" customHeight="1">
      <c r="A191" s="35" t="s">
        <v>222</v>
      </c>
      <c r="B191" s="51"/>
      <c r="C191" s="35" t="s">
        <v>47</v>
      </c>
      <c r="D191" s="35"/>
      <c r="E191" s="48">
        <v>3315000</v>
      </c>
      <c r="F191" s="48"/>
      <c r="G191" s="48">
        <v>90000</v>
      </c>
      <c r="H191" s="48"/>
      <c r="I191" s="48">
        <v>0</v>
      </c>
      <c r="J191" s="48"/>
      <c r="K191" s="48">
        <v>0</v>
      </c>
      <c r="L191" s="48"/>
      <c r="M191" s="48">
        <v>0</v>
      </c>
      <c r="N191" s="48"/>
      <c r="O191" s="48">
        <v>167504</v>
      </c>
      <c r="P191" s="48"/>
      <c r="Q191" s="48">
        <v>284934</v>
      </c>
      <c r="R191" s="48"/>
      <c r="S191" s="48">
        <f t="shared" si="4"/>
        <v>3857438</v>
      </c>
      <c r="T191" s="44"/>
      <c r="U191" s="48">
        <v>315309</v>
      </c>
      <c r="W191" s="44">
        <f>+S191-'[3]Stmt net assets'!O191-U191</f>
        <v>0</v>
      </c>
    </row>
    <row r="192" spans="1:25" s="65" customFormat="1" ht="12.75" customHeight="1">
      <c r="A192" s="35" t="s">
        <v>223</v>
      </c>
      <c r="B192" s="51"/>
      <c r="C192" s="35" t="s">
        <v>94</v>
      </c>
      <c r="D192" s="35"/>
      <c r="E192" s="48">
        <v>3206391</v>
      </c>
      <c r="F192" s="48"/>
      <c r="G192" s="48">
        <v>60000</v>
      </c>
      <c r="H192" s="48"/>
      <c r="I192" s="48">
        <v>0</v>
      </c>
      <c r="J192" s="48"/>
      <c r="K192" s="48">
        <v>365051</v>
      </c>
      <c r="L192" s="48"/>
      <c r="M192" s="48">
        <v>0</v>
      </c>
      <c r="N192" s="48"/>
      <c r="O192" s="48">
        <v>328229</v>
      </c>
      <c r="P192" s="48"/>
      <c r="Q192" s="48">
        <v>0</v>
      </c>
      <c r="R192" s="48"/>
      <c r="S192" s="48">
        <f t="shared" si="4"/>
        <v>3959671</v>
      </c>
      <c r="T192" s="44"/>
      <c r="U192" s="48">
        <v>289118</v>
      </c>
      <c r="W192" s="44">
        <f>+S192-'[3]Stmt net assets'!O192-U192</f>
        <v>0</v>
      </c>
    </row>
    <row r="193" spans="1:32" s="65" customFormat="1" ht="12.75" customHeight="1">
      <c r="A193" s="35" t="s">
        <v>76</v>
      </c>
      <c r="B193" s="51"/>
      <c r="C193" s="35" t="s">
        <v>132</v>
      </c>
      <c r="D193" s="35"/>
      <c r="E193" s="48">
        <v>17289834</v>
      </c>
      <c r="F193" s="48"/>
      <c r="G193" s="48">
        <v>4438434</v>
      </c>
      <c r="H193" s="48"/>
      <c r="I193" s="48">
        <v>0</v>
      </c>
      <c r="J193" s="48"/>
      <c r="K193" s="48">
        <v>829545</v>
      </c>
      <c r="L193" s="48"/>
      <c r="M193" s="48">
        <v>75916</v>
      </c>
      <c r="N193" s="48"/>
      <c r="O193" s="48">
        <v>2090021</v>
      </c>
      <c r="P193" s="48"/>
      <c r="Q193" s="48">
        <v>0</v>
      </c>
      <c r="R193" s="48"/>
      <c r="S193" s="48">
        <f t="shared" si="4"/>
        <v>24723750</v>
      </c>
      <c r="T193" s="44"/>
      <c r="U193" s="48">
        <v>1349633</v>
      </c>
      <c r="W193" s="44">
        <f>+S193-'[3]Stmt net assets'!O193-U193</f>
        <v>0</v>
      </c>
    </row>
    <row r="194" spans="1:32" s="65" customFormat="1" ht="12.75" customHeight="1">
      <c r="A194" s="35" t="s">
        <v>224</v>
      </c>
      <c r="B194" s="51"/>
      <c r="C194" s="35" t="s">
        <v>27</v>
      </c>
      <c r="D194" s="35"/>
      <c r="E194" s="48">
        <v>13884994</v>
      </c>
      <c r="F194" s="48"/>
      <c r="G194" s="48">
        <v>2345000</v>
      </c>
      <c r="H194" s="48"/>
      <c r="I194" s="48">
        <v>2820000</v>
      </c>
      <c r="J194" s="48"/>
      <c r="K194" s="48">
        <v>25157</v>
      </c>
      <c r="L194" s="48"/>
      <c r="M194" s="48">
        <v>0</v>
      </c>
      <c r="N194" s="48"/>
      <c r="O194" s="48">
        <v>478467</v>
      </c>
      <c r="P194" s="48"/>
      <c r="Q194" s="48">
        <v>0</v>
      </c>
      <c r="R194" s="48"/>
      <c r="S194" s="48">
        <f t="shared" si="4"/>
        <v>19553618</v>
      </c>
      <c r="T194" s="44"/>
      <c r="U194" s="48">
        <v>5446369</v>
      </c>
      <c r="W194" s="44">
        <f>+S194-'[3]Stmt net assets'!O194-U194</f>
        <v>0</v>
      </c>
    </row>
    <row r="195" spans="1:32" s="65" customFormat="1" ht="12.75" customHeight="1">
      <c r="A195" s="35"/>
      <c r="B195" s="51"/>
      <c r="C195" s="35"/>
      <c r="D195" s="35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4"/>
      <c r="U195" s="48" t="s">
        <v>484</v>
      </c>
      <c r="W195" s="44"/>
    </row>
    <row r="196" spans="1:32" s="65" customFormat="1" ht="12.75" customHeight="1">
      <c r="A196" s="35" t="s">
        <v>225</v>
      </c>
      <c r="B196" s="51"/>
      <c r="C196" s="35" t="s">
        <v>27</v>
      </c>
      <c r="D196" s="35"/>
      <c r="E196" s="68">
        <v>14585000</v>
      </c>
      <c r="F196" s="68"/>
      <c r="G196" s="68">
        <v>0</v>
      </c>
      <c r="H196" s="68"/>
      <c r="I196" s="68">
        <v>9160000</v>
      </c>
      <c r="J196" s="68"/>
      <c r="K196" s="68">
        <v>3903479</v>
      </c>
      <c r="L196" s="68"/>
      <c r="M196" s="68">
        <v>0</v>
      </c>
      <c r="N196" s="68"/>
      <c r="O196" s="68">
        <v>6012482</v>
      </c>
      <c r="P196" s="68"/>
      <c r="Q196" s="68">
        <v>0</v>
      </c>
      <c r="R196" s="68"/>
      <c r="S196" s="68">
        <f t="shared" si="4"/>
        <v>33660961</v>
      </c>
      <c r="T196" s="46"/>
      <c r="U196" s="68">
        <v>5268204</v>
      </c>
      <c r="V196" s="66"/>
      <c r="W196" s="46">
        <f>+S196-'[3]Stmt net assets'!O195-U196</f>
        <v>0</v>
      </c>
      <c r="X196" s="66"/>
      <c r="Y196" s="66"/>
    </row>
    <row r="197" spans="1:32" s="65" customFormat="1" ht="12.75" customHeight="1">
      <c r="A197" s="35" t="s">
        <v>226</v>
      </c>
      <c r="B197" s="51"/>
      <c r="C197" s="35" t="s">
        <v>45</v>
      </c>
      <c r="D197" s="35"/>
      <c r="E197" s="48">
        <v>12995875</v>
      </c>
      <c r="F197" s="48"/>
      <c r="G197" s="48">
        <v>120000</v>
      </c>
      <c r="H197" s="48"/>
      <c r="I197" s="48">
        <v>0</v>
      </c>
      <c r="J197" s="48"/>
      <c r="K197" s="48">
        <v>0</v>
      </c>
      <c r="L197" s="48"/>
      <c r="M197" s="48">
        <v>535265</v>
      </c>
      <c r="N197" s="48"/>
      <c r="O197" s="48">
        <v>3203885</v>
      </c>
      <c r="P197" s="48"/>
      <c r="Q197" s="48">
        <v>0</v>
      </c>
      <c r="R197" s="48"/>
      <c r="S197" s="48">
        <f t="shared" si="4"/>
        <v>16855025</v>
      </c>
      <c r="T197" s="44"/>
      <c r="U197" s="48">
        <v>1467949</v>
      </c>
      <c r="W197" s="44">
        <f>+S197-'[3]Stmt net assets'!O196-U197</f>
        <v>0</v>
      </c>
    </row>
    <row r="198" spans="1:32" s="66" customFormat="1" ht="12.75" customHeight="1">
      <c r="A198" s="64" t="s">
        <v>227</v>
      </c>
      <c r="C198" s="64" t="s">
        <v>17</v>
      </c>
      <c r="D198" s="64"/>
      <c r="E198" s="48">
        <v>1290000</v>
      </c>
      <c r="F198" s="48"/>
      <c r="G198" s="48">
        <v>0</v>
      </c>
      <c r="H198" s="48"/>
      <c r="I198" s="48">
        <f>721905+542000+112240</f>
        <v>1376145</v>
      </c>
      <c r="J198" s="48"/>
      <c r="K198" s="48">
        <v>151379</v>
      </c>
      <c r="L198" s="48"/>
      <c r="M198" s="48">
        <v>32869</v>
      </c>
      <c r="N198" s="48"/>
      <c r="O198" s="48">
        <v>551761</v>
      </c>
      <c r="P198" s="48"/>
      <c r="Q198" s="48">
        <v>0</v>
      </c>
      <c r="R198" s="48"/>
      <c r="S198" s="48">
        <f>SUM(E198:Q198)</f>
        <v>3402154</v>
      </c>
      <c r="T198" s="44"/>
      <c r="U198" s="48">
        <v>744399</v>
      </c>
      <c r="V198" s="65"/>
      <c r="W198" s="44">
        <f>+S198-'[3]Stmt net assets'!O198-U198</f>
        <v>0</v>
      </c>
      <c r="X198" s="65"/>
      <c r="Y198" s="65"/>
      <c r="Z198" s="65"/>
      <c r="AA198" s="65"/>
      <c r="AB198" s="65"/>
      <c r="AC198" s="65"/>
      <c r="AD198" s="65"/>
      <c r="AE198" s="65"/>
      <c r="AF198" s="65"/>
    </row>
    <row r="199" spans="1:32" s="65" customFormat="1" ht="12.75" customHeight="1">
      <c r="A199" s="35" t="s">
        <v>228</v>
      </c>
      <c r="B199" s="51"/>
      <c r="C199" s="35" t="s">
        <v>153</v>
      </c>
      <c r="D199" s="35"/>
      <c r="E199" s="48">
        <f>764056+205000</f>
        <v>969056</v>
      </c>
      <c r="F199" s="48"/>
      <c r="G199" s="48">
        <v>0</v>
      </c>
      <c r="H199" s="48"/>
      <c r="I199" s="48">
        <v>0</v>
      </c>
      <c r="J199" s="48"/>
      <c r="K199" s="48">
        <v>129960</v>
      </c>
      <c r="L199" s="48"/>
      <c r="M199" s="48">
        <v>0</v>
      </c>
      <c r="N199" s="48"/>
      <c r="O199" s="48">
        <v>355313</v>
      </c>
      <c r="P199" s="48"/>
      <c r="Q199" s="48">
        <v>0</v>
      </c>
      <c r="R199" s="48"/>
      <c r="S199" s="48">
        <f t="shared" si="4"/>
        <v>1454329</v>
      </c>
      <c r="T199" s="44"/>
      <c r="U199" s="48">
        <f>252807-2141</f>
        <v>250666</v>
      </c>
      <c r="W199" s="44">
        <f>+S199-'[3]Stmt net assets'!O199-U199</f>
        <v>0</v>
      </c>
    </row>
    <row r="200" spans="1:32" s="65" customFormat="1" ht="12.75" customHeight="1">
      <c r="A200" s="35" t="s">
        <v>229</v>
      </c>
      <c r="B200" s="51"/>
      <c r="C200" s="35" t="s">
        <v>228</v>
      </c>
      <c r="D200" s="35"/>
      <c r="E200" s="48">
        <f>1660000+6410000</f>
        <v>8070000</v>
      </c>
      <c r="F200" s="48"/>
      <c r="G200" s="48">
        <f>246000+650000</f>
        <v>896000</v>
      </c>
      <c r="H200" s="48"/>
      <c r="I200" s="48">
        <v>0</v>
      </c>
      <c r="J200" s="48"/>
      <c r="K200" s="48">
        <v>0</v>
      </c>
      <c r="L200" s="48"/>
      <c r="M200" s="48">
        <v>0</v>
      </c>
      <c r="N200" s="48"/>
      <c r="O200" s="48">
        <v>1453499</v>
      </c>
      <c r="P200" s="48"/>
      <c r="Q200" s="48">
        <v>342297</v>
      </c>
      <c r="R200" s="48"/>
      <c r="S200" s="48">
        <f t="shared" si="4"/>
        <v>10761796</v>
      </c>
      <c r="T200" s="44"/>
      <c r="U200" s="48">
        <v>1416428</v>
      </c>
      <c r="W200" s="44">
        <f>+S200-'[3]Stmt net assets'!O200-U200</f>
        <v>0</v>
      </c>
    </row>
    <row r="201" spans="1:32" s="65" customFormat="1" ht="12.75" customHeight="1">
      <c r="A201" s="35" t="s">
        <v>230</v>
      </c>
      <c r="B201" s="51"/>
      <c r="C201" s="35" t="s">
        <v>45</v>
      </c>
      <c r="D201" s="35"/>
      <c r="E201" s="48">
        <f>2160635-26334-457592</f>
        <v>1676709</v>
      </c>
      <c r="F201" s="48"/>
      <c r="G201" s="48">
        <v>0</v>
      </c>
      <c r="H201" s="48"/>
      <c r="I201" s="48">
        <v>0</v>
      </c>
      <c r="J201" s="48"/>
      <c r="K201" s="48">
        <v>0</v>
      </c>
      <c r="L201" s="48"/>
      <c r="M201" s="48">
        <v>26334</v>
      </c>
      <c r="N201" s="48"/>
      <c r="O201" s="48">
        <v>457592</v>
      </c>
      <c r="P201" s="48"/>
      <c r="Q201" s="48">
        <v>0</v>
      </c>
      <c r="R201" s="48"/>
      <c r="S201" s="48">
        <f t="shared" si="4"/>
        <v>2160635</v>
      </c>
      <c r="T201" s="44"/>
      <c r="U201" s="48">
        <v>295339</v>
      </c>
      <c r="W201" s="44">
        <f>+S201-'[3]Stmt net assets'!O201-U201</f>
        <v>0</v>
      </c>
    </row>
    <row r="202" spans="1:32" s="65" customFormat="1" ht="12.75" customHeight="1">
      <c r="A202" s="35" t="s">
        <v>231</v>
      </c>
      <c r="B202" s="51"/>
      <c r="C202" s="35" t="s">
        <v>27</v>
      </c>
      <c r="D202" s="35"/>
      <c r="E202" s="48">
        <v>9150000</v>
      </c>
      <c r="F202" s="48"/>
      <c r="G202" s="48">
        <v>325818</v>
      </c>
      <c r="H202" s="48"/>
      <c r="I202" s="48">
        <v>0</v>
      </c>
      <c r="J202" s="48"/>
      <c r="K202" s="48">
        <f>12007462+350855</f>
        <v>12358317</v>
      </c>
      <c r="L202" s="48"/>
      <c r="M202" s="48">
        <v>0</v>
      </c>
      <c r="N202" s="48"/>
      <c r="O202" s="48">
        <v>3477366</v>
      </c>
      <c r="P202" s="48"/>
      <c r="Q202" s="48">
        <f>80000+75333</f>
        <v>155333</v>
      </c>
      <c r="R202" s="48"/>
      <c r="S202" s="48">
        <f t="shared" si="4"/>
        <v>25466834</v>
      </c>
      <c r="T202" s="44"/>
      <c r="U202" s="48">
        <v>3146578</v>
      </c>
      <c r="W202" s="44">
        <f>+S202-'[3]Stmt net assets'!O202-U202</f>
        <v>0</v>
      </c>
    </row>
    <row r="203" spans="1:32" s="65" customFormat="1" ht="12.75" customHeight="1">
      <c r="A203" s="35" t="s">
        <v>232</v>
      </c>
      <c r="B203" s="51"/>
      <c r="C203" s="35" t="s">
        <v>27</v>
      </c>
      <c r="D203" s="35"/>
      <c r="E203" s="48">
        <v>7973354</v>
      </c>
      <c r="F203" s="48"/>
      <c r="G203" s="48">
        <v>270000</v>
      </c>
      <c r="H203" s="48"/>
      <c r="I203" s="48">
        <v>18010000</v>
      </c>
      <c r="J203" s="48"/>
      <c r="K203" s="48">
        <v>1935257</v>
      </c>
      <c r="L203" s="48"/>
      <c r="M203" s="48">
        <v>406035</v>
      </c>
      <c r="N203" s="48"/>
      <c r="O203" s="48">
        <v>1163656</v>
      </c>
      <c r="P203" s="48"/>
      <c r="Q203" s="48">
        <f>308796+1893877</f>
        <v>2202673</v>
      </c>
      <c r="R203" s="48"/>
      <c r="S203" s="48">
        <f t="shared" si="4"/>
        <v>31960975</v>
      </c>
      <c r="T203" s="44"/>
      <c r="U203" s="48">
        <v>1504216</v>
      </c>
      <c r="W203" s="44">
        <f>+S203-'[3]Stmt net assets'!O203-U203</f>
        <v>0</v>
      </c>
    </row>
    <row r="204" spans="1:32" s="65" customFormat="1" ht="12.75" customHeight="1">
      <c r="A204" s="35" t="s">
        <v>233</v>
      </c>
      <c r="B204" s="51"/>
      <c r="C204" s="35" t="s">
        <v>111</v>
      </c>
      <c r="D204" s="35"/>
      <c r="E204" s="48">
        <v>10646861</v>
      </c>
      <c r="F204" s="48"/>
      <c r="G204" s="48">
        <v>2833000</v>
      </c>
      <c r="H204" s="48"/>
      <c r="I204" s="48">
        <v>0</v>
      </c>
      <c r="J204" s="48"/>
      <c r="K204" s="48">
        <v>0</v>
      </c>
      <c r="L204" s="48"/>
      <c r="M204" s="48">
        <v>8115</v>
      </c>
      <c r="N204" s="48"/>
      <c r="O204" s="48">
        <v>223900</v>
      </c>
      <c r="P204" s="48"/>
      <c r="Q204" s="48">
        <v>0</v>
      </c>
      <c r="R204" s="48"/>
      <c r="S204" s="48">
        <f t="shared" si="4"/>
        <v>13711876</v>
      </c>
      <c r="T204" s="44"/>
      <c r="U204" s="48">
        <v>1177752</v>
      </c>
      <c r="W204" s="44">
        <f>+S204-'[3]Stmt net assets'!O204-U204</f>
        <v>0</v>
      </c>
    </row>
    <row r="205" spans="1:32" s="65" customFormat="1" ht="12.75" customHeight="1">
      <c r="A205" s="35" t="s">
        <v>234</v>
      </c>
      <c r="B205" s="51"/>
      <c r="C205" s="35" t="s">
        <v>45</v>
      </c>
      <c r="D205" s="35"/>
      <c r="E205" s="48">
        <v>3509336</v>
      </c>
      <c r="F205" s="48"/>
      <c r="G205" s="48">
        <v>2661709</v>
      </c>
      <c r="H205" s="48"/>
      <c r="I205" s="48">
        <v>0</v>
      </c>
      <c r="J205" s="48"/>
      <c r="K205" s="48">
        <v>0</v>
      </c>
      <c r="L205" s="48"/>
      <c r="M205" s="48">
        <v>27787</v>
      </c>
      <c r="N205" s="48"/>
      <c r="O205" s="48">
        <v>761023</v>
      </c>
      <c r="P205" s="48"/>
      <c r="Q205" s="48">
        <v>5490</v>
      </c>
      <c r="R205" s="48"/>
      <c r="S205" s="48">
        <f t="shared" si="4"/>
        <v>6965345</v>
      </c>
      <c r="T205" s="44"/>
      <c r="U205" s="48">
        <v>569341</v>
      </c>
      <c r="W205" s="44">
        <f>+S205-'[3]Stmt net assets'!O205-U205</f>
        <v>0</v>
      </c>
    </row>
    <row r="206" spans="1:32" s="65" customFormat="1" ht="12.75" customHeight="1">
      <c r="A206" s="35" t="s">
        <v>235</v>
      </c>
      <c r="B206" s="51"/>
      <c r="C206" s="35" t="s">
        <v>183</v>
      </c>
      <c r="D206" s="35"/>
      <c r="E206" s="48">
        <f>13491*1000</f>
        <v>13491000</v>
      </c>
      <c r="F206" s="48"/>
      <c r="G206" s="48">
        <v>0</v>
      </c>
      <c r="H206" s="48"/>
      <c r="I206" s="48">
        <f>(141+204)*1000-674</f>
        <v>344326</v>
      </c>
      <c r="J206" s="48"/>
      <c r="K206" s="48">
        <f>5000*1000</f>
        <v>5000000</v>
      </c>
      <c r="L206" s="48"/>
      <c r="M206" s="48">
        <v>0</v>
      </c>
      <c r="N206" s="48"/>
      <c r="O206" s="48">
        <f>7207*1000</f>
        <v>7207000</v>
      </c>
      <c r="P206" s="48"/>
      <c r="Q206" s="48">
        <v>7000</v>
      </c>
      <c r="R206" s="48"/>
      <c r="S206" s="48">
        <f t="shared" si="4"/>
        <v>26049326</v>
      </c>
      <c r="T206" s="44"/>
      <c r="U206" s="48">
        <f>2746*1000</f>
        <v>2746000</v>
      </c>
      <c r="W206" s="44">
        <f>+S206-'[3]Stmt net assets'!O206-U206</f>
        <v>0</v>
      </c>
    </row>
    <row r="207" spans="1:32" s="65" customFormat="1" ht="12.75" customHeight="1">
      <c r="A207" s="35" t="s">
        <v>236</v>
      </c>
      <c r="B207" s="51"/>
      <c r="C207" s="35" t="s">
        <v>45</v>
      </c>
      <c r="D207" s="35"/>
      <c r="E207" s="48">
        <v>2160000</v>
      </c>
      <c r="F207" s="48"/>
      <c r="G207" s="48">
        <v>0</v>
      </c>
      <c r="H207" s="48"/>
      <c r="I207" s="48">
        <v>0</v>
      </c>
      <c r="J207" s="48"/>
      <c r="K207" s="48">
        <v>32902</v>
      </c>
      <c r="L207" s="48"/>
      <c r="M207" s="48">
        <v>0</v>
      </c>
      <c r="N207" s="48"/>
      <c r="O207" s="48">
        <v>1645449</v>
      </c>
      <c r="P207" s="48"/>
      <c r="Q207" s="48">
        <v>799863</v>
      </c>
      <c r="R207" s="48"/>
      <c r="S207" s="48">
        <f t="shared" si="4"/>
        <v>4638214</v>
      </c>
      <c r="T207" s="44"/>
      <c r="U207" s="48">
        <v>159463</v>
      </c>
      <c r="W207" s="44">
        <f>+S207-'[3]Stmt net assets'!O207-U207</f>
        <v>0</v>
      </c>
    </row>
    <row r="208" spans="1:32" s="65" customFormat="1" ht="12.75" customHeight="1">
      <c r="A208" s="35" t="s">
        <v>237</v>
      </c>
      <c r="B208" s="51"/>
      <c r="C208" s="35" t="s">
        <v>33</v>
      </c>
      <c r="D208" s="35"/>
      <c r="E208" s="48">
        <v>280000</v>
      </c>
      <c r="F208" s="48"/>
      <c r="G208" s="48">
        <v>0</v>
      </c>
      <c r="H208" s="48"/>
      <c r="I208" s="48">
        <v>899123</v>
      </c>
      <c r="J208" s="48"/>
      <c r="K208" s="48">
        <v>62573</v>
      </c>
      <c r="L208" s="48"/>
      <c r="M208" s="48">
        <v>0</v>
      </c>
      <c r="N208" s="48"/>
      <c r="O208" s="48">
        <v>74539</v>
      </c>
      <c r="P208" s="48"/>
      <c r="Q208" s="48">
        <v>0</v>
      </c>
      <c r="R208" s="48"/>
      <c r="S208" s="48">
        <f t="shared" si="4"/>
        <v>1316235</v>
      </c>
      <c r="T208" s="44"/>
      <c r="U208" s="48">
        <v>129917</v>
      </c>
      <c r="W208" s="44">
        <f>+S208-'[3]Stmt net assets'!O208-U208</f>
        <v>0</v>
      </c>
    </row>
    <row r="209" spans="1:23" s="65" customFormat="1" ht="12.75" customHeight="1">
      <c r="A209" s="35" t="s">
        <v>238</v>
      </c>
      <c r="B209" s="51"/>
      <c r="C209" s="35" t="s">
        <v>239</v>
      </c>
      <c r="D209" s="35"/>
      <c r="E209" s="48">
        <v>0</v>
      </c>
      <c r="F209" s="48"/>
      <c r="G209" s="48">
        <v>0</v>
      </c>
      <c r="H209" s="48"/>
      <c r="I209" s="48">
        <v>0</v>
      </c>
      <c r="J209" s="48"/>
      <c r="K209" s="48">
        <v>0</v>
      </c>
      <c r="L209" s="48"/>
      <c r="M209" s="48">
        <v>0</v>
      </c>
      <c r="N209" s="48"/>
      <c r="O209" s="48">
        <v>377398</v>
      </c>
      <c r="P209" s="48"/>
      <c r="Q209" s="48">
        <v>0</v>
      </c>
      <c r="R209" s="48"/>
      <c r="S209" s="48">
        <f t="shared" si="4"/>
        <v>377398</v>
      </c>
      <c r="T209" s="44"/>
      <c r="U209" s="48">
        <v>77965</v>
      </c>
      <c r="W209" s="44">
        <f>+S209-'[3]Stmt net assets'!O209-U209</f>
        <v>0</v>
      </c>
    </row>
    <row r="210" spans="1:23" s="65" customFormat="1" ht="12.75" customHeight="1">
      <c r="A210" s="35" t="s">
        <v>486</v>
      </c>
      <c r="B210" s="51"/>
      <c r="C210" s="35" t="s">
        <v>249</v>
      </c>
      <c r="D210" s="35"/>
      <c r="E210" s="48">
        <v>0</v>
      </c>
      <c r="F210" s="48"/>
      <c r="G210" s="48">
        <v>0</v>
      </c>
      <c r="H210" s="48"/>
      <c r="I210" s="48">
        <v>0</v>
      </c>
      <c r="J210" s="48"/>
      <c r="K210" s="48">
        <v>1429942</v>
      </c>
      <c r="L210" s="48"/>
      <c r="M210" s="48">
        <v>19679</v>
      </c>
      <c r="N210" s="48"/>
      <c r="O210" s="48">
        <v>1482053</v>
      </c>
      <c r="P210" s="48"/>
      <c r="Q210" s="48">
        <f>2033255+541239</f>
        <v>2574494</v>
      </c>
      <c r="R210" s="48"/>
      <c r="S210" s="48">
        <f>SUM(E210:Q210)</f>
        <v>5506168</v>
      </c>
      <c r="T210" s="44"/>
      <c r="U210" s="48">
        <v>484132</v>
      </c>
      <c r="W210" s="44">
        <f>+S210-'[3]Stmt net assets'!O210-U210</f>
        <v>0</v>
      </c>
    </row>
    <row r="211" spans="1:23" s="65" customFormat="1" ht="12.75" customHeight="1">
      <c r="A211" s="35" t="s">
        <v>240</v>
      </c>
      <c r="B211" s="51"/>
      <c r="C211" s="35" t="s">
        <v>13</v>
      </c>
      <c r="D211" s="35"/>
      <c r="E211" s="48">
        <v>16746267</v>
      </c>
      <c r="F211" s="48"/>
      <c r="G211" s="48">
        <v>0</v>
      </c>
      <c r="H211" s="48"/>
      <c r="I211" s="48">
        <v>9475000</v>
      </c>
      <c r="J211" s="48"/>
      <c r="K211" s="48">
        <v>0</v>
      </c>
      <c r="L211" s="48"/>
      <c r="M211" s="48">
        <v>907731</v>
      </c>
      <c r="N211" s="48"/>
      <c r="O211" s="48">
        <v>4805874</v>
      </c>
      <c r="P211" s="48"/>
      <c r="Q211" s="48">
        <v>0</v>
      </c>
      <c r="R211" s="48"/>
      <c r="S211" s="48">
        <f t="shared" si="4"/>
        <v>31934872</v>
      </c>
      <c r="T211" s="44"/>
      <c r="U211" s="48">
        <v>2682907</v>
      </c>
      <c r="W211" s="44">
        <f>+S211-'[3]Stmt net assets'!O211-U211</f>
        <v>0</v>
      </c>
    </row>
    <row r="212" spans="1:23" s="139" customFormat="1" ht="12.75" hidden="1" customHeight="1">
      <c r="A212" s="35" t="s">
        <v>241</v>
      </c>
      <c r="B212" s="51"/>
      <c r="C212" s="35" t="s">
        <v>22</v>
      </c>
      <c r="D212" s="35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>
        <f t="shared" si="4"/>
        <v>0</v>
      </c>
      <c r="T212" s="44"/>
      <c r="U212" s="48"/>
      <c r="V212" s="65"/>
      <c r="W212" s="44">
        <f>+S212-'[3]Stmt net assets'!O212-U212</f>
        <v>0</v>
      </c>
    </row>
    <row r="213" spans="1:23" s="65" customFormat="1" ht="12.75" customHeight="1">
      <c r="A213" s="35" t="s">
        <v>242</v>
      </c>
      <c r="B213" s="51"/>
      <c r="C213" s="35" t="s">
        <v>27</v>
      </c>
      <c r="D213" s="35"/>
      <c r="E213" s="48">
        <v>37200000</v>
      </c>
      <c r="F213" s="48"/>
      <c r="G213" s="48">
        <v>1340000</v>
      </c>
      <c r="H213" s="48"/>
      <c r="I213" s="48">
        <v>16450000</v>
      </c>
      <c r="J213" s="48"/>
      <c r="K213" s="48">
        <v>138145</v>
      </c>
      <c r="L213" s="48"/>
      <c r="M213" s="48">
        <v>0</v>
      </c>
      <c r="N213" s="48"/>
      <c r="O213" s="48">
        <v>3072537</v>
      </c>
      <c r="P213" s="48"/>
      <c r="Q213" s="48"/>
      <c r="R213" s="48"/>
      <c r="S213" s="48">
        <f t="shared" si="4"/>
        <v>58200682</v>
      </c>
      <c r="T213" s="44"/>
      <c r="U213" s="48">
        <v>20607099</v>
      </c>
      <c r="W213" s="44">
        <f>+S213-'[3]Stmt net assets'!O213-U213</f>
        <v>0</v>
      </c>
    </row>
    <row r="214" spans="1:23" s="65" customFormat="1" ht="12.75" customHeight="1">
      <c r="A214" s="35" t="s">
        <v>243</v>
      </c>
      <c r="C214" s="35" t="s">
        <v>163</v>
      </c>
      <c r="D214" s="35"/>
      <c r="E214" s="48">
        <v>14720000</v>
      </c>
      <c r="F214" s="48"/>
      <c r="G214" s="48">
        <v>0</v>
      </c>
      <c r="H214" s="48"/>
      <c r="I214" s="48">
        <v>276832</v>
      </c>
      <c r="J214" s="48"/>
      <c r="K214" s="48">
        <v>0</v>
      </c>
      <c r="L214" s="48"/>
      <c r="M214" s="48">
        <v>7590</v>
      </c>
      <c r="N214" s="48"/>
      <c r="O214" s="48">
        <v>1486535</v>
      </c>
      <c r="P214" s="48"/>
      <c r="Q214" s="48">
        <v>0</v>
      </c>
      <c r="R214" s="48"/>
      <c r="S214" s="48">
        <f t="shared" ref="S214" si="5">SUM(E214:Q214)</f>
        <v>16490957</v>
      </c>
      <c r="T214" s="44"/>
      <c r="U214" s="48">
        <v>894252</v>
      </c>
      <c r="W214" s="44">
        <f>+S214-'[3]Stmt net assets'!O214-U214</f>
        <v>0</v>
      </c>
    </row>
    <row r="215" spans="1:23" s="65" customFormat="1" ht="12.75" customHeight="1">
      <c r="A215" s="35" t="s">
        <v>244</v>
      </c>
      <c r="B215" s="51"/>
      <c r="C215" s="35" t="s">
        <v>13</v>
      </c>
      <c r="D215" s="35"/>
      <c r="E215" s="48">
        <v>7526000</v>
      </c>
      <c r="F215" s="48"/>
      <c r="G215" s="48">
        <v>785000</v>
      </c>
      <c r="H215" s="48"/>
      <c r="I215" s="48">
        <v>3800000</v>
      </c>
      <c r="J215" s="48"/>
      <c r="K215" s="48">
        <v>0</v>
      </c>
      <c r="L215" s="48"/>
      <c r="M215" s="48">
        <v>212261</v>
      </c>
      <c r="N215" s="48"/>
      <c r="O215" s="48">
        <v>862927</v>
      </c>
      <c r="P215" s="48"/>
      <c r="Q215" s="48">
        <f>250000+120580-23374</f>
        <v>347206</v>
      </c>
      <c r="R215" s="48"/>
      <c r="S215" s="48">
        <f t="shared" ref="S215:S255" si="6">SUM(E215:Q215)</f>
        <v>13533394</v>
      </c>
      <c r="T215" s="44"/>
      <c r="U215" s="48">
        <v>707662</v>
      </c>
      <c r="W215" s="44">
        <f>+S215-'Stmt net assets'!O215-U215</f>
        <v>0</v>
      </c>
    </row>
    <row r="216" spans="1:23" s="65" customFormat="1" ht="12.75" customHeight="1">
      <c r="A216" s="35" t="s">
        <v>341</v>
      </c>
      <c r="B216" s="51"/>
      <c r="C216" s="35" t="s">
        <v>110</v>
      </c>
      <c r="D216" s="35"/>
      <c r="E216" s="48">
        <v>0</v>
      </c>
      <c r="F216" s="48"/>
      <c r="G216" s="48">
        <v>415000</v>
      </c>
      <c r="H216" s="48"/>
      <c r="I216" s="48">
        <v>1450000</v>
      </c>
      <c r="J216" s="48"/>
      <c r="K216" s="48">
        <v>0</v>
      </c>
      <c r="L216" s="48"/>
      <c r="M216" s="48">
        <v>189936</v>
      </c>
      <c r="N216" s="48"/>
      <c r="O216" s="48">
        <v>1085829</v>
      </c>
      <c r="P216" s="48"/>
      <c r="Q216" s="48">
        <v>68800</v>
      </c>
      <c r="R216" s="48"/>
      <c r="S216" s="48">
        <f t="shared" si="6"/>
        <v>3209565</v>
      </c>
      <c r="T216" s="44"/>
      <c r="U216" s="48">
        <v>2110495</v>
      </c>
      <c r="W216" s="44">
        <f>+S216-'Stmt net assets'!O216-U216</f>
        <v>0</v>
      </c>
    </row>
    <row r="217" spans="1:23" s="65" customFormat="1" ht="12.75" customHeight="1">
      <c r="A217" s="35" t="s">
        <v>246</v>
      </c>
      <c r="B217" s="51"/>
      <c r="C217" s="35" t="s">
        <v>209</v>
      </c>
      <c r="D217" s="35"/>
      <c r="E217" s="48">
        <v>4855000</v>
      </c>
      <c r="F217" s="48"/>
      <c r="G217" s="48">
        <v>790000</v>
      </c>
      <c r="H217" s="48"/>
      <c r="I217" s="48">
        <v>0</v>
      </c>
      <c r="J217" s="48"/>
      <c r="K217" s="48">
        <v>0</v>
      </c>
      <c r="L217" s="48"/>
      <c r="M217" s="48">
        <v>19637</v>
      </c>
      <c r="N217" s="48"/>
      <c r="O217" s="48">
        <v>875776</v>
      </c>
      <c r="P217" s="48"/>
      <c r="Q217" s="48">
        <v>0</v>
      </c>
      <c r="R217" s="48"/>
      <c r="S217" s="48">
        <f t="shared" si="6"/>
        <v>6540413</v>
      </c>
      <c r="T217" s="44"/>
      <c r="U217" s="48">
        <v>1057615</v>
      </c>
      <c r="W217" s="44">
        <f>+S217-'Stmt net assets'!O217-U217</f>
        <v>0</v>
      </c>
    </row>
    <row r="218" spans="1:23" s="65" customFormat="1" ht="12.75" customHeight="1">
      <c r="A218" s="35" t="s">
        <v>247</v>
      </c>
      <c r="C218" s="35" t="s">
        <v>163</v>
      </c>
      <c r="D218" s="35"/>
      <c r="E218" s="48">
        <f>7350000+95000+95129000</f>
        <v>102574000</v>
      </c>
      <c r="F218" s="48"/>
      <c r="G218" s="48">
        <v>0</v>
      </c>
      <c r="H218" s="48"/>
      <c r="I218" s="48">
        <v>0</v>
      </c>
      <c r="J218" s="48"/>
      <c r="K218" s="48">
        <f>43341000+6917000</f>
        <v>50258000</v>
      </c>
      <c r="L218" s="48"/>
      <c r="M218" s="48">
        <v>0</v>
      </c>
      <c r="N218" s="48"/>
      <c r="O218" s="48">
        <v>44086000</v>
      </c>
      <c r="P218" s="48"/>
      <c r="Q218" s="48">
        <f>13537000+40300000</f>
        <v>53837000</v>
      </c>
      <c r="R218" s="48"/>
      <c r="S218" s="48">
        <f t="shared" si="6"/>
        <v>250755000</v>
      </c>
      <c r="T218" s="44"/>
      <c r="U218" s="48">
        <f>37763000-330000</f>
        <v>37433000</v>
      </c>
      <c r="W218" s="44">
        <f>+S218-'Stmt net assets'!O218-U218</f>
        <v>0</v>
      </c>
    </row>
    <row r="219" spans="1:23" s="65" customFormat="1" ht="12.75" customHeight="1">
      <c r="A219" s="35" t="s">
        <v>248</v>
      </c>
      <c r="C219" s="35" t="s">
        <v>249</v>
      </c>
      <c r="D219" s="35"/>
      <c r="E219" s="48">
        <v>0</v>
      </c>
      <c r="F219" s="48"/>
      <c r="G219" s="48">
        <v>168157</v>
      </c>
      <c r="H219" s="48"/>
      <c r="I219" s="48">
        <v>0</v>
      </c>
      <c r="J219" s="48"/>
      <c r="K219" s="48">
        <v>777962</v>
      </c>
      <c r="L219" s="48"/>
      <c r="M219" s="48">
        <v>0</v>
      </c>
      <c r="N219" s="48"/>
      <c r="O219" s="48">
        <v>357883</v>
      </c>
      <c r="P219" s="48"/>
      <c r="Q219" s="48">
        <v>0</v>
      </c>
      <c r="R219" s="48"/>
      <c r="S219" s="48">
        <f t="shared" si="6"/>
        <v>1304002</v>
      </c>
      <c r="T219" s="44"/>
      <c r="U219" s="48">
        <v>113798</v>
      </c>
      <c r="W219" s="44">
        <f>+S219-'Stmt net assets'!O219-U219</f>
        <v>0</v>
      </c>
    </row>
    <row r="220" spans="1:23" s="65" customFormat="1" ht="12.75" customHeight="1">
      <c r="A220" s="35" t="s">
        <v>250</v>
      </c>
      <c r="B220" s="51"/>
      <c r="C220" s="35" t="s">
        <v>103</v>
      </c>
      <c r="D220" s="35"/>
      <c r="E220" s="48">
        <f>331670+92710+26338</f>
        <v>450718</v>
      </c>
      <c r="F220" s="48"/>
      <c r="G220" s="48">
        <v>0</v>
      </c>
      <c r="H220" s="48"/>
      <c r="I220" s="48">
        <v>0</v>
      </c>
      <c r="J220" s="48"/>
      <c r="K220" s="48">
        <v>0</v>
      </c>
      <c r="L220" s="48"/>
      <c r="M220" s="48">
        <v>0</v>
      </c>
      <c r="N220" s="48"/>
      <c r="O220" s="48">
        <v>143755</v>
      </c>
      <c r="P220" s="48"/>
      <c r="Q220" s="48">
        <v>0</v>
      </c>
      <c r="R220" s="48"/>
      <c r="S220" s="48">
        <f t="shared" si="6"/>
        <v>594473</v>
      </c>
      <c r="T220" s="44"/>
      <c r="U220" s="48">
        <v>144751</v>
      </c>
      <c r="W220" s="44">
        <f>+S220-'Stmt net assets'!O220-U220</f>
        <v>0</v>
      </c>
    </row>
    <row r="221" spans="1:23" s="65" customFormat="1" ht="12.75" customHeight="1">
      <c r="A221" s="35" t="s">
        <v>251</v>
      </c>
      <c r="B221" s="51"/>
      <c r="C221" s="35" t="s">
        <v>66</v>
      </c>
      <c r="D221" s="35"/>
      <c r="E221" s="48">
        <f>2980000+4870000</f>
        <v>7850000</v>
      </c>
      <c r="F221" s="48"/>
      <c r="G221" s="48">
        <v>0</v>
      </c>
      <c r="H221" s="48"/>
      <c r="I221" s="48">
        <v>0</v>
      </c>
      <c r="J221" s="48"/>
      <c r="K221" s="48">
        <v>0</v>
      </c>
      <c r="L221" s="48"/>
      <c r="M221" s="48">
        <v>346968</v>
      </c>
      <c r="N221" s="48"/>
      <c r="O221" s="48">
        <v>919103</v>
      </c>
      <c r="P221" s="48"/>
      <c r="Q221" s="48">
        <v>0</v>
      </c>
      <c r="R221" s="48"/>
      <c r="S221" s="48">
        <f t="shared" si="6"/>
        <v>9116071</v>
      </c>
      <c r="T221" s="44"/>
      <c r="U221" s="48">
        <v>795288</v>
      </c>
      <c r="W221" s="44">
        <f>+S221-'Stmt net assets'!O221-U221</f>
        <v>0</v>
      </c>
    </row>
    <row r="222" spans="1:23" s="65" customFormat="1" ht="12.75" customHeight="1">
      <c r="A222" s="35" t="s">
        <v>252</v>
      </c>
      <c r="B222" s="51"/>
      <c r="C222" s="35" t="s">
        <v>209</v>
      </c>
      <c r="D222" s="35"/>
      <c r="E222" s="48">
        <v>10565000</v>
      </c>
      <c r="F222" s="48"/>
      <c r="G222" s="48">
        <v>70000</v>
      </c>
      <c r="H222" s="48"/>
      <c r="I222" s="48">
        <v>0</v>
      </c>
      <c r="J222" s="48"/>
      <c r="K222" s="48">
        <v>0</v>
      </c>
      <c r="L222" s="48"/>
      <c r="M222" s="48">
        <v>0</v>
      </c>
      <c r="N222" s="48"/>
      <c r="O222" s="48">
        <v>1727016</v>
      </c>
      <c r="P222" s="48"/>
      <c r="Q222" s="48">
        <v>0</v>
      </c>
      <c r="R222" s="48"/>
      <c r="S222" s="48">
        <f t="shared" si="6"/>
        <v>12362016</v>
      </c>
      <c r="T222" s="44"/>
      <c r="U222" s="48">
        <v>1026327</v>
      </c>
      <c r="W222" s="44">
        <f>+S222-'Stmt net assets'!O222-U222</f>
        <v>0</v>
      </c>
    </row>
    <row r="223" spans="1:23" s="65" customFormat="1" ht="12.75" customHeight="1">
      <c r="A223" s="35" t="s">
        <v>253</v>
      </c>
      <c r="B223" s="51"/>
      <c r="C223" s="35" t="s">
        <v>13</v>
      </c>
      <c r="D223" s="35"/>
      <c r="E223" s="48">
        <v>12085024</v>
      </c>
      <c r="F223" s="48"/>
      <c r="G223" s="48">
        <v>349000</v>
      </c>
      <c r="H223" s="48"/>
      <c r="I223" s="48">
        <v>0</v>
      </c>
      <c r="J223" s="48"/>
      <c r="K223" s="48">
        <v>1525436</v>
      </c>
      <c r="L223" s="48"/>
      <c r="M223" s="48">
        <v>63816</v>
      </c>
      <c r="N223" s="48"/>
      <c r="O223" s="48">
        <v>1726487</v>
      </c>
      <c r="P223" s="48"/>
      <c r="Q223" s="48">
        <v>0</v>
      </c>
      <c r="R223" s="48"/>
      <c r="S223" s="48">
        <f>SUM(E223:Q223)</f>
        <v>15749763</v>
      </c>
      <c r="T223" s="44"/>
      <c r="U223" s="48">
        <v>1629598</v>
      </c>
      <c r="W223" s="44">
        <f>+S223-'Stmt net assets'!O223-U223</f>
        <v>0</v>
      </c>
    </row>
    <row r="224" spans="1:23" s="65" customFormat="1" ht="12" customHeight="1">
      <c r="A224" s="35" t="s">
        <v>254</v>
      </c>
      <c r="B224" s="51"/>
      <c r="C224" s="35" t="s">
        <v>89</v>
      </c>
      <c r="D224" s="35"/>
      <c r="E224" s="48">
        <v>302941</v>
      </c>
      <c r="F224" s="48"/>
      <c r="G224" s="48">
        <v>0</v>
      </c>
      <c r="H224" s="48"/>
      <c r="I224" s="48">
        <v>0</v>
      </c>
      <c r="J224" s="48"/>
      <c r="K224" s="48">
        <f>360000+459627+295347+308447</f>
        <v>1423421</v>
      </c>
      <c r="L224" s="48"/>
      <c r="M224" s="48">
        <v>0</v>
      </c>
      <c r="N224" s="48"/>
      <c r="O224" s="48">
        <v>189969</v>
      </c>
      <c r="P224" s="48"/>
      <c r="Q224" s="48">
        <v>0</v>
      </c>
      <c r="R224" s="48"/>
      <c r="S224" s="48">
        <f t="shared" si="6"/>
        <v>1916331</v>
      </c>
      <c r="T224" s="44"/>
      <c r="U224" s="48">
        <v>81541</v>
      </c>
      <c r="W224" s="44">
        <f>+S224-'Stmt net assets'!O224-U224</f>
        <v>0</v>
      </c>
    </row>
    <row r="225" spans="1:23" s="65" customFormat="1" ht="12.75" customHeight="1">
      <c r="A225" s="35" t="s">
        <v>159</v>
      </c>
      <c r="C225" s="35" t="s">
        <v>66</v>
      </c>
      <c r="D225" s="35"/>
      <c r="E225" s="48">
        <v>1389250</v>
      </c>
      <c r="F225" s="48"/>
      <c r="G225" s="48">
        <v>0</v>
      </c>
      <c r="H225" s="48"/>
      <c r="I225" s="48">
        <v>0</v>
      </c>
      <c r="J225" s="48"/>
      <c r="K225" s="48">
        <v>0</v>
      </c>
      <c r="L225" s="48"/>
      <c r="M225" s="48">
        <v>120134</v>
      </c>
      <c r="N225" s="48"/>
      <c r="O225" s="48">
        <v>65136</v>
      </c>
      <c r="P225" s="48"/>
      <c r="Q225" s="48">
        <v>0</v>
      </c>
      <c r="R225" s="48"/>
      <c r="S225" s="48">
        <f>SUM(E225:Q225)</f>
        <v>1574520</v>
      </c>
      <c r="T225" s="44"/>
      <c r="U225" s="48">
        <v>158788</v>
      </c>
      <c r="W225" s="44">
        <f>+S225-'Stmt net assets'!O225-U225</f>
        <v>0</v>
      </c>
    </row>
    <row r="226" spans="1:23" s="65" customFormat="1" ht="12.75" customHeight="1">
      <c r="A226" s="35" t="s">
        <v>255</v>
      </c>
      <c r="B226" s="51"/>
      <c r="C226" s="35" t="s">
        <v>27</v>
      </c>
      <c r="D226" s="35"/>
      <c r="E226" s="48">
        <f>2595000+735000</f>
        <v>3330000</v>
      </c>
      <c r="F226" s="48"/>
      <c r="G226" s="48">
        <v>0</v>
      </c>
      <c r="H226" s="48"/>
      <c r="I226" s="48">
        <v>0</v>
      </c>
      <c r="J226" s="48"/>
      <c r="K226" s="48">
        <f>48656+30226+241226</f>
        <v>320108</v>
      </c>
      <c r="L226" s="48"/>
      <c r="M226" s="48">
        <f>93714+112430+41824+104480+108868</f>
        <v>461316</v>
      </c>
      <c r="N226" s="48"/>
      <c r="O226" s="48">
        <v>1388763</v>
      </c>
      <c r="P226" s="48"/>
      <c r="Q226" s="48">
        <f>239925+284666</f>
        <v>524591</v>
      </c>
      <c r="R226" s="48"/>
      <c r="S226" s="48">
        <f t="shared" si="6"/>
        <v>6024778</v>
      </c>
      <c r="T226" s="44"/>
      <c r="U226" s="48">
        <v>2341108</v>
      </c>
      <c r="W226" s="44">
        <f>+S226-'Stmt net assets'!O226-U226</f>
        <v>0</v>
      </c>
    </row>
    <row r="227" spans="1:23" s="65" customFormat="1" ht="12.75" customHeight="1">
      <c r="A227" s="35" t="s">
        <v>256</v>
      </c>
      <c r="C227" s="35" t="s">
        <v>43</v>
      </c>
      <c r="D227" s="35"/>
      <c r="E227" s="48">
        <v>27087000</v>
      </c>
      <c r="F227" s="48"/>
      <c r="G227" s="48">
        <v>0</v>
      </c>
      <c r="H227" s="48"/>
      <c r="I227" s="48">
        <v>0</v>
      </c>
      <c r="J227" s="48"/>
      <c r="K227" s="48">
        <v>104846</v>
      </c>
      <c r="L227" s="48"/>
      <c r="M227" s="48">
        <v>0</v>
      </c>
      <c r="N227" s="48"/>
      <c r="O227" s="48">
        <v>2898892</v>
      </c>
      <c r="P227" s="48"/>
      <c r="Q227" s="48">
        <v>121550</v>
      </c>
      <c r="R227" s="48"/>
      <c r="S227" s="48">
        <f>SUM(E227:Q227)</f>
        <v>30212288</v>
      </c>
      <c r="T227" s="44"/>
      <c r="U227" s="48">
        <v>2678784</v>
      </c>
      <c r="W227" s="44">
        <f>+S227-'Stmt net assets'!O227-U227</f>
        <v>0</v>
      </c>
    </row>
    <row r="228" spans="1:23" s="65" customFormat="1" ht="12.75" customHeight="1">
      <c r="A228" s="35" t="s">
        <v>257</v>
      </c>
      <c r="B228" s="51"/>
      <c r="C228" s="35" t="s">
        <v>258</v>
      </c>
      <c r="D228" s="35"/>
      <c r="E228" s="48">
        <f>209255+184173+517270</f>
        <v>910698</v>
      </c>
      <c r="F228" s="48"/>
      <c r="G228" s="48">
        <v>471000</v>
      </c>
      <c r="H228" s="48"/>
      <c r="I228" s="48">
        <v>0</v>
      </c>
      <c r="J228" s="48"/>
      <c r="K228" s="48">
        <f>87433+5044683+189000+202280+59210</f>
        <v>5582606</v>
      </c>
      <c r="L228" s="48"/>
      <c r="M228" s="48">
        <v>39231</v>
      </c>
      <c r="N228" s="48"/>
      <c r="O228" s="48">
        <v>131636</v>
      </c>
      <c r="P228" s="48"/>
      <c r="Q228" s="48">
        <v>0</v>
      </c>
      <c r="R228" s="48"/>
      <c r="S228" s="48">
        <f>SUM(E228:Q228)</f>
        <v>7135171</v>
      </c>
      <c r="T228" s="44"/>
      <c r="U228" s="48">
        <v>577957</v>
      </c>
      <c r="W228" s="44">
        <f>+S228-'Stmt net assets'!O228-U228</f>
        <v>0</v>
      </c>
    </row>
    <row r="229" spans="1:23" s="65" customFormat="1" ht="12.75" customHeight="1">
      <c r="A229" s="35" t="s">
        <v>259</v>
      </c>
      <c r="B229" s="51"/>
      <c r="C229" s="35" t="s">
        <v>369</v>
      </c>
      <c r="D229" s="35"/>
      <c r="E229" s="48">
        <v>3100445</v>
      </c>
      <c r="F229" s="48"/>
      <c r="G229" s="48">
        <v>0</v>
      </c>
      <c r="H229" s="48"/>
      <c r="I229" s="48">
        <v>0</v>
      </c>
      <c r="J229" s="48"/>
      <c r="K229" s="48">
        <v>0</v>
      </c>
      <c r="L229" s="48"/>
      <c r="M229" s="48">
        <v>0</v>
      </c>
      <c r="N229" s="48"/>
      <c r="O229" s="48">
        <v>873191</v>
      </c>
      <c r="P229" s="48"/>
      <c r="Q229" s="48">
        <f>1281822+263378</f>
        <v>1545200</v>
      </c>
      <c r="R229" s="48"/>
      <c r="S229" s="48">
        <f>SUM(E229:Q229)</f>
        <v>5518836</v>
      </c>
      <c r="T229" s="44"/>
      <c r="U229" s="48">
        <v>808971</v>
      </c>
      <c r="W229" s="44">
        <f>+S229-'Stmt net assets'!O229-U229</f>
        <v>0</v>
      </c>
    </row>
    <row r="230" spans="1:23" s="65" customFormat="1" ht="12.75" customHeight="1">
      <c r="A230" s="35" t="s">
        <v>261</v>
      </c>
      <c r="C230" s="35" t="s">
        <v>66</v>
      </c>
      <c r="D230" s="35"/>
      <c r="E230" s="48">
        <v>9109619</v>
      </c>
      <c r="F230" s="48"/>
      <c r="G230" s="48">
        <v>0</v>
      </c>
      <c r="H230" s="48"/>
      <c r="I230" s="48">
        <v>0</v>
      </c>
      <c r="J230" s="48"/>
      <c r="K230" s="48">
        <v>0</v>
      </c>
      <c r="L230" s="48"/>
      <c r="M230" s="48">
        <v>744011</v>
      </c>
      <c r="N230" s="48"/>
      <c r="O230" s="48">
        <v>1418617</v>
      </c>
      <c r="P230" s="48"/>
      <c r="Q230" s="48">
        <v>0</v>
      </c>
      <c r="R230" s="48"/>
      <c r="S230" s="48">
        <f t="shared" si="6"/>
        <v>11272247</v>
      </c>
      <c r="T230" s="44"/>
      <c r="U230" s="48">
        <f>1324769-1</f>
        <v>1324768</v>
      </c>
      <c r="W230" s="44">
        <f>+S230-'Stmt net assets'!O230-U230</f>
        <v>0</v>
      </c>
    </row>
    <row r="231" spans="1:23" s="65" customFormat="1" ht="12.75" hidden="1" customHeight="1">
      <c r="A231" s="35" t="s">
        <v>262</v>
      </c>
      <c r="C231" s="35" t="s">
        <v>132</v>
      </c>
      <c r="D231" s="35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>
        <f t="shared" si="6"/>
        <v>0</v>
      </c>
      <c r="T231" s="44"/>
      <c r="U231" s="48"/>
      <c r="W231" s="44">
        <f>+S231-'Stmt net assets'!O231-U231</f>
        <v>0</v>
      </c>
    </row>
    <row r="232" spans="1:23" s="65" customFormat="1" ht="12.75" customHeight="1">
      <c r="A232" s="35" t="s">
        <v>263</v>
      </c>
      <c r="B232" s="51"/>
      <c r="C232" s="35" t="s">
        <v>53</v>
      </c>
      <c r="D232" s="35"/>
      <c r="E232" s="48">
        <v>468536</v>
      </c>
      <c r="F232" s="48"/>
      <c r="G232" s="48">
        <v>0</v>
      </c>
      <c r="H232" s="48"/>
      <c r="I232" s="48">
        <v>0</v>
      </c>
      <c r="J232" s="48"/>
      <c r="K232" s="48">
        <v>0</v>
      </c>
      <c r="L232" s="48"/>
      <c r="M232" s="48">
        <v>0</v>
      </c>
      <c r="N232" s="48"/>
      <c r="O232" s="48">
        <v>2747437</v>
      </c>
      <c r="P232" s="48"/>
      <c r="Q232" s="48">
        <v>0</v>
      </c>
      <c r="R232" s="48"/>
      <c r="S232" s="48">
        <f t="shared" si="6"/>
        <v>3215973</v>
      </c>
      <c r="T232" s="44"/>
      <c r="U232" s="48">
        <v>820298</v>
      </c>
      <c r="W232" s="44">
        <f>+S232-'Stmt net assets'!O232-U232</f>
        <v>0</v>
      </c>
    </row>
    <row r="233" spans="1:23" s="65" customFormat="1" ht="12.75" customHeight="1">
      <c r="A233" s="35" t="s">
        <v>264</v>
      </c>
      <c r="B233" s="51"/>
      <c r="C233" s="35" t="s">
        <v>239</v>
      </c>
      <c r="D233" s="35"/>
      <c r="E233" s="48">
        <v>1397951</v>
      </c>
      <c r="F233" s="48"/>
      <c r="G233" s="48">
        <v>0</v>
      </c>
      <c r="H233" s="48"/>
      <c r="I233" s="48">
        <v>0</v>
      </c>
      <c r="J233" s="48"/>
      <c r="K233" s="48">
        <v>0</v>
      </c>
      <c r="L233" s="48"/>
      <c r="M233" s="48">
        <v>0</v>
      </c>
      <c r="N233" s="48"/>
      <c r="O233" s="48">
        <v>440062</v>
      </c>
      <c r="P233" s="48"/>
      <c r="Q233" s="48">
        <v>0</v>
      </c>
      <c r="R233" s="48"/>
      <c r="S233" s="48">
        <f t="shared" si="6"/>
        <v>1838013</v>
      </c>
      <c r="T233" s="44"/>
      <c r="U233" s="48">
        <v>456852</v>
      </c>
      <c r="W233" s="44">
        <f>+S233-'Stmt net assets'!O233-U233</f>
        <v>0</v>
      </c>
    </row>
    <row r="234" spans="1:23" s="65" customFormat="1" ht="12.75" customHeight="1">
      <c r="A234" s="35" t="s">
        <v>111</v>
      </c>
      <c r="B234" s="51"/>
      <c r="C234" s="35" t="s">
        <v>80</v>
      </c>
      <c r="D234" s="35"/>
      <c r="E234" s="48">
        <v>4668596</v>
      </c>
      <c r="F234" s="48"/>
      <c r="G234" s="48">
        <v>0</v>
      </c>
      <c r="H234" s="48"/>
      <c r="I234" s="48">
        <v>148075</v>
      </c>
      <c r="J234" s="48"/>
      <c r="K234" s="48">
        <f>645000+237753+1630000+2692691+243736</f>
        <v>5449180</v>
      </c>
      <c r="L234" s="48"/>
      <c r="M234" s="48">
        <v>298551</v>
      </c>
      <c r="N234" s="48"/>
      <c r="O234" s="48">
        <v>5279633</v>
      </c>
      <c r="P234" s="48"/>
      <c r="Q234" s="48">
        <f>1314736+22336-152868</f>
        <v>1184204</v>
      </c>
      <c r="R234" s="48"/>
      <c r="S234" s="48">
        <f t="shared" si="6"/>
        <v>17028239</v>
      </c>
      <c r="T234" s="44"/>
      <c r="U234" s="48">
        <v>2636289</v>
      </c>
      <c r="W234" s="44">
        <f>+S234-'Stmt net assets'!O234-U234</f>
        <v>0</v>
      </c>
    </row>
    <row r="235" spans="1:23" s="65" customFormat="1" ht="12.75" customHeight="1">
      <c r="A235" s="35" t="s">
        <v>265</v>
      </c>
      <c r="B235" s="51"/>
      <c r="C235" s="35" t="s">
        <v>27</v>
      </c>
      <c r="D235" s="35"/>
      <c r="E235" s="48">
        <v>2110162</v>
      </c>
      <c r="F235" s="48"/>
      <c r="G235" s="48">
        <v>229117</v>
      </c>
      <c r="H235" s="48"/>
      <c r="I235" s="48">
        <v>8818000</v>
      </c>
      <c r="J235" s="48"/>
      <c r="K235" s="48">
        <v>0</v>
      </c>
      <c r="L235" s="48"/>
      <c r="M235" s="48">
        <v>334558</v>
      </c>
      <c r="N235" s="48"/>
      <c r="O235" s="48">
        <v>2181040</v>
      </c>
      <c r="P235" s="48"/>
      <c r="Q235" s="48">
        <v>274239</v>
      </c>
      <c r="R235" s="48"/>
      <c r="S235" s="48">
        <f t="shared" si="6"/>
        <v>13947116</v>
      </c>
      <c r="T235" s="44"/>
      <c r="U235" s="48">
        <v>2143210</v>
      </c>
      <c r="W235" s="44">
        <f>+S235-'Stmt net assets'!O235-U235</f>
        <v>0</v>
      </c>
    </row>
    <row r="236" spans="1:23" s="65" customFormat="1" ht="12.75" customHeight="1">
      <c r="A236" s="35" t="s">
        <v>40</v>
      </c>
      <c r="B236" s="51"/>
      <c r="C236" s="47" t="s">
        <v>451</v>
      </c>
      <c r="D236" s="35"/>
      <c r="E236" s="48">
        <f>2060000+7275000+3290000</f>
        <v>12625000</v>
      </c>
      <c r="F236" s="48"/>
      <c r="G236" s="48">
        <f>505000+214812</f>
        <v>719812</v>
      </c>
      <c r="H236" s="48"/>
      <c r="I236" s="48">
        <v>0</v>
      </c>
      <c r="J236" s="48"/>
      <c r="K236" s="48">
        <v>0</v>
      </c>
      <c r="L236" s="48"/>
      <c r="M236" s="48">
        <v>610000</v>
      </c>
      <c r="N236" s="48"/>
      <c r="O236" s="48">
        <f>75999+846690</f>
        <v>922689</v>
      </c>
      <c r="P236" s="48"/>
      <c r="Q236" s="48">
        <v>0</v>
      </c>
      <c r="R236" s="48"/>
      <c r="S236" s="48">
        <f t="shared" si="6"/>
        <v>14877501</v>
      </c>
      <c r="T236" s="44"/>
      <c r="U236" s="48">
        <v>795756</v>
      </c>
      <c r="W236" s="44">
        <f>+S236-'Stmt net assets'!O236-U236</f>
        <v>0</v>
      </c>
    </row>
    <row r="237" spans="1:23" s="65" customFormat="1" ht="12.75" customHeight="1">
      <c r="A237" s="35" t="s">
        <v>266</v>
      </c>
      <c r="B237" s="51"/>
      <c r="C237" s="35" t="s">
        <v>267</v>
      </c>
      <c r="D237" s="35"/>
      <c r="E237" s="48">
        <v>0</v>
      </c>
      <c r="F237" s="48"/>
      <c r="G237" s="48">
        <v>0</v>
      </c>
      <c r="H237" s="48"/>
      <c r="I237" s="48">
        <v>3250000</v>
      </c>
      <c r="J237" s="48"/>
      <c r="K237" s="48">
        <v>0</v>
      </c>
      <c r="L237" s="48"/>
      <c r="M237" s="48">
        <v>22940</v>
      </c>
      <c r="N237" s="48"/>
      <c r="O237" s="48">
        <v>284713</v>
      </c>
      <c r="P237" s="48"/>
      <c r="Q237" s="48">
        <v>0</v>
      </c>
      <c r="R237" s="48"/>
      <c r="S237" s="48">
        <f t="shared" si="6"/>
        <v>3557653</v>
      </c>
      <c r="T237" s="44"/>
      <c r="U237" s="48">
        <v>3392186</v>
      </c>
      <c r="W237" s="44">
        <f>+S237-'Stmt net assets'!O237-U237</f>
        <v>0</v>
      </c>
    </row>
    <row r="238" spans="1:23" s="65" customFormat="1" ht="12.75" customHeight="1">
      <c r="A238" s="64" t="s">
        <v>268</v>
      </c>
      <c r="B238" s="66"/>
      <c r="C238" s="64" t="s">
        <v>269</v>
      </c>
      <c r="D238" s="64"/>
      <c r="E238" s="48">
        <f>960301-55222</f>
        <v>905079</v>
      </c>
      <c r="F238" s="48"/>
      <c r="G238" s="48">
        <v>0</v>
      </c>
      <c r="H238" s="48"/>
      <c r="I238" s="48">
        <v>0</v>
      </c>
      <c r="J238" s="48"/>
      <c r="K238" s="48">
        <v>0</v>
      </c>
      <c r="L238" s="48"/>
      <c r="M238" s="48">
        <v>0</v>
      </c>
      <c r="N238" s="48"/>
      <c r="O238" s="48">
        <v>55222</v>
      </c>
      <c r="P238" s="48"/>
      <c r="Q238" s="48">
        <v>0</v>
      </c>
      <c r="R238" s="48"/>
      <c r="S238" s="48">
        <f t="shared" si="6"/>
        <v>960301</v>
      </c>
      <c r="T238" s="44"/>
      <c r="U238" s="48">
        <v>738231</v>
      </c>
      <c r="W238" s="44">
        <f>+S238-'Stmt net assets'!O238-U238</f>
        <v>0</v>
      </c>
    </row>
    <row r="239" spans="1:23" s="65" customFormat="1" ht="12.75" hidden="1" customHeight="1">
      <c r="A239" s="35" t="s">
        <v>270</v>
      </c>
      <c r="B239" s="51"/>
      <c r="C239" s="35" t="s">
        <v>136</v>
      </c>
      <c r="D239" s="35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>
        <f>SUM(E239:Q239)</f>
        <v>0</v>
      </c>
      <c r="T239" s="44"/>
      <c r="U239" s="48"/>
      <c r="W239" s="44">
        <f>+S239-'Stmt net assets'!O239-U239</f>
        <v>0</v>
      </c>
    </row>
    <row r="240" spans="1:23" s="65" customFormat="1" ht="12.75" customHeight="1">
      <c r="A240" s="35" t="s">
        <v>271</v>
      </c>
      <c r="B240" s="51"/>
      <c r="C240" s="35" t="s">
        <v>66</v>
      </c>
      <c r="D240" s="35"/>
      <c r="E240" s="48">
        <f>23000+60000+55000+98283+3760000</f>
        <v>3996283</v>
      </c>
      <c r="F240" s="48"/>
      <c r="G240" s="48">
        <v>0</v>
      </c>
      <c r="H240" s="48"/>
      <c r="I240" s="48">
        <v>0</v>
      </c>
      <c r="J240" s="48"/>
      <c r="K240" s="48">
        <v>0</v>
      </c>
      <c r="L240" s="48"/>
      <c r="M240" s="48">
        <v>0</v>
      </c>
      <c r="N240" s="48"/>
      <c r="O240" s="48">
        <v>806857</v>
      </c>
      <c r="P240" s="48"/>
      <c r="Q240" s="48">
        <v>0</v>
      </c>
      <c r="R240" s="48"/>
      <c r="S240" s="48">
        <f t="shared" si="6"/>
        <v>4803140</v>
      </c>
      <c r="T240" s="44"/>
      <c r="U240" s="48">
        <v>726886</v>
      </c>
      <c r="W240" s="44">
        <f>+S240-'Stmt net assets'!O240-U240</f>
        <v>0</v>
      </c>
    </row>
    <row r="241" spans="1:23" s="65" customFormat="1" ht="12.75" customHeight="1">
      <c r="A241" s="35" t="s">
        <v>272</v>
      </c>
      <c r="B241" s="51"/>
      <c r="C241" s="35" t="s">
        <v>43</v>
      </c>
      <c r="D241" s="35"/>
      <c r="E241" s="48">
        <v>23794270</v>
      </c>
      <c r="F241" s="48"/>
      <c r="G241" s="48">
        <v>20877</v>
      </c>
      <c r="H241" s="48"/>
      <c r="I241" s="48">
        <v>0</v>
      </c>
      <c r="J241" s="48"/>
      <c r="K241" s="48">
        <v>0</v>
      </c>
      <c r="L241" s="48"/>
      <c r="M241" s="48">
        <v>0</v>
      </c>
      <c r="N241" s="48"/>
      <c r="O241" s="48">
        <v>3628199</v>
      </c>
      <c r="P241" s="48"/>
      <c r="Q241" s="48">
        <v>0</v>
      </c>
      <c r="R241" s="48"/>
      <c r="S241" s="48">
        <f t="shared" si="6"/>
        <v>27443346</v>
      </c>
      <c r="T241" s="44"/>
      <c r="U241" s="48">
        <v>3781814</v>
      </c>
      <c r="W241" s="44">
        <f>+S241-'Stmt net assets'!O241-U241</f>
        <v>0</v>
      </c>
    </row>
    <row r="242" spans="1:23" s="66" customFormat="1" ht="12.75" customHeight="1">
      <c r="A242" s="35" t="s">
        <v>273</v>
      </c>
      <c r="B242" s="51"/>
      <c r="C242" s="35" t="s">
        <v>27</v>
      </c>
      <c r="D242" s="35"/>
      <c r="E242" s="48">
        <v>12093417</v>
      </c>
      <c r="F242" s="48"/>
      <c r="G242" s="48">
        <v>5370923</v>
      </c>
      <c r="H242" s="48"/>
      <c r="I242" s="48">
        <v>0</v>
      </c>
      <c r="J242" s="48"/>
      <c r="K242" s="48">
        <v>747233</v>
      </c>
      <c r="L242" s="48"/>
      <c r="M242" s="48">
        <v>0</v>
      </c>
      <c r="N242" s="48"/>
      <c r="O242" s="48">
        <v>4972521</v>
      </c>
      <c r="P242" s="48"/>
      <c r="Q242" s="48">
        <v>552657</v>
      </c>
      <c r="R242" s="48"/>
      <c r="S242" s="48">
        <f t="shared" si="6"/>
        <v>23736751</v>
      </c>
      <c r="T242" s="44"/>
      <c r="U242" s="48">
        <v>1756772</v>
      </c>
      <c r="V242" s="65"/>
      <c r="W242" s="44">
        <f>+S242-'Stmt net assets'!O242-U242</f>
        <v>0</v>
      </c>
    </row>
    <row r="243" spans="1:23" s="65" customFormat="1" ht="12.75" customHeight="1">
      <c r="A243" s="35" t="s">
        <v>274</v>
      </c>
      <c r="B243" s="51"/>
      <c r="C243" s="35" t="s">
        <v>43</v>
      </c>
      <c r="D243" s="35"/>
      <c r="E243" s="48">
        <v>2155000</v>
      </c>
      <c r="F243" s="48"/>
      <c r="G243" s="48">
        <v>0</v>
      </c>
      <c r="H243" s="48"/>
      <c r="I243" s="48">
        <v>0</v>
      </c>
      <c r="J243" s="48"/>
      <c r="K243" s="48">
        <v>0</v>
      </c>
      <c r="L243" s="48"/>
      <c r="M243" s="48">
        <f>1959+135050</f>
        <v>137009</v>
      </c>
      <c r="N243" s="48"/>
      <c r="O243" s="48">
        <v>1594231</v>
      </c>
      <c r="P243" s="48"/>
      <c r="Q243" s="48">
        <f>6608-51057</f>
        <v>-44449</v>
      </c>
      <c r="R243" s="48"/>
      <c r="S243" s="48">
        <f t="shared" si="6"/>
        <v>3841791</v>
      </c>
      <c r="T243" s="44"/>
      <c r="U243" s="48">
        <v>1214227</v>
      </c>
      <c r="W243" s="44">
        <f>+S243-'Stmt net assets'!O243-U243</f>
        <v>0</v>
      </c>
    </row>
    <row r="244" spans="1:23" s="65" customFormat="1" ht="12.75" customHeight="1">
      <c r="A244" s="35" t="s">
        <v>275</v>
      </c>
      <c r="B244" s="51"/>
      <c r="C244" s="35" t="s">
        <v>92</v>
      </c>
      <c r="D244" s="35"/>
      <c r="E244" s="48">
        <v>2225000</v>
      </c>
      <c r="F244" s="48"/>
      <c r="G244" s="48">
        <v>0</v>
      </c>
      <c r="H244" s="48"/>
      <c r="I244" s="48">
        <v>0</v>
      </c>
      <c r="J244" s="48"/>
      <c r="K244" s="48">
        <v>82590</v>
      </c>
      <c r="L244" s="48"/>
      <c r="M244" s="48">
        <v>0</v>
      </c>
      <c r="N244" s="48"/>
      <c r="O244" s="48">
        <v>1557410</v>
      </c>
      <c r="P244" s="48"/>
      <c r="Q244" s="48">
        <v>0</v>
      </c>
      <c r="R244" s="48"/>
      <c r="S244" s="48">
        <f t="shared" si="6"/>
        <v>3865000</v>
      </c>
      <c r="T244" s="44"/>
      <c r="U244" s="48">
        <v>246488</v>
      </c>
      <c r="W244" s="44">
        <f>+S244-'Stmt net assets'!O244-U244</f>
        <v>0</v>
      </c>
    </row>
    <row r="245" spans="1:23" s="65" customFormat="1" ht="12.75" customHeight="1">
      <c r="A245" s="35" t="s">
        <v>276</v>
      </c>
      <c r="B245" s="51"/>
      <c r="C245" s="35" t="s">
        <v>38</v>
      </c>
      <c r="D245" s="35"/>
      <c r="E245" s="48">
        <f>457984+370000</f>
        <v>827984</v>
      </c>
      <c r="F245" s="48"/>
      <c r="G245" s="48">
        <v>0</v>
      </c>
      <c r="H245" s="48"/>
      <c r="I245" s="48">
        <v>0</v>
      </c>
      <c r="J245" s="48"/>
      <c r="K245" s="48">
        <v>0</v>
      </c>
      <c r="L245" s="48"/>
      <c r="M245" s="48">
        <v>0</v>
      </c>
      <c r="N245" s="48"/>
      <c r="O245" s="48">
        <v>240918</v>
      </c>
      <c r="P245" s="48"/>
      <c r="Q245" s="48">
        <v>0</v>
      </c>
      <c r="R245" s="48"/>
      <c r="S245" s="48">
        <f t="shared" si="6"/>
        <v>1068902</v>
      </c>
      <c r="T245" s="44"/>
      <c r="U245" s="48">
        <v>214928</v>
      </c>
      <c r="W245" s="44">
        <f>+S245-'Stmt net assets'!O245-U245</f>
        <v>0</v>
      </c>
    </row>
    <row r="246" spans="1:23" s="65" customFormat="1" ht="12.75" customHeight="1">
      <c r="A246" s="35" t="s">
        <v>277</v>
      </c>
      <c r="B246" s="51"/>
      <c r="C246" s="35" t="s">
        <v>92</v>
      </c>
      <c r="D246" s="35"/>
      <c r="E246" s="48">
        <v>11982581</v>
      </c>
      <c r="F246" s="48"/>
      <c r="G246" s="48">
        <v>250000</v>
      </c>
      <c r="H246" s="48"/>
      <c r="I246" s="48">
        <v>0</v>
      </c>
      <c r="J246" s="48"/>
      <c r="K246" s="48">
        <v>0</v>
      </c>
      <c r="L246" s="48"/>
      <c r="M246" s="48">
        <v>0</v>
      </c>
      <c r="N246" s="48"/>
      <c r="O246" s="48">
        <v>5478886</v>
      </c>
      <c r="P246" s="48"/>
      <c r="Q246" s="48">
        <f>116892+910036</f>
        <v>1026928</v>
      </c>
      <c r="R246" s="48"/>
      <c r="S246" s="48">
        <f t="shared" si="6"/>
        <v>18738395</v>
      </c>
      <c r="T246" s="44"/>
      <c r="U246" s="48">
        <v>2338679</v>
      </c>
      <c r="W246" s="44">
        <f>+S246-'Stmt net assets'!O246-U246</f>
        <v>0</v>
      </c>
    </row>
    <row r="247" spans="1:23" s="65" customFormat="1" ht="12.75" customHeight="1">
      <c r="A247" s="35" t="s">
        <v>278</v>
      </c>
      <c r="B247" s="51"/>
      <c r="C247" s="35" t="s">
        <v>92</v>
      </c>
      <c r="D247" s="35"/>
      <c r="E247" s="48">
        <f>2504510+1050000</f>
        <v>3554510</v>
      </c>
      <c r="F247" s="48"/>
      <c r="G247" s="48">
        <v>86790</v>
      </c>
      <c r="H247" s="48"/>
      <c r="I247" s="48">
        <v>0</v>
      </c>
      <c r="J247" s="48"/>
      <c r="K247" s="48">
        <v>0</v>
      </c>
      <c r="L247" s="48"/>
      <c r="M247" s="48">
        <v>17259</v>
      </c>
      <c r="N247" s="48"/>
      <c r="O247" s="48">
        <v>526928</v>
      </c>
      <c r="P247" s="48"/>
      <c r="Q247" s="48">
        <v>128570</v>
      </c>
      <c r="R247" s="48"/>
      <c r="S247" s="48">
        <f t="shared" si="6"/>
        <v>4314057</v>
      </c>
      <c r="T247" s="44"/>
      <c r="U247" s="48">
        <v>1468683</v>
      </c>
      <c r="W247" s="44">
        <f>+S247-'Stmt net assets'!O247-U247</f>
        <v>0</v>
      </c>
    </row>
    <row r="248" spans="1:23" s="65" customFormat="1" ht="12.75" customHeight="1">
      <c r="A248" s="35" t="s">
        <v>279</v>
      </c>
      <c r="B248" s="51"/>
      <c r="C248" s="35" t="s">
        <v>92</v>
      </c>
      <c r="D248" s="35"/>
      <c r="E248" s="48">
        <v>0</v>
      </c>
      <c r="F248" s="48"/>
      <c r="G248" s="48">
        <v>0</v>
      </c>
      <c r="H248" s="48"/>
      <c r="I248" s="48">
        <f>850000+2295000</f>
        <v>3145000</v>
      </c>
      <c r="J248" s="48"/>
      <c r="K248" s="48">
        <f>117686+90621</f>
        <v>208307</v>
      </c>
      <c r="L248" s="48"/>
      <c r="M248" s="48">
        <v>0</v>
      </c>
      <c r="N248" s="48"/>
      <c r="O248" s="48">
        <v>1306547</v>
      </c>
      <c r="P248" s="48"/>
      <c r="Q248" s="48">
        <v>0</v>
      </c>
      <c r="R248" s="48"/>
      <c r="S248" s="48">
        <f t="shared" si="6"/>
        <v>4659854</v>
      </c>
      <c r="T248" s="44"/>
      <c r="U248" s="48">
        <v>3644905</v>
      </c>
      <c r="W248" s="44">
        <f>+S248-'Stmt net assets'!O248-U248</f>
        <v>0</v>
      </c>
    </row>
    <row r="249" spans="1:23" s="65" customFormat="1" ht="12.75" customHeight="1">
      <c r="A249" s="35" t="s">
        <v>280</v>
      </c>
      <c r="B249" s="51"/>
      <c r="C249" s="35" t="s">
        <v>281</v>
      </c>
      <c r="D249" s="35"/>
      <c r="E249" s="48">
        <v>5970000</v>
      </c>
      <c r="F249" s="48"/>
      <c r="G249" s="48">
        <v>0</v>
      </c>
      <c r="H249" s="48"/>
      <c r="I249" s="48">
        <v>0</v>
      </c>
      <c r="J249" s="48"/>
      <c r="K249" s="48">
        <v>0</v>
      </c>
      <c r="L249" s="48"/>
      <c r="M249" s="48">
        <v>0</v>
      </c>
      <c r="N249" s="48"/>
      <c r="O249" s="48">
        <f>616313+101820</f>
        <v>718133</v>
      </c>
      <c r="P249" s="48"/>
      <c r="Q249" s="48">
        <v>0</v>
      </c>
      <c r="R249" s="48"/>
      <c r="S249" s="48">
        <f t="shared" si="6"/>
        <v>6688133</v>
      </c>
      <c r="T249" s="44"/>
      <c r="U249" s="48">
        <v>448772</v>
      </c>
      <c r="W249" s="44">
        <f>+S249-'Stmt net assets'!O249-U249</f>
        <v>0</v>
      </c>
    </row>
    <row r="250" spans="1:23" s="65" customFormat="1" ht="12.75" customHeight="1">
      <c r="A250" s="35" t="s">
        <v>282</v>
      </c>
      <c r="B250" s="51"/>
      <c r="C250" s="35" t="s">
        <v>199</v>
      </c>
      <c r="D250" s="35"/>
      <c r="E250" s="48">
        <f>9460966-2016365-307328</f>
        <v>7137273</v>
      </c>
      <c r="F250" s="48"/>
      <c r="G250" s="48">
        <v>307328</v>
      </c>
      <c r="H250" s="48"/>
      <c r="I250" s="48">
        <v>0</v>
      </c>
      <c r="J250" s="48"/>
      <c r="K250" s="48">
        <v>0</v>
      </c>
      <c r="L250" s="48"/>
      <c r="M250" s="48">
        <v>0</v>
      </c>
      <c r="N250" s="48"/>
      <c r="O250" s="48">
        <v>2016365</v>
      </c>
      <c r="P250" s="48"/>
      <c r="Q250" s="48">
        <v>0</v>
      </c>
      <c r="R250" s="48"/>
      <c r="S250" s="48">
        <f t="shared" si="6"/>
        <v>9460966</v>
      </c>
      <c r="T250" s="44"/>
      <c r="U250" s="48">
        <v>4884238</v>
      </c>
      <c r="W250" s="44">
        <f>+S250-'Stmt net assets'!O250-U250</f>
        <v>0</v>
      </c>
    </row>
    <row r="251" spans="1:23" s="65" customFormat="1" ht="12.75" customHeight="1">
      <c r="A251" s="35" t="s">
        <v>283</v>
      </c>
      <c r="B251" s="51"/>
      <c r="C251" s="35" t="s">
        <v>43</v>
      </c>
      <c r="D251" s="35"/>
      <c r="E251" s="48">
        <v>7970419</v>
      </c>
      <c r="F251" s="48"/>
      <c r="G251" s="48">
        <v>0</v>
      </c>
      <c r="H251" s="48"/>
      <c r="I251" s="48">
        <v>0</v>
      </c>
      <c r="J251" s="48"/>
      <c r="K251" s="48">
        <v>152296</v>
      </c>
      <c r="L251" s="48"/>
      <c r="M251" s="48">
        <v>0</v>
      </c>
      <c r="N251" s="48"/>
      <c r="O251" s="48">
        <v>1446770</v>
      </c>
      <c r="P251" s="48"/>
      <c r="Q251" s="48">
        <v>0</v>
      </c>
      <c r="R251" s="48"/>
      <c r="S251" s="48">
        <f t="shared" si="6"/>
        <v>9569485</v>
      </c>
      <c r="T251" s="44"/>
      <c r="U251" s="48">
        <v>481839</v>
      </c>
      <c r="W251" s="44">
        <f>+S251-'Stmt net assets'!O251-U251</f>
        <v>0</v>
      </c>
    </row>
    <row r="252" spans="1:23" s="65" customFormat="1" ht="12.75" customHeight="1">
      <c r="A252" s="35" t="s">
        <v>284</v>
      </c>
      <c r="B252" s="51"/>
      <c r="C252" s="35" t="s">
        <v>45</v>
      </c>
      <c r="D252" s="35"/>
      <c r="E252" s="48">
        <v>8052570</v>
      </c>
      <c r="F252" s="48"/>
      <c r="G252" s="48">
        <v>0</v>
      </c>
      <c r="H252" s="48"/>
      <c r="I252" s="48">
        <v>0</v>
      </c>
      <c r="J252" s="48"/>
      <c r="K252" s="48">
        <v>0</v>
      </c>
      <c r="L252" s="48"/>
      <c r="M252" s="48">
        <v>0</v>
      </c>
      <c r="N252" s="48"/>
      <c r="O252" s="48">
        <f>177443+540633</f>
        <v>718076</v>
      </c>
      <c r="P252" s="48"/>
      <c r="Q252" s="48">
        <v>0</v>
      </c>
      <c r="R252" s="48"/>
      <c r="S252" s="48">
        <f t="shared" si="6"/>
        <v>8770646</v>
      </c>
      <c r="T252" s="44"/>
      <c r="U252" s="48">
        <v>407479</v>
      </c>
      <c r="W252" s="44">
        <f>+S252-'Stmt net assets'!O252-U252</f>
        <v>0</v>
      </c>
    </row>
    <row r="253" spans="1:23" s="65" customFormat="1" ht="12.75" customHeight="1">
      <c r="A253" s="35" t="s">
        <v>285</v>
      </c>
      <c r="B253" s="51"/>
      <c r="C253" s="35" t="s">
        <v>30</v>
      </c>
      <c r="D253" s="35"/>
      <c r="E253" s="48">
        <v>1005000</v>
      </c>
      <c r="F253" s="48"/>
      <c r="G253" s="48">
        <v>0</v>
      </c>
      <c r="H253" s="48"/>
      <c r="I253" s="48">
        <v>0</v>
      </c>
      <c r="J253" s="48"/>
      <c r="K253" s="48">
        <v>0</v>
      </c>
      <c r="L253" s="48"/>
      <c r="M253" s="48">
        <v>1772837</v>
      </c>
      <c r="N253" s="48"/>
      <c r="O253" s="48">
        <v>1626007</v>
      </c>
      <c r="P253" s="48"/>
      <c r="Q253" s="48">
        <v>0</v>
      </c>
      <c r="R253" s="48"/>
      <c r="S253" s="48">
        <f t="shared" si="6"/>
        <v>4403844</v>
      </c>
      <c r="T253" s="44"/>
      <c r="U253" s="48">
        <v>611634</v>
      </c>
      <c r="W253" s="44">
        <f>+S253-'Stmt net assets'!O253-U253</f>
        <v>0</v>
      </c>
    </row>
    <row r="254" spans="1:23" s="65" customFormat="1" ht="12.75" customHeight="1">
      <c r="A254" s="35" t="s">
        <v>286</v>
      </c>
      <c r="C254" s="35" t="s">
        <v>61</v>
      </c>
      <c r="D254" s="35"/>
      <c r="E254" s="48">
        <v>20960000</v>
      </c>
      <c r="F254" s="48"/>
      <c r="G254" s="48">
        <v>0</v>
      </c>
      <c r="H254" s="48"/>
      <c r="I254" s="48">
        <v>0</v>
      </c>
      <c r="J254" s="48"/>
      <c r="K254" s="48">
        <v>3674950</v>
      </c>
      <c r="L254" s="48"/>
      <c r="M254" s="48">
        <v>522448</v>
      </c>
      <c r="N254" s="48"/>
      <c r="O254" s="48">
        <v>8767351</v>
      </c>
      <c r="P254" s="48"/>
      <c r="Q254" s="48">
        <v>-73948</v>
      </c>
      <c r="R254" s="48"/>
      <c r="S254" s="48">
        <f t="shared" si="6"/>
        <v>33850801</v>
      </c>
      <c r="T254" s="44"/>
      <c r="U254" s="48">
        <v>3062431</v>
      </c>
      <c r="W254" s="44">
        <f>+S254-'Stmt net assets'!O254-U254</f>
        <v>0</v>
      </c>
    </row>
    <row r="255" spans="1:23" s="65" customFormat="1" ht="12.75" customHeight="1">
      <c r="A255" s="35" t="s">
        <v>287</v>
      </c>
      <c r="C255" s="35" t="s">
        <v>288</v>
      </c>
      <c r="D255" s="35"/>
      <c r="E255" s="48">
        <v>1922152</v>
      </c>
      <c r="F255" s="48"/>
      <c r="G255" s="48">
        <v>0</v>
      </c>
      <c r="H255" s="48"/>
      <c r="I255" s="48">
        <v>0</v>
      </c>
      <c r="J255" s="48"/>
      <c r="K255" s="48">
        <v>4540966</v>
      </c>
      <c r="L255" s="48"/>
      <c r="M255" s="48">
        <v>0</v>
      </c>
      <c r="N255" s="48"/>
      <c r="O255" s="48">
        <v>1879962</v>
      </c>
      <c r="P255" s="48"/>
      <c r="Q255" s="48">
        <v>0</v>
      </c>
      <c r="R255" s="48"/>
      <c r="S255" s="48">
        <f t="shared" si="6"/>
        <v>8343080</v>
      </c>
      <c r="T255" s="44"/>
      <c r="U255" s="48">
        <v>1853376</v>
      </c>
      <c r="W255" s="44">
        <f>+S255-'Stmt net assets'!O255-U255</f>
        <v>0</v>
      </c>
    </row>
    <row r="256" spans="1:23" s="65" customFormat="1" ht="12.75" customHeight="1">
      <c r="A256" s="35"/>
      <c r="B256" s="51"/>
      <c r="C256" s="35"/>
      <c r="D256" s="35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4"/>
      <c r="U256" s="44"/>
      <c r="W256" s="44"/>
    </row>
    <row r="257" spans="1:23" s="65" customFormat="1" ht="12.75" customHeight="1">
      <c r="B257" s="51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U257" s="44"/>
      <c r="W257" s="44"/>
    </row>
    <row r="258" spans="1:23" s="65" customFormat="1" ht="12.75" customHeight="1">
      <c r="B258" s="51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U258" s="44"/>
      <c r="W258" s="44"/>
    </row>
    <row r="259" spans="1:23" s="65" customFormat="1" ht="12.75" customHeight="1">
      <c r="B259" s="51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U259" s="44"/>
      <c r="W259" s="44"/>
    </row>
    <row r="260" spans="1:23" s="65" customFormat="1" ht="12.75" customHeight="1">
      <c r="B260" s="51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U260" s="44"/>
      <c r="W260" s="44"/>
    </row>
    <row r="261" spans="1:23" s="65" customFormat="1" ht="12.75" customHeight="1">
      <c r="B261" s="51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U261" s="44"/>
      <c r="W261" s="44"/>
    </row>
    <row r="262" spans="1:23" s="65" customFormat="1" ht="12.75" customHeight="1">
      <c r="B262" s="51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U262" s="44"/>
      <c r="W262" s="44"/>
    </row>
    <row r="263" spans="1:23" s="65" customFormat="1" ht="12.75" customHeight="1">
      <c r="B263" s="51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U263" s="44"/>
      <c r="W263" s="44"/>
    </row>
    <row r="264" spans="1:23" s="65" customFormat="1" ht="12.75" customHeight="1">
      <c r="B264" s="51"/>
      <c r="U264" s="44"/>
      <c r="W264" s="44"/>
    </row>
    <row r="265" spans="1:23" s="65" customFormat="1" ht="12.75" customHeight="1">
      <c r="B265" s="51"/>
      <c r="U265" s="44"/>
      <c r="W265" s="44"/>
    </row>
    <row r="266" spans="1:23" s="65" customFormat="1" ht="12.75" customHeight="1">
      <c r="A266" s="44"/>
      <c r="B266" s="51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W266" s="44"/>
    </row>
    <row r="267" spans="1:23" s="65" customFormat="1" ht="12.75" customHeight="1">
      <c r="A267" s="44"/>
      <c r="B267" s="51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8"/>
      <c r="T267" s="44"/>
      <c r="U267" s="44"/>
      <c r="W267" s="44"/>
    </row>
    <row r="268" spans="1:23" s="65" customFormat="1" ht="12.75" customHeight="1">
      <c r="A268" s="44"/>
      <c r="B268" s="51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W268" s="44"/>
    </row>
    <row r="269" spans="1:23" s="65" customFormat="1" ht="12.75" customHeight="1">
      <c r="A269" s="44"/>
      <c r="B269" s="51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W269" s="44"/>
    </row>
    <row r="270" spans="1:23" s="65" customFormat="1" ht="12.75" customHeight="1">
      <c r="A270" s="44"/>
      <c r="B270" s="51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W270" s="44"/>
    </row>
    <row r="271" spans="1:23" s="65" customFormat="1" ht="12.75" customHeight="1">
      <c r="A271" s="44"/>
      <c r="B271" s="51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W271" s="44"/>
    </row>
    <row r="272" spans="1:23" s="65" customFormat="1" ht="12.75" customHeight="1">
      <c r="A272" s="44"/>
      <c r="B272" s="51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W272" s="44"/>
    </row>
    <row r="273" spans="1:23" s="65" customFormat="1" ht="12.75" customHeight="1">
      <c r="A273" s="44"/>
      <c r="B273" s="51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W273" s="44"/>
    </row>
    <row r="274" spans="1:23" s="65" customFormat="1" ht="12.75" customHeight="1">
      <c r="A274" s="44"/>
      <c r="B274" s="51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W274" s="44"/>
    </row>
    <row r="275" spans="1:23" s="65" customFormat="1" ht="12.75" customHeight="1">
      <c r="A275" s="44"/>
      <c r="B275" s="51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W275" s="44"/>
    </row>
    <row r="276" spans="1:23" s="65" customFormat="1" ht="12.75" customHeight="1">
      <c r="A276" s="44"/>
      <c r="B276" s="51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W276" s="44"/>
    </row>
    <row r="277" spans="1:23" ht="12.75" customHeight="1">
      <c r="A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1:23" ht="12.75" customHeight="1">
      <c r="A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</row>
    <row r="279" spans="1:23" ht="12.75" customHeight="1">
      <c r="A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</row>
    <row r="280" spans="1:23" ht="12.75" customHeight="1">
      <c r="A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</row>
    <row r="281" spans="1:23" ht="12.75" customHeight="1">
      <c r="A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</row>
    <row r="282" spans="1:23" ht="12.75" customHeight="1">
      <c r="A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1:23" ht="12.75" customHeight="1">
      <c r="A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</row>
    <row r="284" spans="1:23" ht="12.75" customHeight="1">
      <c r="A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</row>
    <row r="285" spans="1:23" ht="12.75" customHeight="1">
      <c r="A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</row>
    <row r="286" spans="1:23" ht="12.75" customHeight="1">
      <c r="A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</row>
    <row r="287" spans="1:23" ht="12.75" customHeight="1">
      <c r="A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</row>
    <row r="288" spans="1:23" ht="12.75" customHeight="1">
      <c r="A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</row>
    <row r="289" spans="1:20" ht="12.75" customHeight="1">
      <c r="A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</row>
    <row r="290" spans="1:20" ht="12.75" customHeight="1">
      <c r="A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</row>
    <row r="291" spans="1:20" ht="12.75" customHeight="1">
      <c r="A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</row>
    <row r="292" spans="1:20" ht="12.75" customHeight="1">
      <c r="A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</row>
    <row r="293" spans="1:20" ht="12.75" customHeight="1">
      <c r="A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</row>
    <row r="294" spans="1:20" ht="12.75" customHeight="1">
      <c r="A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</row>
    <row r="295" spans="1:20" ht="12.75" customHeight="1">
      <c r="A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</row>
    <row r="296" spans="1:20" ht="12.75" customHeight="1">
      <c r="A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</row>
    <row r="297" spans="1:20" ht="12.75" customHeight="1">
      <c r="A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</row>
    <row r="298" spans="1:20" ht="12.75" customHeight="1">
      <c r="A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1:20" ht="12.75" customHeight="1">
      <c r="A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</row>
    <row r="300" spans="1:20" ht="12.75" customHeight="1">
      <c r="A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</row>
  </sheetData>
  <phoneticPr fontId="4" type="noConversion"/>
  <pageMargins left="0.75" right="0.75" top="0.5" bottom="0.5" header="0" footer="0.25"/>
  <pageSetup scale="84" firstPageNumber="114" pageOrder="overThenDown" orientation="portrait" useFirstPageNumber="1" horizontalDpi="1200" verticalDpi="1200" r:id="rId1"/>
  <headerFooter alignWithMargins="0">
    <oddFooter>&amp;C&amp;"Times New Roman,Regular"&amp;11&amp;P</oddFooter>
  </headerFooter>
  <rowBreaks count="3" manualBreakCount="3">
    <brk id="69" max="20" man="1"/>
    <brk id="130" max="20" man="1"/>
    <brk id="195" max="20" man="1"/>
  </rowBreaks>
  <colBreaks count="1" manualBreakCount="1">
    <brk id="14" min="9" max="25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F266"/>
  <sheetViews>
    <sheetView view="pageBreakPreview" zoomScale="60" zoomScaleNormal="150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AC69" sqref="AC69"/>
    </sheetView>
  </sheetViews>
  <sheetFormatPr defaultColWidth="9.109375" defaultRowHeight="12.75" customHeight="1"/>
  <cols>
    <col min="1" max="1" width="15.33203125" style="10" customWidth="1"/>
    <col min="2" max="2" width="1.6640625" style="10" customWidth="1"/>
    <col min="3" max="3" width="11" style="10" customWidth="1"/>
    <col min="4" max="4" width="1.6640625" style="10" customWidth="1"/>
    <col min="5" max="5" width="11.6640625" style="10" customWidth="1"/>
    <col min="6" max="6" width="1.6640625" style="10" customWidth="1"/>
    <col min="7" max="7" width="12.5546875" style="10" customWidth="1"/>
    <col min="8" max="8" width="1.6640625" style="10" customWidth="1"/>
    <col min="9" max="9" width="11.6640625" style="10" customWidth="1"/>
    <col min="10" max="10" width="2.6640625" style="10" customWidth="1"/>
    <col min="11" max="11" width="11.44140625" style="10" customWidth="1"/>
    <col min="12" max="12" width="1.6640625" style="10" customWidth="1"/>
    <col min="13" max="13" width="11.6640625" style="10" customWidth="1"/>
    <col min="14" max="14" width="1.6640625" style="10" customWidth="1"/>
    <col min="15" max="15" width="11.6640625" style="10" customWidth="1"/>
    <col min="16" max="16" width="1.6640625" style="10" customWidth="1"/>
    <col min="17" max="17" width="11.6640625" style="10" customWidth="1"/>
    <col min="18" max="18" width="1.6640625" style="10" customWidth="1"/>
    <col min="19" max="19" width="11.6640625" style="10" customWidth="1"/>
    <col min="20" max="20" width="1.6640625" style="10" customWidth="1"/>
    <col min="21" max="21" width="11.6640625" style="10" customWidth="1"/>
    <col min="22" max="22" width="1" style="10" customWidth="1"/>
    <col min="23" max="23" width="12.44140625" style="10" customWidth="1"/>
    <col min="24" max="24" width="1.6640625" style="10" customWidth="1"/>
    <col min="25" max="25" width="9" style="10" customWidth="1"/>
    <col min="26" max="26" width="1.6640625" style="10" customWidth="1"/>
    <col min="27" max="27" width="12.6640625" style="10" customWidth="1"/>
    <col min="28" max="28" width="2.6640625" style="10" customWidth="1"/>
    <col min="29" max="29" width="12.6640625" style="10" customWidth="1"/>
    <col min="30" max="30" width="9.5546875" style="10" bestFit="1" customWidth="1"/>
    <col min="31" max="31" width="11" style="10" bestFit="1" customWidth="1"/>
    <col min="32" max="16384" width="9.109375" style="10"/>
  </cols>
  <sheetData>
    <row r="1" spans="1:30" ht="12.75" customHeight="1">
      <c r="A1" s="9" t="s">
        <v>384</v>
      </c>
    </row>
    <row r="2" spans="1:30" ht="12.75" customHeight="1">
      <c r="A2" s="9" t="s">
        <v>501</v>
      </c>
    </row>
    <row r="3" spans="1:30" ht="12.75" customHeight="1">
      <c r="A3" s="9" t="s">
        <v>289</v>
      </c>
    </row>
    <row r="4" spans="1:30" ht="12.75" customHeight="1">
      <c r="A4" s="9"/>
    </row>
    <row r="5" spans="1:30" ht="12.75" customHeight="1">
      <c r="E5" s="13" t="s">
        <v>291</v>
      </c>
      <c r="F5" s="13"/>
      <c r="G5" s="13"/>
      <c r="H5" s="13"/>
      <c r="I5" s="13"/>
      <c r="K5" s="159" t="s">
        <v>470</v>
      </c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56"/>
      <c r="W5" s="15"/>
      <c r="X5" s="14"/>
      <c r="Y5" s="14"/>
      <c r="Z5" s="14"/>
      <c r="AA5" s="15" t="s">
        <v>425</v>
      </c>
      <c r="AC5" s="15" t="s">
        <v>426</v>
      </c>
    </row>
    <row r="6" spans="1:30" ht="12.75" customHeight="1">
      <c r="G6" s="12" t="s">
        <v>399</v>
      </c>
      <c r="V6" s="19"/>
      <c r="W6" s="18"/>
      <c r="AA6" s="15" t="s">
        <v>444</v>
      </c>
      <c r="AC6" s="15" t="s">
        <v>444</v>
      </c>
    </row>
    <row r="7" spans="1:30" ht="12.75" customHeight="1">
      <c r="A7" s="11"/>
      <c r="C7" s="11"/>
      <c r="D7" s="11"/>
      <c r="E7" s="12" t="s">
        <v>292</v>
      </c>
      <c r="F7" s="12"/>
      <c r="G7" s="12" t="s">
        <v>361</v>
      </c>
      <c r="H7" s="12"/>
      <c r="I7" s="12" t="s">
        <v>4</v>
      </c>
      <c r="K7" s="15" t="s">
        <v>293</v>
      </c>
      <c r="L7" s="15"/>
      <c r="M7" s="15" t="s">
        <v>303</v>
      </c>
      <c r="N7" s="15"/>
      <c r="O7" s="15" t="s">
        <v>304</v>
      </c>
      <c r="P7" s="15"/>
      <c r="Q7" s="15" t="s">
        <v>11</v>
      </c>
      <c r="R7" s="15"/>
      <c r="S7" s="12" t="s">
        <v>295</v>
      </c>
      <c r="T7" s="12"/>
      <c r="U7" s="12"/>
      <c r="V7" s="12"/>
      <c r="W7" s="12" t="s">
        <v>301</v>
      </c>
      <c r="X7" s="12"/>
      <c r="Y7" s="12" t="s">
        <v>328</v>
      </c>
      <c r="Z7" s="12"/>
      <c r="AA7" s="15" t="s">
        <v>445</v>
      </c>
      <c r="AB7" s="19"/>
      <c r="AC7" s="15" t="s">
        <v>445</v>
      </c>
    </row>
    <row r="8" spans="1:30" s="47" customFormat="1" ht="12.75" customHeight="1">
      <c r="A8" s="100" t="s">
        <v>8</v>
      </c>
      <c r="C8" s="100" t="s">
        <v>9</v>
      </c>
      <c r="D8" s="50"/>
      <c r="E8" s="16" t="s">
        <v>297</v>
      </c>
      <c r="F8" s="18"/>
      <c r="G8" s="16" t="s">
        <v>400</v>
      </c>
      <c r="H8" s="18"/>
      <c r="I8" s="16" t="s">
        <v>298</v>
      </c>
      <c r="K8" s="16" t="s">
        <v>423</v>
      </c>
      <c r="L8" s="18"/>
      <c r="M8" s="16" t="s">
        <v>299</v>
      </c>
      <c r="N8" s="18"/>
      <c r="O8" s="16" t="s">
        <v>299</v>
      </c>
      <c r="P8" s="18"/>
      <c r="Q8" s="16" t="s">
        <v>298</v>
      </c>
      <c r="R8" s="18"/>
      <c r="S8" s="16" t="s">
        <v>300</v>
      </c>
      <c r="T8" s="18"/>
      <c r="U8" s="16" t="s">
        <v>294</v>
      </c>
      <c r="V8" s="18"/>
      <c r="W8" s="16" t="s">
        <v>439</v>
      </c>
      <c r="X8" s="18"/>
      <c r="Y8" s="16" t="s">
        <v>443</v>
      </c>
      <c r="Z8" s="18"/>
      <c r="AA8" s="16" t="s">
        <v>446</v>
      </c>
      <c r="AB8" s="18"/>
      <c r="AC8" s="16" t="s">
        <v>446</v>
      </c>
    </row>
    <row r="9" spans="1:30" s="47" customFormat="1" ht="12.75" customHeight="1">
      <c r="A9" s="26"/>
      <c r="C9" s="26"/>
      <c r="D9" s="50"/>
      <c r="E9" s="18"/>
      <c r="F9" s="18"/>
      <c r="G9" s="18"/>
      <c r="H9" s="18"/>
      <c r="I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</row>
    <row r="10" spans="1:30" s="46" customFormat="1" ht="12.75" customHeight="1">
      <c r="A10" s="47" t="s">
        <v>12</v>
      </c>
      <c r="B10" s="47"/>
      <c r="C10" s="47" t="s">
        <v>13</v>
      </c>
      <c r="D10" s="47"/>
      <c r="E10" s="46">
        <v>38027591</v>
      </c>
      <c r="G10" s="46">
        <v>23163116</v>
      </c>
      <c r="I10" s="46">
        <v>22905722</v>
      </c>
      <c r="K10" s="46">
        <v>33326060</v>
      </c>
      <c r="M10" s="46">
        <v>130610516</v>
      </c>
      <c r="O10" s="46">
        <v>17831880</v>
      </c>
      <c r="Q10" s="46">
        <v>51291763</v>
      </c>
      <c r="S10" s="46">
        <v>3557435</v>
      </c>
      <c r="U10" s="46">
        <f>9964899+357899</f>
        <v>10322798</v>
      </c>
      <c r="W10" s="46">
        <v>0</v>
      </c>
      <c r="Y10" s="46">
        <v>0</v>
      </c>
      <c r="AA10" s="46">
        <f>SUM(K10:Y10)</f>
        <v>246940452</v>
      </c>
      <c r="AC10" s="46">
        <f t="shared" ref="AC10:AC78" si="0">SUM(E10:Y10)</f>
        <v>331036881</v>
      </c>
    </row>
    <row r="11" spans="1:30" s="44" customFormat="1" ht="12.75" customHeight="1">
      <c r="A11" s="44" t="s">
        <v>14</v>
      </c>
      <c r="C11" s="44" t="s">
        <v>15</v>
      </c>
      <c r="E11" s="44">
        <v>1546685</v>
      </c>
      <c r="G11" s="44">
        <v>2104881</v>
      </c>
      <c r="I11" s="44">
        <v>326119</v>
      </c>
      <c r="K11" s="44">
        <f>870555+78526+78526+304094</f>
        <v>1331701</v>
      </c>
      <c r="M11" s="44">
        <f>7357213+642440+844658</f>
        <v>8844311</v>
      </c>
      <c r="O11" s="44">
        <v>0</v>
      </c>
      <c r="Q11" s="44">
        <v>1458034</v>
      </c>
      <c r="S11" s="44">
        <v>154923</v>
      </c>
      <c r="U11" s="44">
        <v>495455</v>
      </c>
      <c r="W11" s="44">
        <v>0</v>
      </c>
      <c r="Y11" s="44">
        <v>0</v>
      </c>
      <c r="AA11" s="44">
        <f t="shared" ref="AA11:AA78" si="1">SUM(K11:Y11)</f>
        <v>12284424</v>
      </c>
      <c r="AC11" s="44">
        <f t="shared" si="0"/>
        <v>16262109</v>
      </c>
    </row>
    <row r="12" spans="1:30" s="47" customFormat="1" ht="12.75" customHeight="1">
      <c r="A12" s="47" t="s">
        <v>16</v>
      </c>
      <c r="C12" s="47" t="s">
        <v>17</v>
      </c>
      <c r="E12" s="44">
        <v>503488</v>
      </c>
      <c r="F12" s="44"/>
      <c r="G12" s="44">
        <v>1043625</v>
      </c>
      <c r="H12" s="44"/>
      <c r="I12" s="44">
        <v>294166</v>
      </c>
      <c r="J12" s="44"/>
      <c r="K12" s="44">
        <f>1034659+208835+242991</f>
        <v>1486485</v>
      </c>
      <c r="L12" s="44"/>
      <c r="M12" s="44">
        <f>2234822+2149227</f>
        <v>4384049</v>
      </c>
      <c r="N12" s="44"/>
      <c r="O12" s="44">
        <v>0</v>
      </c>
      <c r="P12" s="44"/>
      <c r="Q12" s="44">
        <v>677972</v>
      </c>
      <c r="R12" s="44"/>
      <c r="S12" s="44">
        <v>473110</v>
      </c>
      <c r="T12" s="44"/>
      <c r="U12" s="44">
        <f>157201+7740</f>
        <v>164941</v>
      </c>
      <c r="V12" s="44"/>
      <c r="W12" s="44">
        <v>0</v>
      </c>
      <c r="X12" s="44"/>
      <c r="Y12" s="44">
        <v>0</v>
      </c>
      <c r="Z12" s="44"/>
      <c r="AA12" s="44">
        <f t="shared" si="1"/>
        <v>7186557</v>
      </c>
      <c r="AB12" s="44"/>
      <c r="AC12" s="44">
        <f t="shared" si="0"/>
        <v>9027836</v>
      </c>
    </row>
    <row r="13" spans="1:30" s="46" customFormat="1" ht="12.75" customHeight="1">
      <c r="A13" s="47" t="s">
        <v>18</v>
      </c>
      <c r="B13" s="47"/>
      <c r="C13" s="47" t="s">
        <v>18</v>
      </c>
      <c r="D13" s="47"/>
      <c r="E13" s="44">
        <v>3140886</v>
      </c>
      <c r="F13" s="44"/>
      <c r="G13" s="44">
        <v>2057660</v>
      </c>
      <c r="H13" s="44"/>
      <c r="I13" s="44">
        <v>0</v>
      </c>
      <c r="J13" s="44"/>
      <c r="K13" s="44">
        <f>812133+486780</f>
        <v>1298913</v>
      </c>
      <c r="L13" s="44"/>
      <c r="M13" s="44">
        <f>6565955+1699826</f>
        <v>8265781</v>
      </c>
      <c r="N13" s="44"/>
      <c r="O13" s="44">
        <v>0</v>
      </c>
      <c r="P13" s="44"/>
      <c r="Q13" s="44">
        <v>940906</v>
      </c>
      <c r="R13" s="44"/>
      <c r="S13" s="44">
        <v>367013</v>
      </c>
      <c r="T13" s="44"/>
      <c r="U13" s="44">
        <f>9944+228174</f>
        <v>238118</v>
      </c>
      <c r="V13" s="44"/>
      <c r="W13" s="44">
        <v>-381476</v>
      </c>
      <c r="X13" s="44"/>
      <c r="Y13" s="44">
        <v>0</v>
      </c>
      <c r="Z13" s="44"/>
      <c r="AA13" s="44">
        <f t="shared" si="1"/>
        <v>10729255</v>
      </c>
      <c r="AB13" s="44"/>
      <c r="AC13" s="44">
        <f t="shared" si="0"/>
        <v>15927801</v>
      </c>
    </row>
    <row r="14" spans="1:30" s="47" customFormat="1" ht="12.75" customHeight="1">
      <c r="A14" s="44" t="s">
        <v>19</v>
      </c>
      <c r="B14" s="46"/>
      <c r="C14" s="44" t="s">
        <v>19</v>
      </c>
      <c r="D14" s="44"/>
      <c r="E14" s="44">
        <v>3363203</v>
      </c>
      <c r="F14" s="44"/>
      <c r="G14" s="44">
        <v>565534</v>
      </c>
      <c r="H14" s="44"/>
      <c r="I14" s="44">
        <v>627184</v>
      </c>
      <c r="J14" s="44"/>
      <c r="K14" s="44">
        <f>1064331+588302+1421+452535</f>
        <v>2106589</v>
      </c>
      <c r="L14" s="44"/>
      <c r="M14" s="44">
        <f>6105678+667685</f>
        <v>6773363</v>
      </c>
      <c r="N14" s="44"/>
      <c r="O14" s="44"/>
      <c r="P14" s="44"/>
      <c r="Q14" s="44">
        <v>2217714</v>
      </c>
      <c r="R14" s="44"/>
      <c r="S14" s="44">
        <v>152306</v>
      </c>
      <c r="T14" s="44"/>
      <c r="U14" s="44">
        <v>404117</v>
      </c>
      <c r="V14" s="44"/>
      <c r="W14" s="44">
        <v>162820</v>
      </c>
      <c r="X14" s="44"/>
      <c r="Y14" s="44">
        <v>0</v>
      </c>
      <c r="Z14" s="44"/>
      <c r="AA14" s="44">
        <f t="shared" si="1"/>
        <v>11816909</v>
      </c>
      <c r="AB14" s="44"/>
      <c r="AC14" s="44">
        <f t="shared" si="0"/>
        <v>16372830</v>
      </c>
    </row>
    <row r="15" spans="1:30" s="47" customFormat="1" ht="12.75" customHeight="1">
      <c r="A15" s="47" t="s">
        <v>20</v>
      </c>
      <c r="C15" s="47" t="s">
        <v>20</v>
      </c>
      <c r="E15" s="44">
        <v>3676009</v>
      </c>
      <c r="F15" s="44"/>
      <c r="G15" s="44">
        <v>1871718</v>
      </c>
      <c r="H15" s="44"/>
      <c r="I15" s="44">
        <v>834138</v>
      </c>
      <c r="J15" s="44"/>
      <c r="K15" s="44">
        <v>504388</v>
      </c>
      <c r="L15" s="44"/>
      <c r="M15" s="44">
        <f>8095864+1304300</f>
        <v>9400164</v>
      </c>
      <c r="N15" s="44"/>
      <c r="O15" s="44">
        <v>249680</v>
      </c>
      <c r="P15" s="44"/>
      <c r="Q15" s="44">
        <v>1466160</v>
      </c>
      <c r="R15" s="44"/>
      <c r="S15" s="44">
        <v>287961</v>
      </c>
      <c r="T15" s="44"/>
      <c r="U15" s="44">
        <v>471470</v>
      </c>
      <c r="V15" s="44"/>
      <c r="W15" s="44">
        <v>20301</v>
      </c>
      <c r="X15" s="44"/>
      <c r="Y15" s="44">
        <v>544333</v>
      </c>
      <c r="Z15" s="44"/>
      <c r="AA15" s="44">
        <f t="shared" si="1"/>
        <v>12944457</v>
      </c>
      <c r="AB15" s="44"/>
      <c r="AC15" s="44">
        <f t="shared" si="0"/>
        <v>19326322</v>
      </c>
    </row>
    <row r="16" spans="1:30" s="47" customFormat="1" ht="12.75" customHeight="1">
      <c r="A16" s="47" t="s">
        <v>21</v>
      </c>
      <c r="C16" s="47" t="s">
        <v>22</v>
      </c>
      <c r="E16" s="44">
        <v>893803</v>
      </c>
      <c r="F16" s="44"/>
      <c r="G16" s="44">
        <v>886385</v>
      </c>
      <c r="H16" s="44"/>
      <c r="I16" s="44">
        <v>2033479</v>
      </c>
      <c r="J16" s="44" t="s">
        <v>461</v>
      </c>
      <c r="K16" s="44">
        <f>3785487+1070786</f>
        <v>4856273</v>
      </c>
      <c r="L16" s="44"/>
      <c r="M16" s="44">
        <f>10687757+600000</f>
        <v>11287757</v>
      </c>
      <c r="N16" s="44"/>
      <c r="O16" s="44">
        <v>0</v>
      </c>
      <c r="P16" s="44"/>
      <c r="Q16" s="44">
        <v>880924</v>
      </c>
      <c r="R16" s="44"/>
      <c r="S16" s="44">
        <v>499246</v>
      </c>
      <c r="T16" s="44"/>
      <c r="U16" s="44">
        <v>150870</v>
      </c>
      <c r="V16" s="44"/>
      <c r="W16" s="44">
        <v>-538726</v>
      </c>
      <c r="X16" s="44"/>
      <c r="Y16" s="44">
        <v>0</v>
      </c>
      <c r="Z16" s="44"/>
      <c r="AA16" s="44">
        <f t="shared" si="1"/>
        <v>17136344</v>
      </c>
      <c r="AB16" s="44"/>
      <c r="AC16" s="44">
        <f t="shared" si="0"/>
        <v>20950011</v>
      </c>
      <c r="AD16" s="44"/>
    </row>
    <row r="17" spans="1:31" s="47" customFormat="1" ht="12.75" customHeight="1">
      <c r="A17" s="47" t="s">
        <v>23</v>
      </c>
      <c r="C17" s="47" t="s">
        <v>17</v>
      </c>
      <c r="E17" s="44">
        <v>1995793</v>
      </c>
      <c r="F17" s="44"/>
      <c r="G17" s="44">
        <v>2058973</v>
      </c>
      <c r="H17" s="44"/>
      <c r="I17" s="44">
        <v>0</v>
      </c>
      <c r="J17" s="44"/>
      <c r="K17" s="44">
        <f>1520015+776504+433011+198262+244631+71874+575854</f>
        <v>3820151</v>
      </c>
      <c r="L17" s="44"/>
      <c r="M17" s="44">
        <f>4639884+3519526+1256991</f>
        <v>9416401</v>
      </c>
      <c r="N17" s="44"/>
      <c r="O17" s="44">
        <v>0</v>
      </c>
      <c r="P17" s="44"/>
      <c r="Q17" s="44">
        <v>1678609</v>
      </c>
      <c r="R17" s="44"/>
      <c r="S17" s="44">
        <v>853783</v>
      </c>
      <c r="T17" s="44"/>
      <c r="U17" s="44">
        <v>185009</v>
      </c>
      <c r="V17" s="44"/>
      <c r="W17" s="44">
        <v>-194150</v>
      </c>
      <c r="X17" s="44"/>
      <c r="Y17" s="44">
        <v>0</v>
      </c>
      <c r="Z17" s="44"/>
      <c r="AA17" s="44">
        <f t="shared" si="1"/>
        <v>15759803</v>
      </c>
      <c r="AB17" s="44"/>
      <c r="AC17" s="44">
        <f t="shared" si="0"/>
        <v>19814569</v>
      </c>
    </row>
    <row r="18" spans="1:31" s="47" customFormat="1" ht="12.75" customHeight="1">
      <c r="A18" s="47" t="s">
        <v>24</v>
      </c>
      <c r="C18" s="47" t="s">
        <v>17</v>
      </c>
      <c r="E18" s="44">
        <v>1166466</v>
      </c>
      <c r="F18" s="44"/>
      <c r="G18" s="44">
        <v>205059</v>
      </c>
      <c r="H18" s="44"/>
      <c r="I18" s="44">
        <v>1731586</v>
      </c>
      <c r="J18" s="44"/>
      <c r="K18" s="44">
        <v>5844843</v>
      </c>
      <c r="L18" s="44"/>
      <c r="M18" s="44">
        <v>10320466</v>
      </c>
      <c r="N18" s="44"/>
      <c r="O18" s="44">
        <v>0</v>
      </c>
      <c r="P18" s="44"/>
      <c r="Q18" s="44">
        <v>2759641</v>
      </c>
      <c r="R18" s="44"/>
      <c r="S18" s="44">
        <v>740381</v>
      </c>
      <c r="T18" s="44"/>
      <c r="U18" s="44">
        <v>222278</v>
      </c>
      <c r="V18" s="44"/>
      <c r="W18" s="44">
        <v>-545323</v>
      </c>
      <c r="X18" s="44"/>
      <c r="Y18" s="44">
        <v>7336</v>
      </c>
      <c r="Z18" s="44"/>
      <c r="AA18" s="44">
        <f t="shared" si="1"/>
        <v>19349622</v>
      </c>
      <c r="AB18" s="44"/>
      <c r="AC18" s="44">
        <f t="shared" si="0"/>
        <v>22452733</v>
      </c>
    </row>
    <row r="19" spans="1:31" s="47" customFormat="1" ht="12.75" customHeight="1">
      <c r="A19" s="47" t="s">
        <v>25</v>
      </c>
      <c r="C19" s="47" t="s">
        <v>13</v>
      </c>
      <c r="E19" s="44">
        <v>3553708</v>
      </c>
      <c r="F19" s="44"/>
      <c r="G19" s="44">
        <v>4211089</v>
      </c>
      <c r="H19" s="44"/>
      <c r="I19" s="44">
        <v>147321</v>
      </c>
      <c r="J19" s="44"/>
      <c r="K19" s="44">
        <f>1209964+288602+104512+104512</f>
        <v>1707590</v>
      </c>
      <c r="L19" s="44"/>
      <c r="M19" s="44">
        <v>10859015</v>
      </c>
      <c r="N19" s="44"/>
      <c r="O19" s="44">
        <v>0</v>
      </c>
      <c r="P19" s="44"/>
      <c r="Q19" s="44">
        <v>2821199</v>
      </c>
      <c r="R19" s="44"/>
      <c r="S19" s="44">
        <v>398822</v>
      </c>
      <c r="T19" s="44"/>
      <c r="U19" s="44">
        <v>199199</v>
      </c>
      <c r="V19" s="44"/>
      <c r="W19" s="44">
        <v>-145933</v>
      </c>
      <c r="X19" s="44"/>
      <c r="Y19" s="44">
        <v>0</v>
      </c>
      <c r="Z19" s="44"/>
      <c r="AA19" s="44">
        <f t="shared" si="1"/>
        <v>15839892</v>
      </c>
      <c r="AB19" s="44"/>
      <c r="AC19" s="44">
        <f t="shared" si="0"/>
        <v>23752010</v>
      </c>
    </row>
    <row r="20" spans="1:31" s="47" customFormat="1" ht="12.75" customHeight="1">
      <c r="A20" s="47" t="s">
        <v>26</v>
      </c>
      <c r="C20" s="47" t="s">
        <v>27</v>
      </c>
      <c r="E20" s="44">
        <v>903499</v>
      </c>
      <c r="F20" s="44"/>
      <c r="G20" s="44">
        <v>810861</v>
      </c>
      <c r="H20" s="44"/>
      <c r="I20" s="44">
        <v>4230626</v>
      </c>
      <c r="J20" s="44"/>
      <c r="K20" s="44">
        <f>3752674+601802+223373+134024+206810+1737844</f>
        <v>6656527</v>
      </c>
      <c r="L20" s="44"/>
      <c r="M20" s="44">
        <v>5463871</v>
      </c>
      <c r="N20" s="44"/>
      <c r="O20" s="44">
        <v>0</v>
      </c>
      <c r="P20" s="44"/>
      <c r="Q20" s="44">
        <v>2489837</v>
      </c>
      <c r="R20" s="44"/>
      <c r="S20" s="44">
        <v>547489</v>
      </c>
      <c r="T20" s="44"/>
      <c r="U20" s="44">
        <v>279433</v>
      </c>
      <c r="V20" s="44"/>
      <c r="W20" s="44">
        <v>-61375</v>
      </c>
      <c r="X20" s="44"/>
      <c r="Y20" s="44">
        <v>0</v>
      </c>
      <c r="Z20" s="44"/>
      <c r="AA20" s="44">
        <f t="shared" si="1"/>
        <v>15375782</v>
      </c>
      <c r="AB20" s="44"/>
      <c r="AC20" s="44">
        <f t="shared" si="0"/>
        <v>21320768</v>
      </c>
    </row>
    <row r="21" spans="1:31" s="47" customFormat="1" ht="12.75" customHeight="1">
      <c r="A21" s="47" t="s">
        <v>28</v>
      </c>
      <c r="C21" s="47" t="s">
        <v>27</v>
      </c>
      <c r="E21" s="44">
        <v>3118865</v>
      </c>
      <c r="F21" s="44"/>
      <c r="G21" s="44">
        <v>545007</v>
      </c>
      <c r="H21" s="44"/>
      <c r="I21" s="44">
        <v>0</v>
      </c>
      <c r="J21" s="44"/>
      <c r="K21" s="44">
        <f>2715452+164358</f>
        <v>2879810</v>
      </c>
      <c r="L21" s="44"/>
      <c r="M21" s="44">
        <f>20499143+1075743</f>
        <v>21574886</v>
      </c>
      <c r="N21" s="44"/>
      <c r="O21" s="44">
        <v>0</v>
      </c>
      <c r="P21" s="44"/>
      <c r="Q21" s="44">
        <v>5430869</v>
      </c>
      <c r="R21" s="44"/>
      <c r="S21" s="44">
        <v>1879351</v>
      </c>
      <c r="T21" s="44"/>
      <c r="U21" s="44">
        <v>263672</v>
      </c>
      <c r="V21" s="44"/>
      <c r="W21" s="44">
        <v>0</v>
      </c>
      <c r="X21" s="44"/>
      <c r="Y21" s="44">
        <v>0</v>
      </c>
      <c r="Z21" s="44"/>
      <c r="AA21" s="44">
        <f t="shared" si="1"/>
        <v>32028588</v>
      </c>
      <c r="AB21" s="44"/>
      <c r="AC21" s="44">
        <f t="shared" si="0"/>
        <v>35692460</v>
      </c>
    </row>
    <row r="22" spans="1:31" s="47" customFormat="1" ht="12.75" customHeight="1">
      <c r="A22" s="47" t="s">
        <v>29</v>
      </c>
      <c r="C22" s="47" t="s">
        <v>30</v>
      </c>
      <c r="E22" s="44">
        <v>2329381</v>
      </c>
      <c r="F22" s="44"/>
      <c r="G22" s="44">
        <v>3459461</v>
      </c>
      <c r="H22" s="44"/>
      <c r="I22" s="44">
        <v>4116802</v>
      </c>
      <c r="J22" s="44"/>
      <c r="K22" s="44">
        <f>1221947+9417446+435058</f>
        <v>11074451</v>
      </c>
      <c r="L22" s="44"/>
      <c r="M22" s="44">
        <v>0</v>
      </c>
      <c r="N22" s="44"/>
      <c r="O22" s="44">
        <v>0</v>
      </c>
      <c r="P22" s="44"/>
      <c r="Q22" s="44">
        <v>2388610</v>
      </c>
      <c r="R22" s="44"/>
      <c r="S22" s="44">
        <v>249019</v>
      </c>
      <c r="T22" s="44"/>
      <c r="U22" s="44">
        <v>275609</v>
      </c>
      <c r="V22" s="44"/>
      <c r="W22" s="44">
        <v>-866020</v>
      </c>
      <c r="X22" s="44"/>
      <c r="Y22" s="44">
        <v>0</v>
      </c>
      <c r="Z22" s="44"/>
      <c r="AA22" s="44">
        <f t="shared" si="1"/>
        <v>13121669</v>
      </c>
      <c r="AB22" s="44"/>
      <c r="AC22" s="44">
        <f t="shared" si="0"/>
        <v>23027313</v>
      </c>
    </row>
    <row r="23" spans="1:31" s="47" customFormat="1" ht="12.75" customHeight="1">
      <c r="A23" s="47" t="s">
        <v>31</v>
      </c>
      <c r="C23" s="47" t="s">
        <v>27</v>
      </c>
      <c r="E23" s="44">
        <v>3385935</v>
      </c>
      <c r="F23" s="44"/>
      <c r="G23" s="44">
        <v>1997460</v>
      </c>
      <c r="H23" s="44"/>
      <c r="I23" s="44">
        <v>227431</v>
      </c>
      <c r="J23" s="44"/>
      <c r="K23" s="44">
        <f>2436161+725316+77712+77712</f>
        <v>3316901</v>
      </c>
      <c r="L23" s="44"/>
      <c r="M23" s="44">
        <f>9098927+680711</f>
        <v>9779638</v>
      </c>
      <c r="N23" s="44"/>
      <c r="O23" s="44">
        <v>0</v>
      </c>
      <c r="P23" s="44"/>
      <c r="Q23" s="44">
        <v>1852030</v>
      </c>
      <c r="R23" s="44"/>
      <c r="S23" s="44">
        <v>411024</v>
      </c>
      <c r="T23" s="44"/>
      <c r="U23" s="44">
        <f>114650+237977</f>
        <v>352627</v>
      </c>
      <c r="V23" s="44"/>
      <c r="W23" s="44">
        <v>0</v>
      </c>
      <c r="X23" s="44"/>
      <c r="Y23" s="44">
        <v>0</v>
      </c>
      <c r="Z23" s="44"/>
      <c r="AA23" s="44">
        <f t="shared" si="1"/>
        <v>15712220</v>
      </c>
      <c r="AB23" s="44"/>
      <c r="AC23" s="44">
        <f t="shared" si="0"/>
        <v>21323046</v>
      </c>
    </row>
    <row r="24" spans="1:31" s="47" customFormat="1" ht="12.75" customHeight="1">
      <c r="A24" s="47" t="s">
        <v>32</v>
      </c>
      <c r="C24" s="47" t="s">
        <v>27</v>
      </c>
      <c r="E24" s="44">
        <v>5993085</v>
      </c>
      <c r="F24" s="44"/>
      <c r="G24" s="44">
        <v>67427</v>
      </c>
      <c r="H24" s="44"/>
      <c r="I24" s="44">
        <v>0</v>
      </c>
      <c r="J24" s="44"/>
      <c r="K24" s="44">
        <f>1550032+996328+553703+553516</f>
        <v>3653579</v>
      </c>
      <c r="L24" s="44"/>
      <c r="M24" s="44">
        <v>9951407</v>
      </c>
      <c r="N24" s="44"/>
      <c r="O24" s="44">
        <v>0</v>
      </c>
      <c r="P24" s="44"/>
      <c r="Q24" s="44">
        <v>2087754</v>
      </c>
      <c r="R24" s="44"/>
      <c r="S24" s="44">
        <v>213843</v>
      </c>
      <c r="T24" s="44"/>
      <c r="U24" s="44">
        <v>65378</v>
      </c>
      <c r="V24" s="44"/>
      <c r="W24" s="44">
        <v>186044</v>
      </c>
      <c r="X24" s="44"/>
      <c r="Y24" s="44">
        <v>0</v>
      </c>
      <c r="Z24" s="44"/>
      <c r="AA24" s="44">
        <f t="shared" si="1"/>
        <v>16158005</v>
      </c>
      <c r="AB24" s="44"/>
      <c r="AC24" s="44">
        <f t="shared" si="0"/>
        <v>22218517</v>
      </c>
    </row>
    <row r="25" spans="1:31" s="47" customFormat="1" ht="12.75" customHeight="1">
      <c r="A25" s="47" t="s">
        <v>34</v>
      </c>
      <c r="C25" s="47" t="s">
        <v>30</v>
      </c>
      <c r="E25" s="44">
        <v>205944</v>
      </c>
      <c r="F25" s="44"/>
      <c r="G25" s="44">
        <v>448014</v>
      </c>
      <c r="H25" s="44"/>
      <c r="I25" s="44">
        <v>0</v>
      </c>
      <c r="J25" s="44"/>
      <c r="K25" s="44">
        <f>556470+435558+1192819+41810</f>
        <v>2226657</v>
      </c>
      <c r="L25" s="44"/>
      <c r="M25" s="44">
        <v>0</v>
      </c>
      <c r="N25" s="44"/>
      <c r="O25" s="44">
        <v>0</v>
      </c>
      <c r="P25" s="44"/>
      <c r="Q25" s="44">
        <v>692773</v>
      </c>
      <c r="R25" s="44"/>
      <c r="S25" s="44">
        <v>97453</v>
      </c>
      <c r="T25" s="44"/>
      <c r="U25" s="44">
        <v>125644</v>
      </c>
      <c r="V25" s="44"/>
      <c r="W25" s="44">
        <v>0</v>
      </c>
      <c r="X25" s="44"/>
      <c r="Y25" s="44">
        <v>0</v>
      </c>
      <c r="Z25" s="44"/>
      <c r="AA25" s="44">
        <f t="shared" si="1"/>
        <v>3142527</v>
      </c>
      <c r="AB25" s="44"/>
      <c r="AC25" s="44">
        <f t="shared" si="0"/>
        <v>3796485</v>
      </c>
    </row>
    <row r="26" spans="1:31" s="47" customFormat="1" ht="12.75" customHeight="1">
      <c r="A26" s="47" t="s">
        <v>35</v>
      </c>
      <c r="C26" s="47" t="s">
        <v>36</v>
      </c>
      <c r="E26" s="44">
        <v>805732</v>
      </c>
      <c r="F26" s="44"/>
      <c r="G26" s="44">
        <v>1057447</v>
      </c>
      <c r="H26" s="44"/>
      <c r="I26" s="44">
        <v>373031</v>
      </c>
      <c r="J26" s="44"/>
      <c r="K26" s="44">
        <v>808146</v>
      </c>
      <c r="L26" s="44"/>
      <c r="M26" s="44">
        <v>5770826</v>
      </c>
      <c r="N26" s="44"/>
      <c r="O26" s="44">
        <v>45633</v>
      </c>
      <c r="P26" s="44"/>
      <c r="Q26" s="44">
        <v>661315</v>
      </c>
      <c r="R26" s="44"/>
      <c r="S26" s="44">
        <v>401850</v>
      </c>
      <c r="T26" s="44"/>
      <c r="U26" s="44">
        <f>192688+60527</f>
        <v>253215</v>
      </c>
      <c r="V26" s="44"/>
      <c r="W26" s="44">
        <v>-197245</v>
      </c>
      <c r="X26" s="44"/>
      <c r="Y26" s="44">
        <v>-24072</v>
      </c>
      <c r="Z26" s="44"/>
      <c r="AA26" s="44">
        <f t="shared" si="1"/>
        <v>7719668</v>
      </c>
      <c r="AB26" s="44"/>
      <c r="AC26" s="44">
        <f t="shared" si="0"/>
        <v>9955878</v>
      </c>
    </row>
    <row r="27" spans="1:31" s="47" customFormat="1" ht="12.75" customHeight="1">
      <c r="A27" s="47" t="s">
        <v>37</v>
      </c>
      <c r="C27" s="47" t="s">
        <v>38</v>
      </c>
      <c r="E27" s="44">
        <v>164728</v>
      </c>
      <c r="F27" s="44"/>
      <c r="G27" s="44">
        <v>491005</v>
      </c>
      <c r="H27" s="44"/>
      <c r="I27" s="44">
        <v>435805</v>
      </c>
      <c r="J27" s="44"/>
      <c r="K27" s="44">
        <v>871323</v>
      </c>
      <c r="L27" s="44"/>
      <c r="M27" s="44">
        <v>3753958</v>
      </c>
      <c r="N27" s="44"/>
      <c r="O27" s="44">
        <v>0</v>
      </c>
      <c r="P27" s="44"/>
      <c r="Q27" s="44">
        <v>903614</v>
      </c>
      <c r="R27" s="44"/>
      <c r="S27" s="44">
        <v>184811</v>
      </c>
      <c r="T27" s="44"/>
      <c r="U27" s="44">
        <v>267632</v>
      </c>
      <c r="V27" s="44"/>
      <c r="W27" s="44">
        <v>-50734</v>
      </c>
      <c r="X27" s="44"/>
      <c r="Y27" s="44">
        <v>0</v>
      </c>
      <c r="Z27" s="44"/>
      <c r="AA27" s="44">
        <f t="shared" si="1"/>
        <v>5930604</v>
      </c>
      <c r="AB27" s="44"/>
      <c r="AC27" s="44">
        <f t="shared" si="0"/>
        <v>7022142</v>
      </c>
    </row>
    <row r="28" spans="1:31" s="47" customFormat="1" ht="12.75" customHeight="1">
      <c r="A28" s="47" t="s">
        <v>39</v>
      </c>
      <c r="C28" s="47" t="s">
        <v>40</v>
      </c>
      <c r="E28" s="44">
        <v>453722</v>
      </c>
      <c r="F28" s="44"/>
      <c r="G28" s="44">
        <v>589135</v>
      </c>
      <c r="H28" s="44"/>
      <c r="I28" s="44">
        <v>159815</v>
      </c>
      <c r="J28" s="44"/>
      <c r="K28" s="44">
        <v>301084</v>
      </c>
      <c r="L28" s="44"/>
      <c r="M28" s="44">
        <v>1097858</v>
      </c>
      <c r="N28" s="44"/>
      <c r="O28" s="44">
        <f>558+114010</f>
        <v>114568</v>
      </c>
      <c r="P28" s="44"/>
      <c r="Q28" s="44">
        <v>330512</v>
      </c>
      <c r="R28" s="44"/>
      <c r="S28" s="44">
        <v>64856</v>
      </c>
      <c r="T28" s="44"/>
      <c r="U28" s="44">
        <v>86447</v>
      </c>
      <c r="V28" s="44"/>
      <c r="W28" s="44">
        <v>0</v>
      </c>
      <c r="X28" s="44"/>
      <c r="Y28" s="44">
        <v>0</v>
      </c>
      <c r="Z28" s="44"/>
      <c r="AA28" s="44">
        <f t="shared" si="1"/>
        <v>1995325</v>
      </c>
      <c r="AB28" s="44"/>
      <c r="AC28" s="44">
        <f t="shared" si="0"/>
        <v>3197997</v>
      </c>
    </row>
    <row r="29" spans="1:31" s="47" customFormat="1" ht="12.75" customHeight="1">
      <c r="A29" s="47" t="s">
        <v>41</v>
      </c>
      <c r="C29" s="47" t="s">
        <v>27</v>
      </c>
      <c r="E29" s="44">
        <v>3982180</v>
      </c>
      <c r="F29" s="44"/>
      <c r="G29" s="44">
        <v>1280017</v>
      </c>
      <c r="H29" s="44"/>
      <c r="I29" s="44">
        <v>237222</v>
      </c>
      <c r="J29" s="44"/>
      <c r="K29" s="44">
        <f>1948775+797586+1493031</f>
        <v>4239392</v>
      </c>
      <c r="L29" s="44"/>
      <c r="M29" s="44">
        <v>11126645</v>
      </c>
      <c r="N29" s="44"/>
      <c r="O29" s="44">
        <v>267231</v>
      </c>
      <c r="P29" s="44"/>
      <c r="Q29" s="44">
        <v>2856375</v>
      </c>
      <c r="R29" s="44"/>
      <c r="S29" s="44">
        <v>199120</v>
      </c>
      <c r="T29" s="44"/>
      <c r="U29" s="44">
        <v>104854</v>
      </c>
      <c r="V29" s="44"/>
      <c r="W29" s="44">
        <v>-132000</v>
      </c>
      <c r="X29" s="44"/>
      <c r="Y29" s="44">
        <v>0</v>
      </c>
      <c r="Z29" s="44"/>
      <c r="AA29" s="44">
        <f t="shared" si="1"/>
        <v>18661617</v>
      </c>
      <c r="AB29" s="44"/>
      <c r="AC29" s="44">
        <f t="shared" si="0"/>
        <v>24161036</v>
      </c>
    </row>
    <row r="30" spans="1:31" s="47" customFormat="1" ht="12.75" customHeight="1">
      <c r="A30" s="47" t="s">
        <v>42</v>
      </c>
      <c r="C30" s="47" t="s">
        <v>43</v>
      </c>
      <c r="E30" s="44">
        <v>1141512</v>
      </c>
      <c r="F30" s="44"/>
      <c r="G30" s="44">
        <v>1068554</v>
      </c>
      <c r="H30" s="44"/>
      <c r="I30" s="44">
        <v>0</v>
      </c>
      <c r="J30" s="44"/>
      <c r="K30" s="44">
        <f>673332+741394+377759</f>
        <v>1792485</v>
      </c>
      <c r="L30" s="44"/>
      <c r="M30" s="44">
        <v>6282225</v>
      </c>
      <c r="N30" s="44"/>
      <c r="O30" s="44">
        <v>160764</v>
      </c>
      <c r="P30" s="44"/>
      <c r="Q30" s="44">
        <v>1963065</v>
      </c>
      <c r="R30" s="44"/>
      <c r="S30" s="44">
        <v>456191</v>
      </c>
      <c r="T30" s="44"/>
      <c r="U30" s="44">
        <f>43690+2750</f>
        <v>46440</v>
      </c>
      <c r="V30" s="44"/>
      <c r="W30" s="44">
        <v>0</v>
      </c>
      <c r="X30" s="44"/>
      <c r="Y30" s="44">
        <v>0</v>
      </c>
      <c r="Z30" s="44"/>
      <c r="AA30" s="44">
        <f t="shared" si="1"/>
        <v>10701170</v>
      </c>
      <c r="AB30" s="44"/>
      <c r="AC30" s="44">
        <f t="shared" si="0"/>
        <v>12911236</v>
      </c>
    </row>
    <row r="31" spans="1:31" s="47" customFormat="1" ht="12.75" customHeight="1">
      <c r="A31" s="47" t="s">
        <v>44</v>
      </c>
      <c r="C31" s="47" t="s">
        <v>45</v>
      </c>
      <c r="E31" s="44">
        <v>1250820</v>
      </c>
      <c r="F31" s="44"/>
      <c r="G31" s="44">
        <v>875492</v>
      </c>
      <c r="H31" s="44"/>
      <c r="I31" s="44">
        <v>1011720</v>
      </c>
      <c r="J31" s="44"/>
      <c r="K31" s="44">
        <f>2113553+727746</f>
        <v>2841299</v>
      </c>
      <c r="L31" s="44"/>
      <c r="M31" s="44">
        <v>29147868</v>
      </c>
      <c r="N31" s="44"/>
      <c r="O31" s="44">
        <v>966974</v>
      </c>
      <c r="P31" s="44"/>
      <c r="Q31" s="44">
        <v>2288739</v>
      </c>
      <c r="R31" s="44"/>
      <c r="S31" s="44">
        <v>642916</v>
      </c>
      <c r="T31" s="44"/>
      <c r="U31" s="44">
        <v>1028167</v>
      </c>
      <c r="V31" s="44"/>
      <c r="W31" s="44">
        <v>-382597</v>
      </c>
      <c r="X31" s="44"/>
      <c r="Y31" s="44">
        <v>0</v>
      </c>
      <c r="Z31" s="44"/>
      <c r="AA31" s="44">
        <f t="shared" si="1"/>
        <v>36533366</v>
      </c>
      <c r="AB31" s="44"/>
      <c r="AC31" s="44">
        <f t="shared" si="0"/>
        <v>39671398</v>
      </c>
    </row>
    <row r="32" spans="1:31" s="47" customFormat="1" ht="12.75" customHeight="1">
      <c r="A32" s="47" t="s">
        <v>46</v>
      </c>
      <c r="C32" s="47" t="s">
        <v>47</v>
      </c>
      <c r="E32" s="44">
        <v>3645237</v>
      </c>
      <c r="F32" s="44"/>
      <c r="G32" s="44">
        <v>2172292</v>
      </c>
      <c r="H32" s="44"/>
      <c r="I32" s="44">
        <v>293721</v>
      </c>
      <c r="J32" s="44"/>
      <c r="K32" s="44">
        <f>1706115+580128</f>
        <v>2286243</v>
      </c>
      <c r="L32" s="44"/>
      <c r="M32" s="44">
        <f>5983896+398790+3350881+3989573+1595529</f>
        <v>15318669</v>
      </c>
      <c r="N32" s="44"/>
      <c r="O32" s="44">
        <f>2013052+294780</f>
        <v>2307832</v>
      </c>
      <c r="P32" s="44"/>
      <c r="Q32" s="44">
        <v>2518081</v>
      </c>
      <c r="R32" s="44"/>
      <c r="S32" s="44">
        <v>631449</v>
      </c>
      <c r="T32" s="44"/>
      <c r="U32" s="44">
        <v>267440</v>
      </c>
      <c r="V32" s="44"/>
      <c r="W32" s="44">
        <v>-1360663</v>
      </c>
      <c r="X32" s="44"/>
      <c r="Y32" s="44">
        <v>0</v>
      </c>
      <c r="Z32" s="44"/>
      <c r="AA32" s="44">
        <f t="shared" si="1"/>
        <v>21969051</v>
      </c>
      <c r="AB32" s="44"/>
      <c r="AC32" s="44">
        <f t="shared" si="0"/>
        <v>28080301</v>
      </c>
      <c r="AE32" s="44"/>
    </row>
    <row r="33" spans="1:29" s="47" customFormat="1" ht="12.75" customHeight="1">
      <c r="A33" s="47" t="s">
        <v>48</v>
      </c>
      <c r="C33" s="47" t="s">
        <v>27</v>
      </c>
      <c r="E33" s="44">
        <v>2390584</v>
      </c>
      <c r="F33" s="44"/>
      <c r="G33" s="44">
        <v>737213</v>
      </c>
      <c r="H33" s="44"/>
      <c r="I33" s="44">
        <v>0</v>
      </c>
      <c r="J33" s="44"/>
      <c r="K33" s="44">
        <f>1803685+1746733+513746+154125+200360</f>
        <v>4418649</v>
      </c>
      <c r="L33" s="44"/>
      <c r="M33" s="44">
        <f>11564512+2264852</f>
        <v>13829364</v>
      </c>
      <c r="N33" s="44"/>
      <c r="O33" s="44">
        <v>0</v>
      </c>
      <c r="P33" s="44"/>
      <c r="Q33" s="44">
        <v>1856007</v>
      </c>
      <c r="R33" s="44"/>
      <c r="S33" s="44">
        <v>913806</v>
      </c>
      <c r="T33" s="44"/>
      <c r="U33" s="44">
        <f>70777+313937</f>
        <v>384714</v>
      </c>
      <c r="V33" s="44"/>
      <c r="W33" s="44">
        <v>0</v>
      </c>
      <c r="X33" s="44"/>
      <c r="Y33" s="44">
        <v>0</v>
      </c>
      <c r="Z33" s="44"/>
      <c r="AA33" s="44">
        <f t="shared" si="1"/>
        <v>21402540</v>
      </c>
      <c r="AB33" s="44"/>
      <c r="AC33" s="44">
        <f t="shared" si="0"/>
        <v>24530337</v>
      </c>
    </row>
    <row r="34" spans="1:29" s="47" customFormat="1" ht="12.75" customHeight="1">
      <c r="A34" s="47" t="s">
        <v>49</v>
      </c>
      <c r="C34" s="47" t="s">
        <v>27</v>
      </c>
      <c r="E34" s="44">
        <v>2824146</v>
      </c>
      <c r="F34" s="44"/>
      <c r="G34" s="44">
        <v>1402444</v>
      </c>
      <c r="H34" s="44"/>
      <c r="I34" s="44">
        <v>1467703</v>
      </c>
      <c r="J34" s="44"/>
      <c r="K34" s="44">
        <f>1598774+2168694+58898</f>
        <v>3826366</v>
      </c>
      <c r="L34" s="44"/>
      <c r="M34" s="44">
        <f>7063867+227579+2200401</f>
        <v>9491847</v>
      </c>
      <c r="N34" s="44"/>
      <c r="O34" s="44">
        <v>6398</v>
      </c>
      <c r="P34" s="44"/>
      <c r="Q34" s="44">
        <v>1517391</v>
      </c>
      <c r="R34" s="44"/>
      <c r="S34" s="44">
        <v>84382</v>
      </c>
      <c r="T34" s="44"/>
      <c r="U34" s="44">
        <v>102716</v>
      </c>
      <c r="V34" s="44"/>
      <c r="W34" s="44">
        <v>0</v>
      </c>
      <c r="X34" s="44"/>
      <c r="Y34" s="44">
        <v>0</v>
      </c>
      <c r="Z34" s="44"/>
      <c r="AA34" s="44">
        <f t="shared" si="1"/>
        <v>15029100</v>
      </c>
      <c r="AB34" s="44"/>
      <c r="AC34" s="44">
        <f t="shared" si="0"/>
        <v>20723393</v>
      </c>
    </row>
    <row r="35" spans="1:29" s="47" customFormat="1" ht="12.75" customHeight="1">
      <c r="A35" s="47" t="s">
        <v>50</v>
      </c>
      <c r="C35" s="47" t="s">
        <v>27</v>
      </c>
      <c r="E35" s="44">
        <v>3423034</v>
      </c>
      <c r="F35" s="44"/>
      <c r="G35" s="44">
        <v>994862</v>
      </c>
      <c r="H35" s="44"/>
      <c r="I35" s="44">
        <v>5473137</v>
      </c>
      <c r="J35" s="44"/>
      <c r="K35" s="44">
        <f>1947504+384407</f>
        <v>2331911</v>
      </c>
      <c r="L35" s="44"/>
      <c r="M35" s="44">
        <f>12958303+5399715</f>
        <v>18358018</v>
      </c>
      <c r="N35" s="44"/>
      <c r="O35" s="44">
        <v>0</v>
      </c>
      <c r="P35" s="44"/>
      <c r="Q35" s="44">
        <v>2087153</v>
      </c>
      <c r="R35" s="44"/>
      <c r="S35" s="44">
        <v>686197</v>
      </c>
      <c r="T35" s="44"/>
      <c r="U35" s="44">
        <v>30</v>
      </c>
      <c r="V35" s="44"/>
      <c r="W35" s="44">
        <v>0</v>
      </c>
      <c r="X35" s="44"/>
      <c r="Y35" s="44">
        <v>0</v>
      </c>
      <c r="Z35" s="44"/>
      <c r="AA35" s="44">
        <f t="shared" si="1"/>
        <v>23463309</v>
      </c>
      <c r="AB35" s="44"/>
      <c r="AC35" s="44">
        <f t="shared" si="0"/>
        <v>33354342</v>
      </c>
    </row>
    <row r="36" spans="1:29" s="47" customFormat="1" ht="12.75" customHeight="1">
      <c r="A36" s="47" t="s">
        <v>51</v>
      </c>
      <c r="C36" s="47" t="s">
        <v>27</v>
      </c>
      <c r="E36" s="44">
        <v>1772420</v>
      </c>
      <c r="F36" s="44"/>
      <c r="G36" s="44">
        <v>1239205</v>
      </c>
      <c r="H36" s="44"/>
      <c r="I36" s="44">
        <v>217646</v>
      </c>
      <c r="J36" s="44"/>
      <c r="K36" s="44">
        <f>1070340+154250+348517+389122+338366+55543</f>
        <v>2356138</v>
      </c>
      <c r="L36" s="44"/>
      <c r="M36" s="44">
        <f>10364229+1812214</f>
        <v>12176443</v>
      </c>
      <c r="N36" s="44"/>
      <c r="O36" s="44">
        <v>0</v>
      </c>
      <c r="P36" s="44"/>
      <c r="Q36" s="44">
        <v>1551743</v>
      </c>
      <c r="R36" s="44"/>
      <c r="S36" s="44">
        <v>324568</v>
      </c>
      <c r="T36" s="44"/>
      <c r="U36" s="44">
        <v>131670</v>
      </c>
      <c r="V36" s="44"/>
      <c r="W36" s="44">
        <v>0</v>
      </c>
      <c r="X36" s="44"/>
      <c r="Y36" s="44">
        <v>0</v>
      </c>
      <c r="Z36" s="44"/>
      <c r="AA36" s="44">
        <f t="shared" si="1"/>
        <v>16540562</v>
      </c>
      <c r="AB36" s="44"/>
      <c r="AC36" s="44">
        <f t="shared" si="0"/>
        <v>19769833</v>
      </c>
    </row>
    <row r="37" spans="1:29" s="47" customFormat="1" ht="12.75" customHeight="1">
      <c r="A37" s="47" t="s">
        <v>462</v>
      </c>
      <c r="C37" s="47" t="s">
        <v>66</v>
      </c>
      <c r="E37" s="44">
        <v>1068497</v>
      </c>
      <c r="F37" s="44"/>
      <c r="G37" s="44">
        <v>331093</v>
      </c>
      <c r="H37" s="44"/>
      <c r="I37" s="44">
        <v>195092</v>
      </c>
      <c r="J37" s="44"/>
      <c r="K37" s="44">
        <v>137620</v>
      </c>
      <c r="L37" s="44"/>
      <c r="M37" s="44">
        <v>2423485</v>
      </c>
      <c r="N37" s="44"/>
      <c r="O37" s="44">
        <v>0</v>
      </c>
      <c r="P37" s="44"/>
      <c r="Q37" s="44">
        <v>283130</v>
      </c>
      <c r="R37" s="44"/>
      <c r="S37" s="44">
        <v>88210</v>
      </c>
      <c r="T37" s="44"/>
      <c r="U37" s="44">
        <v>27865</v>
      </c>
      <c r="V37" s="44"/>
      <c r="W37" s="44">
        <v>0</v>
      </c>
      <c r="X37" s="44"/>
      <c r="Y37" s="44">
        <v>21513</v>
      </c>
      <c r="Z37" s="44"/>
      <c r="AA37" s="44">
        <f t="shared" si="1"/>
        <v>2981823</v>
      </c>
      <c r="AB37" s="44"/>
      <c r="AC37" s="44">
        <f t="shared" si="0"/>
        <v>4576505</v>
      </c>
    </row>
    <row r="38" spans="1:29" s="47" customFormat="1" ht="12.75" customHeight="1">
      <c r="A38" s="47" t="s">
        <v>52</v>
      </c>
      <c r="C38" s="47" t="s">
        <v>53</v>
      </c>
      <c r="E38" s="44">
        <v>3331510</v>
      </c>
      <c r="F38" s="44"/>
      <c r="G38" s="44">
        <v>2279404</v>
      </c>
      <c r="H38" s="44"/>
      <c r="I38" s="44">
        <v>454646</v>
      </c>
      <c r="J38" s="44"/>
      <c r="K38" s="44">
        <f>1677686+404226+3752918+71616+2661274+1105072+1237730+115460+571542</f>
        <v>11597524</v>
      </c>
      <c r="L38" s="44"/>
      <c r="M38" s="44">
        <v>0</v>
      </c>
      <c r="N38" s="44"/>
      <c r="O38" s="44">
        <v>0</v>
      </c>
      <c r="P38" s="44"/>
      <c r="Q38" s="44">
        <v>1495033</v>
      </c>
      <c r="R38" s="44"/>
      <c r="S38" s="44">
        <v>345096</v>
      </c>
      <c r="T38" s="44"/>
      <c r="U38" s="44">
        <v>89291</v>
      </c>
      <c r="V38" s="44"/>
      <c r="W38" s="44">
        <v>0</v>
      </c>
      <c r="X38" s="44"/>
      <c r="Y38" s="44">
        <v>0</v>
      </c>
      <c r="Z38" s="44"/>
      <c r="AA38" s="44">
        <f t="shared" si="1"/>
        <v>13526944</v>
      </c>
      <c r="AB38" s="44"/>
      <c r="AC38" s="44">
        <f t="shared" si="0"/>
        <v>19592504</v>
      </c>
    </row>
    <row r="39" spans="1:29" s="47" customFormat="1" ht="12.75" customHeight="1">
      <c r="A39" s="47" t="s">
        <v>54</v>
      </c>
      <c r="C39" s="47" t="s">
        <v>55</v>
      </c>
      <c r="E39" s="44">
        <v>1058348</v>
      </c>
      <c r="F39" s="44"/>
      <c r="G39" s="44">
        <v>645756</v>
      </c>
      <c r="H39" s="44"/>
      <c r="I39" s="44">
        <v>765308</v>
      </c>
      <c r="J39" s="44"/>
      <c r="K39" s="44">
        <v>547289</v>
      </c>
      <c r="L39" s="44"/>
      <c r="M39" s="44">
        <v>6643993</v>
      </c>
      <c r="N39" s="44"/>
      <c r="O39" s="44">
        <v>835237</v>
      </c>
      <c r="P39" s="44"/>
      <c r="Q39" s="44">
        <v>581553</v>
      </c>
      <c r="R39" s="44"/>
      <c r="S39" s="44">
        <v>311643</v>
      </c>
      <c r="T39" s="44"/>
      <c r="U39" s="44">
        <f>424542+27921</f>
        <v>452463</v>
      </c>
      <c r="V39" s="44"/>
      <c r="W39" s="44">
        <v>-939992</v>
      </c>
      <c r="X39" s="44"/>
      <c r="Y39" s="44"/>
      <c r="Z39" s="44"/>
      <c r="AA39" s="44">
        <f t="shared" si="1"/>
        <v>8432186</v>
      </c>
      <c r="AB39" s="44"/>
      <c r="AC39" s="44">
        <f t="shared" si="0"/>
        <v>10901598</v>
      </c>
    </row>
    <row r="40" spans="1:29" s="47" customFormat="1" ht="12.75" customHeight="1">
      <c r="A40" s="47" t="s">
        <v>56</v>
      </c>
      <c r="C40" s="47" t="s">
        <v>57</v>
      </c>
      <c r="E40" s="44">
        <v>555462</v>
      </c>
      <c r="F40" s="44"/>
      <c r="G40" s="44">
        <v>1316948</v>
      </c>
      <c r="H40" s="44"/>
      <c r="I40" s="44">
        <v>403046</v>
      </c>
      <c r="J40" s="44"/>
      <c r="K40" s="44">
        <f>555103+100392</f>
        <v>655495</v>
      </c>
      <c r="L40" s="44"/>
      <c r="M40" s="44">
        <f>2749521+1374762</f>
        <v>4124283</v>
      </c>
      <c r="N40" s="44"/>
      <c r="O40" s="44">
        <f>32881+130993</f>
        <v>163874</v>
      </c>
      <c r="P40" s="44"/>
      <c r="Q40" s="44">
        <v>984622</v>
      </c>
      <c r="R40" s="44"/>
      <c r="S40" s="44">
        <v>208428</v>
      </c>
      <c r="T40" s="44"/>
      <c r="U40" s="44">
        <v>180834</v>
      </c>
      <c r="V40" s="44"/>
      <c r="W40" s="44">
        <v>-188161</v>
      </c>
      <c r="X40" s="44"/>
      <c r="Y40" s="44">
        <v>0</v>
      </c>
      <c r="Z40" s="44"/>
      <c r="AA40" s="44">
        <f t="shared" si="1"/>
        <v>6129375</v>
      </c>
      <c r="AB40" s="44"/>
      <c r="AC40" s="44">
        <f t="shared" si="0"/>
        <v>8404831</v>
      </c>
    </row>
    <row r="41" spans="1:29" s="47" customFormat="1" ht="12.75" customHeight="1">
      <c r="A41" s="47" t="s">
        <v>58</v>
      </c>
      <c r="C41" s="47" t="s">
        <v>59</v>
      </c>
      <c r="E41" s="44">
        <v>1888597</v>
      </c>
      <c r="F41" s="44"/>
      <c r="G41" s="44">
        <v>1528282</v>
      </c>
      <c r="H41" s="44"/>
      <c r="I41" s="44">
        <v>3246548</v>
      </c>
      <c r="J41" s="44"/>
      <c r="K41" s="44">
        <f>313976+1213830</f>
        <v>1527806</v>
      </c>
      <c r="L41" s="44"/>
      <c r="M41" s="44">
        <f>3181915+1363507</f>
        <v>4545422</v>
      </c>
      <c r="N41" s="44"/>
      <c r="O41" s="44">
        <v>0</v>
      </c>
      <c r="P41" s="44"/>
      <c r="Q41" s="44">
        <v>997241</v>
      </c>
      <c r="R41" s="44"/>
      <c r="S41" s="44">
        <v>376308</v>
      </c>
      <c r="T41" s="44"/>
      <c r="U41" s="44">
        <v>203701</v>
      </c>
      <c r="V41" s="44"/>
      <c r="W41" s="44">
        <v>0</v>
      </c>
      <c r="X41" s="44"/>
      <c r="Y41" s="44">
        <v>0</v>
      </c>
      <c r="Z41" s="44"/>
      <c r="AA41" s="44">
        <f t="shared" si="1"/>
        <v>7650478</v>
      </c>
      <c r="AB41" s="44"/>
      <c r="AC41" s="44">
        <f t="shared" si="0"/>
        <v>14313905</v>
      </c>
    </row>
    <row r="42" spans="1:29" s="47" customFormat="1" ht="12.75" customHeight="1">
      <c r="A42" s="47" t="s">
        <v>476</v>
      </c>
      <c r="C42" s="47" t="s">
        <v>15</v>
      </c>
      <c r="E42" s="44">
        <v>113157</v>
      </c>
      <c r="F42" s="44"/>
      <c r="G42" s="44">
        <v>400100</v>
      </c>
      <c r="H42" s="44"/>
      <c r="I42" s="44">
        <v>0</v>
      </c>
      <c r="J42" s="44"/>
      <c r="K42" s="44">
        <f>210737+61601+61601+135049</f>
        <v>468988</v>
      </c>
      <c r="L42" s="44"/>
      <c r="M42" s="44">
        <f>1733268+120000</f>
        <v>1853268</v>
      </c>
      <c r="N42" s="44"/>
      <c r="O42" s="44">
        <v>0</v>
      </c>
      <c r="P42" s="44"/>
      <c r="Q42" s="44">
        <v>384698</v>
      </c>
      <c r="R42" s="44"/>
      <c r="S42" s="44">
        <v>40471</v>
      </c>
      <c r="T42" s="44"/>
      <c r="U42" s="44">
        <v>94351</v>
      </c>
      <c r="V42" s="44"/>
      <c r="W42" s="44">
        <v>-107699</v>
      </c>
      <c r="X42" s="44"/>
      <c r="Y42" s="44">
        <v>0</v>
      </c>
      <c r="Z42" s="44"/>
      <c r="AA42" s="44">
        <f>SUM(K42:Y42)</f>
        <v>2734077</v>
      </c>
      <c r="AB42" s="44"/>
      <c r="AC42" s="44">
        <f>SUM(E42:Y42)</f>
        <v>3247334</v>
      </c>
    </row>
    <row r="43" spans="1:29" s="47" customFormat="1" ht="12.75" customHeight="1">
      <c r="A43" s="47" t="s">
        <v>60</v>
      </c>
      <c r="C43" s="47" t="s">
        <v>61</v>
      </c>
      <c r="E43" s="44">
        <v>435543</v>
      </c>
      <c r="F43" s="44"/>
      <c r="G43" s="44">
        <v>638420</v>
      </c>
      <c r="H43" s="44"/>
      <c r="I43" s="44">
        <v>10100</v>
      </c>
      <c r="J43" s="44"/>
      <c r="K43" s="44">
        <f>401965+122337</f>
        <v>524302</v>
      </c>
      <c r="L43" s="44"/>
      <c r="M43" s="44">
        <v>2343666</v>
      </c>
      <c r="N43" s="44"/>
      <c r="O43" s="44">
        <v>0</v>
      </c>
      <c r="P43" s="44"/>
      <c r="Q43" s="44">
        <v>321904</v>
      </c>
      <c r="R43" s="44"/>
      <c r="S43" s="44">
        <f>-231374+145155</f>
        <v>-86219</v>
      </c>
      <c r="T43" s="44"/>
      <c r="U43" s="44">
        <v>21139</v>
      </c>
      <c r="V43" s="44"/>
      <c r="W43" s="44">
        <v>-161375</v>
      </c>
      <c r="X43" s="44"/>
      <c r="Y43" s="44">
        <v>0</v>
      </c>
      <c r="Z43" s="44"/>
      <c r="AA43" s="44">
        <f t="shared" si="1"/>
        <v>2963417</v>
      </c>
      <c r="AB43" s="44"/>
      <c r="AC43" s="44">
        <f t="shared" si="0"/>
        <v>4047480</v>
      </c>
    </row>
    <row r="44" spans="1:29" s="47" customFormat="1" ht="12.75" customHeight="1">
      <c r="A44" s="47" t="s">
        <v>62</v>
      </c>
      <c r="C44" s="47" t="s">
        <v>15</v>
      </c>
      <c r="E44" s="44">
        <v>14942476</v>
      </c>
      <c r="F44" s="44"/>
      <c r="G44" s="44">
        <v>7017103</v>
      </c>
      <c r="H44" s="44"/>
      <c r="I44" s="44">
        <v>3743113</v>
      </c>
      <c r="J44" s="44"/>
      <c r="K44" s="44">
        <v>4475101</v>
      </c>
      <c r="L44" s="44"/>
      <c r="M44" s="44">
        <v>43086906</v>
      </c>
      <c r="N44" s="44"/>
      <c r="O44" s="44">
        <v>0</v>
      </c>
      <c r="P44" s="44"/>
      <c r="Q44" s="44">
        <v>8938333</v>
      </c>
      <c r="R44" s="44"/>
      <c r="S44" s="44">
        <v>1592671</v>
      </c>
      <c r="T44" s="44"/>
      <c r="U44" s="44">
        <v>2979299</v>
      </c>
      <c r="V44" s="44"/>
      <c r="W44" s="44">
        <v>0</v>
      </c>
      <c r="X44" s="44"/>
      <c r="Y44" s="44">
        <v>-58576</v>
      </c>
      <c r="Z44" s="44"/>
      <c r="AA44" s="44">
        <f t="shared" si="1"/>
        <v>61013734</v>
      </c>
      <c r="AB44" s="44"/>
      <c r="AC44" s="44">
        <f t="shared" si="0"/>
        <v>86716426</v>
      </c>
    </row>
    <row r="45" spans="1:29" s="47" customFormat="1" ht="12.75" customHeight="1">
      <c r="A45" s="47" t="s">
        <v>485</v>
      </c>
      <c r="C45" s="47" t="s">
        <v>111</v>
      </c>
      <c r="E45" s="44">
        <v>288836</v>
      </c>
      <c r="F45" s="44"/>
      <c r="G45" s="44">
        <v>342626</v>
      </c>
      <c r="H45" s="44"/>
      <c r="I45" s="44">
        <v>186567</v>
      </c>
      <c r="J45" s="44"/>
      <c r="K45" s="44">
        <f>77415+112960</f>
        <v>190375</v>
      </c>
      <c r="L45" s="44"/>
      <c r="M45" s="44">
        <f>491062+245532</f>
        <v>736594</v>
      </c>
      <c r="N45" s="44"/>
      <c r="O45" s="44">
        <v>0</v>
      </c>
      <c r="P45" s="44"/>
      <c r="Q45" s="44">
        <v>188303</v>
      </c>
      <c r="R45" s="44"/>
      <c r="S45" s="44">
        <v>95342</v>
      </c>
      <c r="T45" s="44"/>
      <c r="U45" s="44">
        <f>91601+206858</f>
        <v>298459</v>
      </c>
      <c r="V45" s="44"/>
      <c r="W45" s="44">
        <v>0</v>
      </c>
      <c r="X45" s="44"/>
      <c r="Y45" s="44">
        <v>0</v>
      </c>
      <c r="Z45" s="44"/>
      <c r="AA45" s="44">
        <f>SUM(K45:Y45)</f>
        <v>1509073</v>
      </c>
      <c r="AB45" s="44"/>
      <c r="AC45" s="44">
        <f>SUM(E45:Y45)</f>
        <v>2327102</v>
      </c>
    </row>
    <row r="46" spans="1:29" s="47" customFormat="1" ht="12.75" customHeight="1">
      <c r="A46" s="47" t="s">
        <v>63</v>
      </c>
      <c r="C46" s="47" t="s">
        <v>64</v>
      </c>
      <c r="E46" s="44">
        <v>1232227</v>
      </c>
      <c r="F46" s="44"/>
      <c r="G46" s="44">
        <v>1152694</v>
      </c>
      <c r="H46" s="44"/>
      <c r="I46" s="44">
        <v>505249</v>
      </c>
      <c r="J46" s="44"/>
      <c r="K46" s="44">
        <f>294830+43545+43545</f>
        <v>381920</v>
      </c>
      <c r="L46" s="44"/>
      <c r="M46" s="44">
        <v>2795359</v>
      </c>
      <c r="N46" s="44"/>
      <c r="O46" s="44">
        <v>572183</v>
      </c>
      <c r="P46" s="44"/>
      <c r="Q46" s="44">
        <v>657442</v>
      </c>
      <c r="R46" s="44"/>
      <c r="S46" s="44">
        <v>247041</v>
      </c>
      <c r="T46" s="44"/>
      <c r="U46" s="44">
        <f>99275+77141</f>
        <v>176416</v>
      </c>
      <c r="V46" s="44"/>
      <c r="W46" s="44">
        <v>211</v>
      </c>
      <c r="X46" s="44"/>
      <c r="Y46" s="44">
        <v>0</v>
      </c>
      <c r="Z46" s="44"/>
      <c r="AA46" s="44">
        <f t="shared" si="1"/>
        <v>4830572</v>
      </c>
      <c r="AB46" s="44"/>
      <c r="AC46" s="44">
        <f t="shared" si="0"/>
        <v>7720742</v>
      </c>
    </row>
    <row r="47" spans="1:29" s="47" customFormat="1" ht="12.75" customHeight="1">
      <c r="A47" s="47" t="s">
        <v>65</v>
      </c>
      <c r="C47" s="47" t="s">
        <v>66</v>
      </c>
      <c r="E47" s="44">
        <v>1418031</v>
      </c>
      <c r="F47" s="44"/>
      <c r="G47" s="44">
        <v>1091093</v>
      </c>
      <c r="H47" s="44"/>
      <c r="I47" s="44">
        <v>806973</v>
      </c>
      <c r="J47" s="44"/>
      <c r="K47" s="44">
        <v>1408488</v>
      </c>
      <c r="L47" s="44"/>
      <c r="M47" s="44">
        <v>10727974</v>
      </c>
      <c r="N47" s="44"/>
      <c r="O47" s="44">
        <v>0</v>
      </c>
      <c r="P47" s="44"/>
      <c r="Q47" s="44">
        <v>2704380</v>
      </c>
      <c r="R47" s="44"/>
      <c r="S47" s="44">
        <v>843798</v>
      </c>
      <c r="T47" s="44"/>
      <c r="U47" s="44">
        <v>137323</v>
      </c>
      <c r="V47" s="44"/>
      <c r="W47" s="44">
        <v>-97500</v>
      </c>
      <c r="X47" s="44"/>
      <c r="Y47" s="44">
        <v>0</v>
      </c>
      <c r="Z47" s="44"/>
      <c r="AA47" s="44">
        <f t="shared" si="1"/>
        <v>15724463</v>
      </c>
      <c r="AB47" s="44"/>
      <c r="AC47" s="44">
        <f t="shared" si="0"/>
        <v>19040560</v>
      </c>
    </row>
    <row r="48" spans="1:29" s="47" customFormat="1" ht="12.75" customHeight="1">
      <c r="A48" s="47" t="s">
        <v>67</v>
      </c>
      <c r="C48" s="47" t="s">
        <v>375</v>
      </c>
      <c r="E48" s="44">
        <v>2755121</v>
      </c>
      <c r="F48" s="44"/>
      <c r="G48" s="44">
        <v>777222</v>
      </c>
      <c r="H48" s="44"/>
      <c r="I48" s="44">
        <v>0</v>
      </c>
      <c r="J48" s="44"/>
      <c r="K48" s="44">
        <f>410744+951762</f>
        <v>1362506</v>
      </c>
      <c r="L48" s="44"/>
      <c r="M48" s="44">
        <v>5127628</v>
      </c>
      <c r="N48" s="44"/>
      <c r="O48" s="44">
        <v>0</v>
      </c>
      <c r="P48" s="44"/>
      <c r="Q48" s="44">
        <v>334248</v>
      </c>
      <c r="R48" s="44"/>
      <c r="S48" s="44">
        <v>245312</v>
      </c>
      <c r="T48" s="44"/>
      <c r="U48" s="44">
        <v>57964</v>
      </c>
      <c r="V48" s="44"/>
      <c r="W48" s="44">
        <v>-962470</v>
      </c>
      <c r="X48" s="44"/>
      <c r="Y48" s="44">
        <v>0</v>
      </c>
      <c r="Z48" s="44"/>
      <c r="AA48" s="44">
        <f t="shared" si="1"/>
        <v>6165188</v>
      </c>
      <c r="AB48" s="44"/>
      <c r="AC48" s="44">
        <f t="shared" si="0"/>
        <v>9697531</v>
      </c>
    </row>
    <row r="49" spans="1:29" s="47" customFormat="1" ht="12.75" customHeight="1">
      <c r="A49" s="47" t="s">
        <v>68</v>
      </c>
      <c r="C49" s="47" t="s">
        <v>45</v>
      </c>
      <c r="E49" s="44">
        <v>371833</v>
      </c>
      <c r="F49" s="44"/>
      <c r="G49" s="44">
        <v>399400</v>
      </c>
      <c r="H49" s="44"/>
      <c r="I49" s="44">
        <v>101700</v>
      </c>
      <c r="J49" s="44"/>
      <c r="K49" s="44">
        <f>1097368+134974</f>
        <v>1232342</v>
      </c>
      <c r="L49" s="44"/>
      <c r="M49" s="44">
        <v>1843617</v>
      </c>
      <c r="N49" s="44"/>
      <c r="O49" s="44">
        <v>70677</v>
      </c>
      <c r="P49" s="44"/>
      <c r="Q49" s="44">
        <v>721464</v>
      </c>
      <c r="R49" s="44"/>
      <c r="S49" s="44">
        <v>15980</v>
      </c>
      <c r="T49" s="44"/>
      <c r="U49" s="44">
        <v>129995</v>
      </c>
      <c r="V49" s="44"/>
      <c r="W49" s="44">
        <v>0</v>
      </c>
      <c r="X49" s="44"/>
      <c r="Y49" s="44">
        <v>0</v>
      </c>
      <c r="Z49" s="44"/>
      <c r="AA49" s="44">
        <f t="shared" si="1"/>
        <v>4014075</v>
      </c>
      <c r="AB49" s="44"/>
      <c r="AC49" s="44">
        <f t="shared" si="0"/>
        <v>4887008</v>
      </c>
    </row>
    <row r="50" spans="1:29" s="47" customFormat="1" ht="12.75" customHeight="1">
      <c r="A50" s="47" t="s">
        <v>69</v>
      </c>
      <c r="C50" s="47" t="s">
        <v>70</v>
      </c>
      <c r="E50" s="44">
        <v>4249683</v>
      </c>
      <c r="F50" s="44"/>
      <c r="G50" s="44">
        <v>3005587</v>
      </c>
      <c r="H50" s="44"/>
      <c r="I50" s="44">
        <v>111044</v>
      </c>
      <c r="J50" s="44"/>
      <c r="K50" s="44">
        <f>986223+236293</f>
        <v>1222516</v>
      </c>
      <c r="L50" s="44"/>
      <c r="M50" s="44">
        <f>9211925+669926+836963</f>
        <v>10718814</v>
      </c>
      <c r="N50" s="44"/>
      <c r="O50" s="44">
        <v>190237</v>
      </c>
      <c r="P50" s="44"/>
      <c r="Q50" s="44">
        <v>3738582</v>
      </c>
      <c r="R50" s="44"/>
      <c r="S50" s="44">
        <v>358230</v>
      </c>
      <c r="T50" s="44"/>
      <c r="U50" s="44">
        <v>622353</v>
      </c>
      <c r="V50" s="44"/>
      <c r="W50" s="44">
        <v>-19571</v>
      </c>
      <c r="X50" s="44"/>
      <c r="Y50" s="44">
        <v>0</v>
      </c>
      <c r="Z50" s="44"/>
      <c r="AA50" s="44">
        <f t="shared" si="1"/>
        <v>16831161</v>
      </c>
      <c r="AB50" s="44"/>
      <c r="AC50" s="44">
        <f t="shared" si="0"/>
        <v>24197475</v>
      </c>
    </row>
    <row r="51" spans="1:29" s="47" customFormat="1" ht="12.75" customHeight="1">
      <c r="A51" s="47" t="s">
        <v>71</v>
      </c>
      <c r="C51" s="47" t="s">
        <v>45</v>
      </c>
      <c r="E51" s="44">
        <v>139476</v>
      </c>
      <c r="F51" s="44"/>
      <c r="G51" s="44">
        <v>45371</v>
      </c>
      <c r="H51" s="44"/>
      <c r="I51" s="44">
        <v>10560</v>
      </c>
      <c r="J51" s="44"/>
      <c r="K51" s="44">
        <f>75062+321426+4570+73079+2222</f>
        <v>476359</v>
      </c>
      <c r="L51" s="44"/>
      <c r="M51" s="44">
        <v>0</v>
      </c>
      <c r="N51" s="44"/>
      <c r="O51" s="44">
        <v>0</v>
      </c>
      <c r="P51" s="44"/>
      <c r="Q51" s="44">
        <v>0</v>
      </c>
      <c r="R51" s="44"/>
      <c r="S51" s="44">
        <v>19363</v>
      </c>
      <c r="T51" s="44"/>
      <c r="U51" s="44">
        <v>727</v>
      </c>
      <c r="V51" s="44"/>
      <c r="W51" s="44">
        <v>2726</v>
      </c>
      <c r="X51" s="44"/>
      <c r="Y51" s="44">
        <v>0</v>
      </c>
      <c r="Z51" s="44"/>
      <c r="AA51" s="44">
        <f t="shared" si="1"/>
        <v>499175</v>
      </c>
      <c r="AB51" s="44"/>
      <c r="AC51" s="44">
        <f t="shared" si="0"/>
        <v>694582</v>
      </c>
    </row>
    <row r="52" spans="1:29" s="47" customFormat="1" ht="12.75" customHeight="1">
      <c r="A52" s="47" t="s">
        <v>463</v>
      </c>
      <c r="C52" s="47" t="s">
        <v>464</v>
      </c>
      <c r="E52" s="44">
        <v>2008577</v>
      </c>
      <c r="F52" s="44"/>
      <c r="G52" s="44">
        <v>649195</v>
      </c>
      <c r="H52" s="44"/>
      <c r="I52" s="44">
        <v>1796617</v>
      </c>
      <c r="J52" s="44"/>
      <c r="K52" s="44">
        <f>819118+127179</f>
        <v>946297</v>
      </c>
      <c r="L52" s="44"/>
      <c r="M52" s="44">
        <f>1653513+1683538+388375+1035248</f>
        <v>4760674</v>
      </c>
      <c r="N52" s="44"/>
      <c r="O52" s="44">
        <v>251404</v>
      </c>
      <c r="P52" s="44"/>
      <c r="Q52" s="44">
        <v>1286719</v>
      </c>
      <c r="R52" s="44"/>
      <c r="S52" s="44">
        <v>400865</v>
      </c>
      <c r="T52" s="44"/>
      <c r="U52" s="44">
        <v>500</v>
      </c>
      <c r="V52" s="44"/>
      <c r="W52" s="44">
        <v>90919</v>
      </c>
      <c r="X52" s="44"/>
      <c r="Y52" s="44">
        <v>0</v>
      </c>
      <c r="Z52" s="44"/>
      <c r="AA52" s="44">
        <f t="shared" si="1"/>
        <v>7737378</v>
      </c>
      <c r="AB52" s="44"/>
      <c r="AC52" s="44">
        <f t="shared" si="0"/>
        <v>12191767</v>
      </c>
    </row>
    <row r="53" spans="1:29" s="47" customFormat="1" ht="12.75" customHeight="1">
      <c r="A53" s="47" t="s">
        <v>72</v>
      </c>
      <c r="C53" s="47" t="s">
        <v>66</v>
      </c>
      <c r="E53" s="44">
        <v>551575</v>
      </c>
      <c r="F53" s="44"/>
      <c r="G53" s="44">
        <v>1093240</v>
      </c>
      <c r="H53" s="44"/>
      <c r="I53" s="44">
        <v>317078</v>
      </c>
      <c r="J53" s="44"/>
      <c r="K53" s="44">
        <f>374000+1076541+421228+183452</f>
        <v>2055221</v>
      </c>
      <c r="L53" s="44"/>
      <c r="M53" s="44">
        <f>1280281+727648</f>
        <v>2007929</v>
      </c>
      <c r="N53" s="44"/>
      <c r="O53" s="44">
        <v>206438</v>
      </c>
      <c r="P53" s="44"/>
      <c r="Q53" s="44">
        <v>550153</v>
      </c>
      <c r="R53" s="44"/>
      <c r="S53" s="44">
        <v>85905</v>
      </c>
      <c r="T53" s="44"/>
      <c r="U53" s="44">
        <f>12955+217289</f>
        <v>230244</v>
      </c>
      <c r="V53" s="44"/>
      <c r="W53" s="44">
        <v>-262233</v>
      </c>
      <c r="X53" s="44"/>
      <c r="Y53" s="44">
        <v>0</v>
      </c>
      <c r="Z53" s="44"/>
      <c r="AA53" s="44">
        <f t="shared" si="1"/>
        <v>4873657</v>
      </c>
      <c r="AB53" s="44"/>
      <c r="AC53" s="44">
        <f t="shared" si="0"/>
        <v>6835550</v>
      </c>
    </row>
    <row r="54" spans="1:29" s="47" customFormat="1" ht="12.75" customHeight="1">
      <c r="A54" s="47" t="s">
        <v>73</v>
      </c>
      <c r="C54" s="47" t="s">
        <v>27</v>
      </c>
      <c r="E54" s="44">
        <v>87114000</v>
      </c>
      <c r="F54" s="44"/>
      <c r="G54" s="44">
        <v>129113000</v>
      </c>
      <c r="H54" s="44"/>
      <c r="I54" s="44">
        <v>16151000</v>
      </c>
      <c r="J54" s="44"/>
      <c r="K54" s="44">
        <v>65398000</v>
      </c>
      <c r="L54" s="44"/>
      <c r="M54" s="44">
        <v>329316000</v>
      </c>
      <c r="N54" s="44"/>
      <c r="O54" s="44">
        <v>25918000</v>
      </c>
      <c r="P54" s="44"/>
      <c r="Q54" s="44">
        <f>28587000+52450000</f>
        <v>81037000</v>
      </c>
      <c r="R54" s="44"/>
      <c r="S54" s="44">
        <v>3344000</v>
      </c>
      <c r="T54" s="44"/>
      <c r="U54" s="44">
        <v>9556000</v>
      </c>
      <c r="V54" s="44"/>
      <c r="W54" s="44">
        <v>-306000</v>
      </c>
      <c r="X54" s="44"/>
      <c r="Y54" s="44">
        <v>0</v>
      </c>
      <c r="Z54" s="44"/>
      <c r="AA54" s="44">
        <f t="shared" si="1"/>
        <v>514263000</v>
      </c>
      <c r="AB54" s="44"/>
      <c r="AC54" s="44">
        <f t="shared" si="0"/>
        <v>746641000</v>
      </c>
    </row>
    <row r="55" spans="1:29" s="47" customFormat="1" ht="12.75" hidden="1" customHeight="1">
      <c r="A55" s="47" t="s">
        <v>74</v>
      </c>
      <c r="C55" s="47" t="s">
        <v>27</v>
      </c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>
        <f t="shared" si="1"/>
        <v>0</v>
      </c>
      <c r="AB55" s="121"/>
      <c r="AC55" s="121">
        <f t="shared" si="0"/>
        <v>0</v>
      </c>
    </row>
    <row r="56" spans="1:29" s="47" customFormat="1" ht="12.75" customHeight="1">
      <c r="A56" s="47" t="s">
        <v>75</v>
      </c>
      <c r="C56" s="47" t="s">
        <v>76</v>
      </c>
      <c r="E56" s="44">
        <v>373127</v>
      </c>
      <c r="F56" s="44"/>
      <c r="G56" s="44">
        <v>372674</v>
      </c>
      <c r="H56" s="44"/>
      <c r="I56" s="44">
        <v>126084</v>
      </c>
      <c r="J56" s="44"/>
      <c r="K56" s="44">
        <f>400979+38211</f>
        <v>439190</v>
      </c>
      <c r="L56" s="44"/>
      <c r="M56" s="44">
        <f>2501601+951657</f>
        <v>3453258</v>
      </c>
      <c r="N56" s="44"/>
      <c r="O56" s="44">
        <v>402001</v>
      </c>
      <c r="P56" s="44"/>
      <c r="Q56" s="44">
        <v>303732</v>
      </c>
      <c r="R56" s="44"/>
      <c r="S56" s="44">
        <v>294317</v>
      </c>
      <c r="T56" s="44"/>
      <c r="U56" s="44">
        <v>54308</v>
      </c>
      <c r="V56" s="44"/>
      <c r="W56" s="44">
        <v>-424398</v>
      </c>
      <c r="X56" s="44"/>
      <c r="Y56" s="44">
        <v>127590</v>
      </c>
      <c r="Z56" s="44"/>
      <c r="AA56" s="44">
        <f t="shared" si="1"/>
        <v>4649998</v>
      </c>
      <c r="AB56" s="44"/>
      <c r="AC56" s="44">
        <f t="shared" si="0"/>
        <v>5521883</v>
      </c>
    </row>
    <row r="57" spans="1:29" s="47" customFormat="1" ht="12.75" customHeight="1">
      <c r="A57" s="47" t="s">
        <v>77</v>
      </c>
      <c r="C57" s="47" t="s">
        <v>43</v>
      </c>
      <c r="E57" s="44">
        <v>146639000</v>
      </c>
      <c r="F57" s="44"/>
      <c r="G57" s="44">
        <v>138630000</v>
      </c>
      <c r="H57" s="44"/>
      <c r="I57" s="44">
        <v>45371000</v>
      </c>
      <c r="J57" s="44"/>
      <c r="K57" s="44">
        <v>52515000</v>
      </c>
      <c r="L57" s="44"/>
      <c r="M57" s="44">
        <v>511454000</v>
      </c>
      <c r="N57" s="44"/>
      <c r="O57" s="44">
        <f>3433000+14678000</f>
        <v>18111000</v>
      </c>
      <c r="P57" s="44"/>
      <c r="Q57" s="44">
        <v>57406000</v>
      </c>
      <c r="R57" s="44"/>
      <c r="S57" s="44">
        <v>21202000</v>
      </c>
      <c r="T57" s="44"/>
      <c r="U57" s="44">
        <v>15984000</v>
      </c>
      <c r="V57" s="44"/>
      <c r="W57" s="44">
        <v>-2456000</v>
      </c>
      <c r="X57" s="44"/>
      <c r="Y57" s="44">
        <v>0</v>
      </c>
      <c r="Z57" s="44"/>
      <c r="AA57" s="44">
        <f t="shared" si="1"/>
        <v>674216000</v>
      </c>
      <c r="AB57" s="44"/>
      <c r="AC57" s="44">
        <f t="shared" si="0"/>
        <v>1004856000</v>
      </c>
    </row>
    <row r="58" spans="1:29" s="47" customFormat="1" ht="12.75" customHeight="1">
      <c r="A58" s="47" t="s">
        <v>94</v>
      </c>
      <c r="C58" s="47" t="s">
        <v>94</v>
      </c>
      <c r="E58" s="44">
        <v>390753</v>
      </c>
      <c r="F58" s="44"/>
      <c r="G58" s="44">
        <v>319287</v>
      </c>
      <c r="H58" s="44"/>
      <c r="I58" s="44">
        <v>1388323</v>
      </c>
      <c r="J58" s="44"/>
      <c r="K58" s="44">
        <f>315518+37762</f>
        <v>353280</v>
      </c>
      <c r="L58" s="44"/>
      <c r="M58" s="44">
        <v>1750364</v>
      </c>
      <c r="N58" s="44"/>
      <c r="O58" s="44">
        <v>34123</v>
      </c>
      <c r="P58" s="44"/>
      <c r="Q58" s="44">
        <v>653717</v>
      </c>
      <c r="R58" s="44"/>
      <c r="S58" s="44">
        <v>141067</v>
      </c>
      <c r="T58" s="44"/>
      <c r="U58" s="44">
        <v>188552</v>
      </c>
      <c r="V58" s="44"/>
      <c r="W58" s="44">
        <v>-8081</v>
      </c>
      <c r="X58" s="44"/>
      <c r="Y58" s="44">
        <v>0</v>
      </c>
      <c r="Z58" s="44"/>
      <c r="AA58" s="44">
        <f>SUM(K58:Y58)</f>
        <v>3113022</v>
      </c>
      <c r="AB58" s="44"/>
      <c r="AC58" s="44">
        <f>SUM(E58:Y58)</f>
        <v>5211385</v>
      </c>
    </row>
    <row r="59" spans="1:29" s="47" customFormat="1" ht="12.75" customHeight="1">
      <c r="A59" s="47" t="s">
        <v>78</v>
      </c>
      <c r="C59" s="47" t="s">
        <v>19</v>
      </c>
      <c r="E59" s="44">
        <v>874923</v>
      </c>
      <c r="F59" s="44"/>
      <c r="G59" s="44">
        <v>1141951</v>
      </c>
      <c r="H59" s="44"/>
      <c r="I59" s="44">
        <v>304640</v>
      </c>
      <c r="J59" s="44"/>
      <c r="K59" s="44">
        <f>327807+226055+635997</f>
        <v>1189859</v>
      </c>
      <c r="L59" s="44"/>
      <c r="M59" s="44">
        <f>1791008+278447+731338+45113</f>
        <v>2845906</v>
      </c>
      <c r="N59" s="44"/>
      <c r="O59" s="44">
        <v>0</v>
      </c>
      <c r="P59" s="44"/>
      <c r="Q59" s="44">
        <v>1157451</v>
      </c>
      <c r="R59" s="44"/>
      <c r="S59" s="44">
        <v>51195</v>
      </c>
      <c r="T59" s="44"/>
      <c r="U59" s="44">
        <v>20401</v>
      </c>
      <c r="V59" s="44"/>
      <c r="W59" s="44">
        <v>0</v>
      </c>
      <c r="X59" s="44"/>
      <c r="Y59" s="44">
        <v>7953</v>
      </c>
      <c r="Z59" s="44"/>
      <c r="AA59" s="44">
        <f>SUM(K59:Y59)</f>
        <v>5272765</v>
      </c>
      <c r="AB59" s="44"/>
      <c r="AC59" s="44">
        <f>SUM(E59:Y59)</f>
        <v>7594279</v>
      </c>
    </row>
    <row r="60" spans="1:29" s="47" customFormat="1" ht="12.75" customHeight="1">
      <c r="A60" s="47" t="s">
        <v>79</v>
      </c>
      <c r="C60" s="47" t="s">
        <v>80</v>
      </c>
      <c r="E60" s="44">
        <v>513230</v>
      </c>
      <c r="F60" s="44"/>
      <c r="G60" s="44">
        <v>1662417</v>
      </c>
      <c r="H60" s="44"/>
      <c r="I60" s="44">
        <v>120782</v>
      </c>
      <c r="J60" s="44"/>
      <c r="K60" s="44">
        <f>496677+784996+867694</f>
        <v>2149367</v>
      </c>
      <c r="L60" s="44"/>
      <c r="M60" s="44">
        <v>0</v>
      </c>
      <c r="N60" s="44"/>
      <c r="O60" s="44">
        <v>0</v>
      </c>
      <c r="P60" s="44"/>
      <c r="Q60" s="44">
        <v>408077</v>
      </c>
      <c r="R60" s="44"/>
      <c r="S60" s="44">
        <v>56913</v>
      </c>
      <c r="T60" s="44"/>
      <c r="U60" s="44">
        <f>12500+22704</f>
        <v>35204</v>
      </c>
      <c r="V60" s="44"/>
      <c r="W60" s="44">
        <v>0</v>
      </c>
      <c r="X60" s="44"/>
      <c r="Y60" s="44">
        <v>0</v>
      </c>
      <c r="Z60" s="44"/>
      <c r="AA60" s="44">
        <f>SUM(K60:Y60)</f>
        <v>2649561</v>
      </c>
      <c r="AB60" s="44"/>
      <c r="AC60" s="44">
        <f>SUM(E60:Y60)</f>
        <v>4945990</v>
      </c>
    </row>
    <row r="61" spans="1:29" s="47" customFormat="1" ht="12.75" customHeight="1">
      <c r="A61" s="47" t="s">
        <v>81</v>
      </c>
      <c r="C61" s="47" t="s">
        <v>81</v>
      </c>
      <c r="E61" s="44">
        <v>1269694</v>
      </c>
      <c r="F61" s="44"/>
      <c r="G61" s="44">
        <v>948359</v>
      </c>
      <c r="H61" s="44"/>
      <c r="I61" s="44">
        <v>0</v>
      </c>
      <c r="J61" s="44"/>
      <c r="K61" s="44">
        <f>449559+53609</f>
        <v>503168</v>
      </c>
      <c r="L61" s="44"/>
      <c r="M61" s="44">
        <f>2122864+1022446+298836+476868+163065</f>
        <v>4084079</v>
      </c>
      <c r="N61" s="44"/>
      <c r="O61" s="44">
        <f>200703+276667+15544+84314</f>
        <v>577228</v>
      </c>
      <c r="P61" s="44"/>
      <c r="Q61" s="44">
        <v>807506</v>
      </c>
      <c r="R61" s="44"/>
      <c r="S61" s="44">
        <v>81619</v>
      </c>
      <c r="T61" s="44"/>
      <c r="U61" s="44">
        <v>495712</v>
      </c>
      <c r="V61" s="44"/>
      <c r="W61" s="44">
        <v>0</v>
      </c>
      <c r="X61" s="44"/>
      <c r="Y61" s="44">
        <v>0</v>
      </c>
      <c r="Z61" s="44"/>
      <c r="AA61" s="44">
        <f>SUM(K61:Y61)</f>
        <v>6549312</v>
      </c>
      <c r="AB61" s="44"/>
      <c r="AC61" s="44">
        <f>SUM(E61:Y61)</f>
        <v>8767365</v>
      </c>
    </row>
    <row r="62" spans="1:29" s="47" customFormat="1" ht="12.75" customHeight="1">
      <c r="A62" s="47" t="s">
        <v>465</v>
      </c>
      <c r="C62" s="47" t="s">
        <v>57</v>
      </c>
      <c r="E62" s="44">
        <v>303072</v>
      </c>
      <c r="F62" s="44"/>
      <c r="G62" s="44">
        <v>469184</v>
      </c>
      <c r="H62" s="44"/>
      <c r="I62" s="44">
        <v>0</v>
      </c>
      <c r="J62" s="44"/>
      <c r="K62" s="44">
        <f>164399+53943+14057+14057</f>
        <v>246456</v>
      </c>
      <c r="L62" s="44"/>
      <c r="M62" s="44">
        <f>823686+85417+168177</f>
        <v>1077280</v>
      </c>
      <c r="N62" s="44"/>
      <c r="O62" s="44">
        <v>0</v>
      </c>
      <c r="P62" s="44"/>
      <c r="Q62" s="44">
        <v>610416</v>
      </c>
      <c r="R62" s="44"/>
      <c r="S62" s="44">
        <v>70887</v>
      </c>
      <c r="T62" s="44"/>
      <c r="U62" s="44">
        <v>104481</v>
      </c>
      <c r="V62" s="44"/>
      <c r="W62" s="44">
        <v>-92714</v>
      </c>
      <c r="X62" s="44"/>
      <c r="Y62" s="44">
        <v>0</v>
      </c>
      <c r="Z62" s="44"/>
      <c r="AA62" s="44">
        <f>SUM(K62:Y62)</f>
        <v>2016806</v>
      </c>
      <c r="AB62" s="44"/>
      <c r="AC62" s="44">
        <f>SUM(E62:Y62)</f>
        <v>2789062</v>
      </c>
    </row>
    <row r="63" spans="1:29" s="47" customFormat="1" ht="12.75" customHeight="1">
      <c r="A63" s="47" t="s">
        <v>82</v>
      </c>
      <c r="C63" s="47" t="s">
        <v>13</v>
      </c>
      <c r="E63" s="44">
        <v>10532301</v>
      </c>
      <c r="F63" s="44"/>
      <c r="G63" s="44">
        <v>3028970</v>
      </c>
      <c r="H63" s="44"/>
      <c r="I63" s="44">
        <v>1788907</v>
      </c>
      <c r="J63" s="44"/>
      <c r="K63" s="44">
        <f>10440198+824016</f>
        <v>11264214</v>
      </c>
      <c r="L63" s="44"/>
      <c r="M63" s="44">
        <f>11765637+1501916+5506400</f>
        <v>18773953</v>
      </c>
      <c r="N63" s="44"/>
      <c r="O63" s="44">
        <v>0</v>
      </c>
      <c r="P63" s="44"/>
      <c r="Q63" s="44">
        <v>5020191</v>
      </c>
      <c r="R63" s="44"/>
      <c r="S63" s="44">
        <v>1177816</v>
      </c>
      <c r="T63" s="44"/>
      <c r="U63" s="44">
        <v>54372</v>
      </c>
      <c r="V63" s="44"/>
      <c r="W63" s="44">
        <v>-1678831</v>
      </c>
      <c r="X63" s="44"/>
      <c r="Y63" s="44">
        <v>0</v>
      </c>
      <c r="Z63" s="44"/>
      <c r="AA63" s="44">
        <f t="shared" si="1"/>
        <v>34611715</v>
      </c>
      <c r="AB63" s="44"/>
      <c r="AC63" s="44">
        <f t="shared" si="0"/>
        <v>49961893</v>
      </c>
    </row>
    <row r="64" spans="1:29" s="47" customFormat="1" ht="12.75" customHeight="1">
      <c r="A64" s="47" t="s">
        <v>83</v>
      </c>
      <c r="C64" s="47" t="s">
        <v>66</v>
      </c>
      <c r="E64" s="44">
        <v>28910674</v>
      </c>
      <c r="F64" s="44"/>
      <c r="G64" s="44">
        <v>20423979</v>
      </c>
      <c r="H64" s="44"/>
      <c r="I64" s="44">
        <v>13489575</v>
      </c>
      <c r="J64" s="44"/>
      <c r="K64" s="44">
        <f>11416153+11395652+1355313</f>
        <v>24167118</v>
      </c>
      <c r="L64" s="44"/>
      <c r="M64" s="44">
        <v>108868331</v>
      </c>
      <c r="N64" s="44"/>
      <c r="O64" s="44">
        <v>0</v>
      </c>
      <c r="P64" s="44"/>
      <c r="Q64" s="44">
        <v>17912684</v>
      </c>
      <c r="R64" s="44"/>
      <c r="S64" s="44">
        <v>5340622</v>
      </c>
      <c r="T64" s="44"/>
      <c r="U64" s="44">
        <v>11889101</v>
      </c>
      <c r="V64" s="44"/>
      <c r="W64" s="44">
        <v>344798</v>
      </c>
      <c r="X64" s="44"/>
      <c r="Y64" s="44">
        <v>0</v>
      </c>
      <c r="Z64" s="44"/>
      <c r="AA64" s="44">
        <f t="shared" si="1"/>
        <v>168522654</v>
      </c>
      <c r="AB64" s="44"/>
      <c r="AC64" s="44">
        <f t="shared" si="0"/>
        <v>231346882</v>
      </c>
    </row>
    <row r="65" spans="1:32" s="47" customFormat="1" ht="12.75" customHeight="1">
      <c r="A65" s="47" t="s">
        <v>84</v>
      </c>
      <c r="C65" s="47" t="s">
        <v>45</v>
      </c>
      <c r="E65" s="44">
        <v>210338</v>
      </c>
      <c r="F65" s="44"/>
      <c r="G65" s="44">
        <v>419961</v>
      </c>
      <c r="H65" s="44"/>
      <c r="I65" s="44">
        <v>175381</v>
      </c>
      <c r="J65" s="44"/>
      <c r="K65" s="44">
        <f>1292173+28287</f>
        <v>1320460</v>
      </c>
      <c r="L65" s="44"/>
      <c r="M65" s="44">
        <v>1313617</v>
      </c>
      <c r="N65" s="44"/>
      <c r="O65" s="44">
        <v>0</v>
      </c>
      <c r="P65" s="44"/>
      <c r="Q65" s="44">
        <v>14590</v>
      </c>
      <c r="R65" s="44"/>
      <c r="S65" s="44">
        <v>36777</v>
      </c>
      <c r="T65" s="44"/>
      <c r="U65" s="44">
        <v>0</v>
      </c>
      <c r="V65" s="44"/>
      <c r="W65" s="44">
        <v>0</v>
      </c>
      <c r="X65" s="44"/>
      <c r="Y65" s="44">
        <v>0</v>
      </c>
      <c r="Z65" s="44"/>
      <c r="AA65" s="44">
        <f t="shared" si="1"/>
        <v>2685444</v>
      </c>
      <c r="AB65" s="44"/>
      <c r="AC65" s="44">
        <f t="shared" si="0"/>
        <v>3491124</v>
      </c>
    </row>
    <row r="66" spans="1:32" s="47" customFormat="1" ht="12.75" customHeight="1">
      <c r="A66" s="47" t="s">
        <v>85</v>
      </c>
      <c r="C66" s="47" t="s">
        <v>85</v>
      </c>
      <c r="E66" s="44">
        <v>1903156</v>
      </c>
      <c r="F66" s="44"/>
      <c r="G66" s="44">
        <v>1331141</v>
      </c>
      <c r="H66" s="44"/>
      <c r="I66" s="44">
        <v>171030</v>
      </c>
      <c r="J66" s="44"/>
      <c r="K66" s="44">
        <f>602325+340946</f>
        <v>943271</v>
      </c>
      <c r="L66" s="44"/>
      <c r="M66" s="44">
        <f>5933088+25248+1514902</f>
        <v>7473238</v>
      </c>
      <c r="N66" s="44"/>
      <c r="O66" s="44">
        <v>0</v>
      </c>
      <c r="P66" s="44"/>
      <c r="Q66" s="44">
        <v>1089930</v>
      </c>
      <c r="R66" s="44"/>
      <c r="S66" s="44">
        <v>155049</v>
      </c>
      <c r="T66" s="44"/>
      <c r="U66" s="44">
        <v>231871</v>
      </c>
      <c r="V66" s="44"/>
      <c r="W66" s="44">
        <v>-6113</v>
      </c>
      <c r="X66" s="44"/>
      <c r="Y66" s="44">
        <v>0</v>
      </c>
      <c r="Z66" s="44"/>
      <c r="AA66" s="44">
        <f t="shared" si="1"/>
        <v>9887246</v>
      </c>
      <c r="AB66" s="44"/>
      <c r="AC66" s="44">
        <f t="shared" si="0"/>
        <v>13292573</v>
      </c>
    </row>
    <row r="67" spans="1:32" s="47" customFormat="1" ht="12.75" customHeight="1">
      <c r="A67" s="47" t="s">
        <v>86</v>
      </c>
      <c r="C67" s="47" t="s">
        <v>86</v>
      </c>
      <c r="E67" s="44">
        <v>5305855</v>
      </c>
      <c r="F67" s="44"/>
      <c r="G67" s="44">
        <v>1432856</v>
      </c>
      <c r="H67" s="44"/>
      <c r="I67" s="44">
        <v>5247839</v>
      </c>
      <c r="J67" s="44"/>
      <c r="K67" s="44">
        <f>1429584+419580</f>
        <v>1849164</v>
      </c>
      <c r="L67" s="44"/>
      <c r="M67" s="44">
        <f>10054784+4022297</f>
        <v>14077081</v>
      </c>
      <c r="N67" s="44"/>
      <c r="O67" s="44">
        <f>64531+1106965</f>
        <v>1171496</v>
      </c>
      <c r="P67" s="44"/>
      <c r="Q67" s="44">
        <v>2366228</v>
      </c>
      <c r="R67" s="44"/>
      <c r="S67" s="44">
        <v>585222</v>
      </c>
      <c r="T67" s="44"/>
      <c r="U67" s="44">
        <v>2100534</v>
      </c>
      <c r="V67" s="44"/>
      <c r="W67" s="44">
        <v>0</v>
      </c>
      <c r="X67" s="44"/>
      <c r="Y67" s="44">
        <v>0</v>
      </c>
      <c r="Z67" s="44"/>
      <c r="AA67" s="44">
        <f t="shared" si="1"/>
        <v>22149725</v>
      </c>
      <c r="AB67" s="44"/>
      <c r="AC67" s="44">
        <f t="shared" si="0"/>
        <v>34136275</v>
      </c>
    </row>
    <row r="68" spans="1:32" s="47" customFormat="1" ht="12.75" customHeight="1">
      <c r="A68" s="46" t="s">
        <v>87</v>
      </c>
      <c r="B68" s="46"/>
      <c r="C68" s="46" t="s">
        <v>88</v>
      </c>
      <c r="D68" s="46"/>
      <c r="E68" s="44">
        <v>563893</v>
      </c>
      <c r="F68" s="44"/>
      <c r="G68" s="44">
        <v>402036</v>
      </c>
      <c r="H68" s="44"/>
      <c r="I68" s="44">
        <v>820738</v>
      </c>
      <c r="J68" s="44"/>
      <c r="K68" s="44">
        <f>377370+60740</f>
        <v>438110</v>
      </c>
      <c r="L68" s="44"/>
      <c r="M68" s="44">
        <f>1639615+741786</f>
        <v>2381401</v>
      </c>
      <c r="N68" s="44"/>
      <c r="O68" s="44">
        <v>0</v>
      </c>
      <c r="P68" s="44"/>
      <c r="Q68" s="44">
        <v>518113</v>
      </c>
      <c r="R68" s="44"/>
      <c r="S68" s="44">
        <v>163030</v>
      </c>
      <c r="T68" s="44"/>
      <c r="U68" s="44">
        <v>24163</v>
      </c>
      <c r="V68" s="44"/>
      <c r="W68" s="44">
        <v>-564710</v>
      </c>
      <c r="X68" s="44"/>
      <c r="Y68" s="44">
        <v>0</v>
      </c>
      <c r="Z68" s="44"/>
      <c r="AA68" s="44">
        <f t="shared" si="1"/>
        <v>2960107</v>
      </c>
      <c r="AB68" s="44"/>
      <c r="AC68" s="44">
        <f t="shared" si="0"/>
        <v>4746774</v>
      </c>
    </row>
    <row r="69" spans="1:32" s="47" customFormat="1" ht="12.75" customHeight="1">
      <c r="A69" s="47" t="s">
        <v>471</v>
      </c>
      <c r="B69" s="46"/>
      <c r="C69" s="46"/>
      <c r="D69" s="46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8" t="s">
        <v>484</v>
      </c>
    </row>
    <row r="70" spans="1:32" s="47" customFormat="1" ht="12.75" customHeight="1">
      <c r="A70" s="47" t="s">
        <v>394</v>
      </c>
      <c r="C70" s="47" t="s">
        <v>89</v>
      </c>
      <c r="E70" s="46">
        <v>1077360</v>
      </c>
      <c r="F70" s="46"/>
      <c r="G70" s="46">
        <v>897280</v>
      </c>
      <c r="H70" s="46"/>
      <c r="I70" s="46">
        <v>236422</v>
      </c>
      <c r="J70" s="46"/>
      <c r="K70" s="46">
        <f>1053027+158448</f>
        <v>1211475</v>
      </c>
      <c r="L70" s="46"/>
      <c r="M70" s="46">
        <f>2908923+535272+331960+241842+2576903</f>
        <v>6594900</v>
      </c>
      <c r="N70" s="46"/>
      <c r="O70" s="46">
        <v>0</v>
      </c>
      <c r="P70" s="46"/>
      <c r="Q70" s="46">
        <v>1487366</v>
      </c>
      <c r="R70" s="46"/>
      <c r="S70" s="46">
        <v>228603</v>
      </c>
      <c r="T70" s="46"/>
      <c r="U70" s="46">
        <v>242048</v>
      </c>
      <c r="V70" s="46"/>
      <c r="W70" s="46">
        <v>0</v>
      </c>
      <c r="X70" s="46"/>
      <c r="Y70" s="46">
        <v>0</v>
      </c>
      <c r="Z70" s="46"/>
      <c r="AA70" s="46">
        <f t="shared" si="1"/>
        <v>9764392</v>
      </c>
      <c r="AB70" s="46"/>
      <c r="AC70" s="46">
        <f t="shared" si="0"/>
        <v>11975454</v>
      </c>
      <c r="AD70" s="46"/>
      <c r="AE70" s="46"/>
      <c r="AF70" s="46"/>
    </row>
    <row r="71" spans="1:32" s="47" customFormat="1" ht="12.75" customHeight="1">
      <c r="A71" s="47" t="s">
        <v>90</v>
      </c>
      <c r="C71" s="47" t="s">
        <v>43</v>
      </c>
      <c r="E71" s="44">
        <v>9209418</v>
      </c>
      <c r="F71" s="44"/>
      <c r="G71" s="44">
        <v>2452679</v>
      </c>
      <c r="H71" s="44"/>
      <c r="I71" s="44">
        <v>3476556</v>
      </c>
      <c r="J71" s="44"/>
      <c r="K71" s="44">
        <f>1799792+1381751+557876+955</f>
        <v>3740374</v>
      </c>
      <c r="L71" s="44"/>
      <c r="M71" s="44">
        <f>51469019+17924861</f>
        <v>69393880</v>
      </c>
      <c r="N71" s="44"/>
      <c r="O71" s="44">
        <f>5552323+1754848+935551</f>
        <v>8242722</v>
      </c>
      <c r="P71" s="44"/>
      <c r="Q71" s="44">
        <v>1312543</v>
      </c>
      <c r="R71" s="44"/>
      <c r="S71" s="44">
        <v>3327681</v>
      </c>
      <c r="T71" s="44"/>
      <c r="U71" s="44">
        <v>1322667</v>
      </c>
      <c r="V71" s="44"/>
      <c r="W71" s="44">
        <v>-480976</v>
      </c>
      <c r="X71" s="44"/>
      <c r="Y71" s="44">
        <v>0</v>
      </c>
      <c r="Z71" s="44"/>
      <c r="AA71" s="44">
        <f t="shared" si="1"/>
        <v>86858891</v>
      </c>
      <c r="AB71" s="44"/>
      <c r="AC71" s="44">
        <f t="shared" si="0"/>
        <v>101997544</v>
      </c>
    </row>
    <row r="72" spans="1:32" s="47" customFormat="1" ht="12.75" customHeight="1">
      <c r="A72" s="47" t="s">
        <v>93</v>
      </c>
      <c r="C72" s="47" t="s">
        <v>94</v>
      </c>
      <c r="E72" s="44">
        <v>905362</v>
      </c>
      <c r="F72" s="44"/>
      <c r="G72" s="44">
        <v>1331052</v>
      </c>
      <c r="H72" s="44"/>
      <c r="I72" s="44">
        <v>910415</v>
      </c>
      <c r="J72" s="44"/>
      <c r="K72" s="44">
        <f>220368+734192+78826+94636</f>
        <v>1128022</v>
      </c>
      <c r="L72" s="44"/>
      <c r="M72" s="44">
        <f>2807062+8639+225411</f>
        <v>3041112</v>
      </c>
      <c r="N72" s="44"/>
      <c r="O72" s="44">
        <v>0</v>
      </c>
      <c r="P72" s="44"/>
      <c r="Q72" s="44">
        <v>430318</v>
      </c>
      <c r="R72" s="44"/>
      <c r="S72" s="44">
        <v>39676</v>
      </c>
      <c r="T72" s="44"/>
      <c r="U72" s="44">
        <v>144941</v>
      </c>
      <c r="V72" s="44"/>
      <c r="W72" s="44">
        <v>0</v>
      </c>
      <c r="X72" s="44"/>
      <c r="Y72" s="44">
        <v>0</v>
      </c>
      <c r="Z72" s="44"/>
      <c r="AA72" s="44">
        <f t="shared" si="1"/>
        <v>4784069</v>
      </c>
      <c r="AB72" s="44"/>
      <c r="AC72" s="44">
        <f t="shared" si="0"/>
        <v>7930898</v>
      </c>
    </row>
    <row r="73" spans="1:32" s="47" customFormat="1" ht="12.75" customHeight="1">
      <c r="A73" s="47" t="s">
        <v>488</v>
      </c>
      <c r="C73" s="47" t="s">
        <v>27</v>
      </c>
      <c r="E73" s="44">
        <v>2966673</v>
      </c>
      <c r="F73" s="44"/>
      <c r="G73" s="44">
        <v>2020187</v>
      </c>
      <c r="H73" s="44"/>
      <c r="I73" s="44">
        <v>320464</v>
      </c>
      <c r="J73" s="44"/>
      <c r="K73" s="44">
        <f>2056242+365918+54887+54887</f>
        <v>2531934</v>
      </c>
      <c r="L73" s="44"/>
      <c r="M73" s="44">
        <v>6101853</v>
      </c>
      <c r="N73" s="44"/>
      <c r="O73" s="44">
        <v>1803</v>
      </c>
      <c r="P73" s="44"/>
      <c r="Q73" s="44">
        <v>6556202</v>
      </c>
      <c r="R73" s="44"/>
      <c r="S73" s="44">
        <v>74101</v>
      </c>
      <c r="T73" s="44"/>
      <c r="U73" s="44">
        <v>805135</v>
      </c>
      <c r="V73" s="44"/>
      <c r="W73" s="44">
        <v>-1100000</v>
      </c>
      <c r="X73" s="44"/>
      <c r="Y73" s="44">
        <v>0</v>
      </c>
      <c r="Z73" s="44"/>
      <c r="AA73" s="44">
        <f>SUM(K73:Y73)</f>
        <v>14971028</v>
      </c>
      <c r="AB73" s="44"/>
      <c r="AC73" s="44">
        <f>SUM(E73:Y73)</f>
        <v>20278352</v>
      </c>
    </row>
    <row r="74" spans="1:32" s="46" customFormat="1" ht="12.75" customHeight="1">
      <c r="A74" s="46" t="s">
        <v>95</v>
      </c>
      <c r="C74" s="46" t="s">
        <v>94</v>
      </c>
      <c r="E74" s="44">
        <v>423667</v>
      </c>
      <c r="F74" s="44"/>
      <c r="G74" s="44">
        <v>272752</v>
      </c>
      <c r="H74" s="44"/>
      <c r="I74" s="44">
        <v>1508000</v>
      </c>
      <c r="J74" s="44"/>
      <c r="K74" s="44">
        <f>124124+325730</f>
        <v>449854</v>
      </c>
      <c r="L74" s="44"/>
      <c r="M74" s="44">
        <v>858829</v>
      </c>
      <c r="N74" s="44"/>
      <c r="O74" s="44">
        <v>641</v>
      </c>
      <c r="P74" s="44"/>
      <c r="Q74" s="44">
        <v>220953</v>
      </c>
      <c r="R74" s="44"/>
      <c r="S74" s="44">
        <v>8632</v>
      </c>
      <c r="T74" s="44"/>
      <c r="U74" s="44">
        <v>132288</v>
      </c>
      <c r="V74" s="44"/>
      <c r="W74" s="44">
        <v>131500</v>
      </c>
      <c r="X74" s="44"/>
      <c r="Y74" s="44">
        <v>0</v>
      </c>
      <c r="Z74" s="44"/>
      <c r="AA74" s="44">
        <f t="shared" si="1"/>
        <v>1802697</v>
      </c>
      <c r="AB74" s="44"/>
      <c r="AC74" s="44">
        <f t="shared" si="0"/>
        <v>4007116</v>
      </c>
    </row>
    <row r="75" spans="1:32" s="47" customFormat="1" ht="12.75" customHeight="1">
      <c r="A75" s="47" t="s">
        <v>91</v>
      </c>
      <c r="C75" s="47" t="s">
        <v>92</v>
      </c>
      <c r="E75" s="44">
        <v>2831609</v>
      </c>
      <c r="F75" s="44"/>
      <c r="G75" s="44">
        <v>2299839</v>
      </c>
      <c r="H75" s="44"/>
      <c r="I75" s="44">
        <v>689601</v>
      </c>
      <c r="J75" s="44"/>
      <c r="K75" s="44">
        <f>1485332+216050+155808+167329+155814+895411</f>
        <v>3075744</v>
      </c>
      <c r="L75" s="44"/>
      <c r="M75" s="44">
        <v>6845864</v>
      </c>
      <c r="N75" s="44"/>
      <c r="O75" s="44">
        <f>51121+200103</f>
        <v>251224</v>
      </c>
      <c r="P75" s="44"/>
      <c r="Q75" s="44">
        <v>3616021</v>
      </c>
      <c r="R75" s="44"/>
      <c r="S75" s="44">
        <v>220123</v>
      </c>
      <c r="T75" s="44"/>
      <c r="U75" s="44">
        <v>35799</v>
      </c>
      <c r="V75" s="44"/>
      <c r="W75" s="44">
        <v>-101619</v>
      </c>
      <c r="X75" s="44"/>
      <c r="Y75" s="44">
        <v>0</v>
      </c>
      <c r="Z75" s="44"/>
      <c r="AA75" s="44">
        <f t="shared" si="1"/>
        <v>13943156</v>
      </c>
      <c r="AB75" s="44"/>
      <c r="AC75" s="44">
        <f t="shared" si="0"/>
        <v>19764205</v>
      </c>
    </row>
    <row r="76" spans="1:32" s="47" customFormat="1" ht="12.75" customHeight="1">
      <c r="A76" s="47" t="s">
        <v>96</v>
      </c>
      <c r="C76" s="47" t="s">
        <v>97</v>
      </c>
      <c r="E76" s="44">
        <v>1717706</v>
      </c>
      <c r="F76" s="44"/>
      <c r="G76" s="44">
        <v>53681</v>
      </c>
      <c r="H76" s="44"/>
      <c r="I76" s="44">
        <v>230000</v>
      </c>
      <c r="J76" s="44"/>
      <c r="K76" s="44">
        <f>555204+42871+210976</f>
        <v>809051</v>
      </c>
      <c r="L76" s="44"/>
      <c r="M76" s="44">
        <v>3556558</v>
      </c>
      <c r="N76" s="44"/>
      <c r="O76" s="44">
        <v>0</v>
      </c>
      <c r="P76" s="44"/>
      <c r="Q76" s="44">
        <v>1116326</v>
      </c>
      <c r="R76" s="44"/>
      <c r="S76" s="44">
        <v>204656</v>
      </c>
      <c r="T76" s="44"/>
      <c r="U76" s="44">
        <f>20540+162287</f>
        <v>182827</v>
      </c>
      <c r="V76" s="44"/>
      <c r="W76" s="44">
        <v>0</v>
      </c>
      <c r="X76" s="44"/>
      <c r="Y76" s="44">
        <v>0</v>
      </c>
      <c r="Z76" s="44"/>
      <c r="AA76" s="44">
        <f t="shared" si="1"/>
        <v>5869418</v>
      </c>
      <c r="AB76" s="44"/>
      <c r="AC76" s="44">
        <f t="shared" si="0"/>
        <v>7870805</v>
      </c>
    </row>
    <row r="77" spans="1:32" s="47" customFormat="1" ht="12.75" customHeight="1">
      <c r="A77" s="47" t="s">
        <v>98</v>
      </c>
      <c r="C77" s="47" t="s">
        <v>17</v>
      </c>
      <c r="E77" s="44">
        <v>4683014</v>
      </c>
      <c r="F77" s="44"/>
      <c r="G77" s="44">
        <v>1858407</v>
      </c>
      <c r="H77" s="44"/>
      <c r="I77" s="44">
        <v>13710298</v>
      </c>
      <c r="J77" s="44"/>
      <c r="K77" s="44">
        <v>3993165</v>
      </c>
      <c r="L77" s="44"/>
      <c r="M77" s="44">
        <v>22268109</v>
      </c>
      <c r="N77" s="44"/>
      <c r="O77" s="44">
        <f>2931491+475177</f>
        <v>3406668</v>
      </c>
      <c r="P77" s="44"/>
      <c r="Q77" s="44">
        <v>3891611</v>
      </c>
      <c r="R77" s="44"/>
      <c r="S77" s="44">
        <v>376408</v>
      </c>
      <c r="T77" s="44"/>
      <c r="U77" s="44">
        <v>487759</v>
      </c>
      <c r="V77" s="44"/>
      <c r="W77" s="44">
        <v>0</v>
      </c>
      <c r="X77" s="44"/>
      <c r="Y77" s="44">
        <v>0</v>
      </c>
      <c r="Z77" s="44"/>
      <c r="AA77" s="44">
        <f t="shared" si="1"/>
        <v>34423720</v>
      </c>
      <c r="AB77" s="44"/>
      <c r="AC77" s="44">
        <f t="shared" si="0"/>
        <v>54675439</v>
      </c>
    </row>
    <row r="78" spans="1:32" s="47" customFormat="1" ht="12.75" customHeight="1">
      <c r="A78" s="47" t="s">
        <v>99</v>
      </c>
      <c r="C78" s="47" t="s">
        <v>66</v>
      </c>
      <c r="E78" s="44">
        <v>1406114</v>
      </c>
      <c r="F78" s="44"/>
      <c r="G78" s="44">
        <v>834905</v>
      </c>
      <c r="H78" s="44"/>
      <c r="I78" s="44">
        <v>480891</v>
      </c>
      <c r="J78" s="44"/>
      <c r="K78" s="44">
        <f>863835+470312+217667+72860</f>
        <v>1624674</v>
      </c>
      <c r="L78" s="44"/>
      <c r="M78" s="44">
        <v>5484543</v>
      </c>
      <c r="N78" s="44"/>
      <c r="O78" s="44">
        <v>368541</v>
      </c>
      <c r="P78" s="44"/>
      <c r="Q78" s="44">
        <v>1101526</v>
      </c>
      <c r="R78" s="44"/>
      <c r="S78" s="44">
        <v>540851</v>
      </c>
      <c r="T78" s="44"/>
      <c r="U78" s="44">
        <v>107006</v>
      </c>
      <c r="V78" s="44"/>
      <c r="W78" s="44">
        <v>0</v>
      </c>
      <c r="X78" s="44"/>
      <c r="Y78" s="44">
        <v>0</v>
      </c>
      <c r="Z78" s="44"/>
      <c r="AA78" s="44">
        <f t="shared" si="1"/>
        <v>9227141</v>
      </c>
      <c r="AB78" s="44"/>
      <c r="AC78" s="44">
        <f t="shared" si="0"/>
        <v>11949051</v>
      </c>
    </row>
    <row r="79" spans="1:32" s="47" customFormat="1" ht="12.75" customHeight="1">
      <c r="A79" s="47" t="s">
        <v>100</v>
      </c>
      <c r="C79" s="47" t="s">
        <v>27</v>
      </c>
      <c r="E79" s="44">
        <v>7045979</v>
      </c>
      <c r="F79" s="44"/>
      <c r="G79" s="44">
        <v>3600250</v>
      </c>
      <c r="H79" s="44"/>
      <c r="I79" s="44">
        <v>279401</v>
      </c>
      <c r="J79" s="44"/>
      <c r="K79" s="44">
        <f>2149081+3034977+543666+415742</f>
        <v>6143466</v>
      </c>
      <c r="L79" s="44"/>
      <c r="M79" s="44">
        <v>24124792</v>
      </c>
      <c r="N79" s="44"/>
      <c r="O79" s="44">
        <v>123164</v>
      </c>
      <c r="P79" s="44"/>
      <c r="Q79" s="44">
        <v>5485713</v>
      </c>
      <c r="R79" s="44"/>
      <c r="S79" s="44">
        <v>903495</v>
      </c>
      <c r="T79" s="44"/>
      <c r="U79" s="44">
        <v>1752210</v>
      </c>
      <c r="V79" s="44"/>
      <c r="W79" s="44">
        <v>667820</v>
      </c>
      <c r="X79" s="44"/>
      <c r="Y79" s="44">
        <v>0</v>
      </c>
      <c r="Z79" s="44"/>
      <c r="AA79" s="44">
        <f>SUM(K79:Y79)</f>
        <v>39200660</v>
      </c>
      <c r="AB79" s="44"/>
      <c r="AC79" s="44">
        <f>SUM(E79:Y79)</f>
        <v>50126290</v>
      </c>
    </row>
    <row r="80" spans="1:32" s="47" customFormat="1" ht="12.75" customHeight="1">
      <c r="A80" s="47" t="s">
        <v>101</v>
      </c>
      <c r="C80" s="47" t="s">
        <v>30</v>
      </c>
      <c r="E80" s="44">
        <v>6154847</v>
      </c>
      <c r="F80" s="44"/>
      <c r="G80" s="44">
        <v>2852492</v>
      </c>
      <c r="H80" s="44"/>
      <c r="I80" s="44">
        <v>1867845</v>
      </c>
      <c r="J80" s="44"/>
      <c r="K80" s="44">
        <f>1751432+373158+142205+133767</f>
        <v>2400562</v>
      </c>
      <c r="L80" s="44"/>
      <c r="M80" s="44">
        <f>8488898+1039131+1021817+2030024</f>
        <v>12579870</v>
      </c>
      <c r="N80" s="44"/>
      <c r="O80" s="44">
        <v>840651</v>
      </c>
      <c r="P80" s="44"/>
      <c r="Q80" s="44">
        <v>2072364</v>
      </c>
      <c r="R80" s="44"/>
      <c r="S80" s="44">
        <v>958903</v>
      </c>
      <c r="T80" s="44"/>
      <c r="U80" s="44">
        <v>410769</v>
      </c>
      <c r="V80" s="44"/>
      <c r="W80" s="44">
        <v>0</v>
      </c>
      <c r="X80" s="44"/>
      <c r="Y80" s="44">
        <v>0</v>
      </c>
      <c r="Z80" s="44"/>
      <c r="AA80" s="44">
        <f>SUM(K80:Y80)</f>
        <v>19263119</v>
      </c>
      <c r="AB80" s="44"/>
      <c r="AC80" s="44">
        <f>SUM(E80:Y80)</f>
        <v>30138303</v>
      </c>
    </row>
    <row r="81" spans="1:29" s="47" customFormat="1" ht="12.75" customHeight="1">
      <c r="A81" s="47" t="s">
        <v>102</v>
      </c>
      <c r="C81" s="47" t="s">
        <v>103</v>
      </c>
      <c r="E81" s="44">
        <v>4437908</v>
      </c>
      <c r="F81" s="44"/>
      <c r="G81" s="44">
        <v>3193430</v>
      </c>
      <c r="H81" s="44"/>
      <c r="I81" s="44">
        <v>647472</v>
      </c>
      <c r="J81" s="44"/>
      <c r="K81" s="44">
        <f>1106422+3306657</f>
        <v>4413079</v>
      </c>
      <c r="L81" s="44"/>
      <c r="M81" s="44">
        <v>23770850</v>
      </c>
      <c r="N81" s="44"/>
      <c r="O81" s="44">
        <v>0</v>
      </c>
      <c r="P81" s="44"/>
      <c r="Q81" s="44">
        <v>3008438</v>
      </c>
      <c r="R81" s="44"/>
      <c r="S81" s="44">
        <v>1416837</v>
      </c>
      <c r="T81" s="44"/>
      <c r="U81" s="44">
        <f>179369+172337</f>
        <v>351706</v>
      </c>
      <c r="V81" s="44"/>
      <c r="W81" s="44">
        <v>-1280000</v>
      </c>
      <c r="X81" s="44"/>
      <c r="Y81" s="44">
        <v>0</v>
      </c>
      <c r="Z81" s="44"/>
      <c r="AA81" s="44">
        <f t="shared" ref="AA81:AA145" si="2">SUM(K81:Y81)</f>
        <v>31680910</v>
      </c>
      <c r="AB81" s="44"/>
      <c r="AC81" s="44">
        <f t="shared" ref="AC81:AC146" si="3">SUM(E81:Y81)</f>
        <v>39959720</v>
      </c>
    </row>
    <row r="82" spans="1:29" s="47" customFormat="1" ht="12.75" customHeight="1">
      <c r="A82" s="47" t="s">
        <v>104</v>
      </c>
      <c r="C82" s="47" t="s">
        <v>13</v>
      </c>
      <c r="E82" s="44">
        <v>849479</v>
      </c>
      <c r="F82" s="44"/>
      <c r="G82" s="44">
        <v>378982</v>
      </c>
      <c r="H82" s="44"/>
      <c r="I82" s="44">
        <v>0</v>
      </c>
      <c r="J82" s="44"/>
      <c r="K82" s="44">
        <f>620288+178301+206780</f>
        <v>1005369</v>
      </c>
      <c r="L82" s="44"/>
      <c r="M82" s="44">
        <f>5949291+2654628</f>
        <v>8603919</v>
      </c>
      <c r="N82" s="44"/>
      <c r="O82" s="44">
        <v>2538263</v>
      </c>
      <c r="P82" s="44"/>
      <c r="Q82" s="44">
        <v>1194046</v>
      </c>
      <c r="R82" s="44"/>
      <c r="S82" s="44">
        <v>430426</v>
      </c>
      <c r="T82" s="44"/>
      <c r="U82" s="44">
        <v>164533</v>
      </c>
      <c r="V82" s="44"/>
      <c r="W82" s="44">
        <v>0</v>
      </c>
      <c r="X82" s="44"/>
      <c r="Y82" s="44">
        <v>0</v>
      </c>
      <c r="Z82" s="44"/>
      <c r="AA82" s="44">
        <f t="shared" si="2"/>
        <v>13936556</v>
      </c>
      <c r="AB82" s="44"/>
      <c r="AC82" s="44">
        <f t="shared" si="3"/>
        <v>15165017</v>
      </c>
    </row>
    <row r="83" spans="1:29" s="47" customFormat="1" ht="12.75" customHeight="1">
      <c r="A83" s="47" t="s">
        <v>105</v>
      </c>
      <c r="C83" s="47" t="s">
        <v>27</v>
      </c>
      <c r="E83" s="44">
        <v>1871033</v>
      </c>
      <c r="F83" s="44"/>
      <c r="G83" s="44">
        <v>1218238</v>
      </c>
      <c r="H83" s="44"/>
      <c r="I83" s="44">
        <v>0</v>
      </c>
      <c r="J83" s="44"/>
      <c r="K83" s="44">
        <f>2651543+277652+684138</f>
        <v>3613333</v>
      </c>
      <c r="L83" s="44"/>
      <c r="M83" s="44">
        <f>4454650+1304098+1708786</f>
        <v>7467534</v>
      </c>
      <c r="N83" s="44"/>
      <c r="O83" s="44">
        <v>0</v>
      </c>
      <c r="P83" s="44"/>
      <c r="Q83" s="44">
        <v>2115947</v>
      </c>
      <c r="R83" s="44"/>
      <c r="S83" s="44">
        <v>242022</v>
      </c>
      <c r="T83" s="44"/>
      <c r="U83" s="44">
        <v>174219</v>
      </c>
      <c r="V83" s="44"/>
      <c r="W83" s="44">
        <v>75735</v>
      </c>
      <c r="X83" s="44"/>
      <c r="Y83" s="44">
        <v>0</v>
      </c>
      <c r="Z83" s="44"/>
      <c r="AA83" s="44">
        <f t="shared" si="2"/>
        <v>13688790</v>
      </c>
      <c r="AB83" s="44"/>
      <c r="AC83" s="44">
        <f t="shared" si="3"/>
        <v>16778061</v>
      </c>
    </row>
    <row r="84" spans="1:29" s="47" customFormat="1" ht="12.75" customHeight="1">
      <c r="A84" s="47" t="s">
        <v>106</v>
      </c>
      <c r="C84" s="47" t="s">
        <v>107</v>
      </c>
      <c r="E84" s="44">
        <v>3796374</v>
      </c>
      <c r="F84" s="44"/>
      <c r="G84" s="44">
        <v>2607745</v>
      </c>
      <c r="H84" s="44"/>
      <c r="I84" s="44">
        <v>583891</v>
      </c>
      <c r="J84" s="44"/>
      <c r="K84" s="44">
        <f>2666772+526916</f>
        <v>3193688</v>
      </c>
      <c r="L84" s="44"/>
      <c r="M84" s="44">
        <v>15550207</v>
      </c>
      <c r="N84" s="44"/>
      <c r="O84" s="44">
        <v>0</v>
      </c>
      <c r="P84" s="44"/>
      <c r="Q84" s="44">
        <v>4327630</v>
      </c>
      <c r="R84" s="44"/>
      <c r="S84" s="44">
        <v>660515</v>
      </c>
      <c r="T84" s="44"/>
      <c r="U84" s="44">
        <v>1180285</v>
      </c>
      <c r="V84" s="44"/>
      <c r="W84" s="44">
        <v>-836484</v>
      </c>
      <c r="X84" s="44"/>
      <c r="Y84" s="44">
        <v>0</v>
      </c>
      <c r="Z84" s="44"/>
      <c r="AA84" s="44">
        <f t="shared" si="2"/>
        <v>24075841</v>
      </c>
      <c r="AB84" s="44"/>
      <c r="AC84" s="44">
        <f t="shared" si="3"/>
        <v>31063851</v>
      </c>
    </row>
    <row r="85" spans="1:29" s="47" customFormat="1" ht="12.75" customHeight="1">
      <c r="A85" s="47" t="s">
        <v>108</v>
      </c>
      <c r="C85" s="47" t="s">
        <v>45</v>
      </c>
      <c r="E85" s="44">
        <v>3137965</v>
      </c>
      <c r="F85" s="44"/>
      <c r="G85" s="44">
        <v>866168</v>
      </c>
      <c r="H85" s="44"/>
      <c r="I85" s="44">
        <v>4837</v>
      </c>
      <c r="J85" s="44"/>
      <c r="K85" s="44">
        <f>1192128+3194508</f>
        <v>4386636</v>
      </c>
      <c r="L85" s="44"/>
      <c r="M85" s="44">
        <v>8687911</v>
      </c>
      <c r="N85" s="44"/>
      <c r="O85" s="44">
        <v>0</v>
      </c>
      <c r="P85" s="44"/>
      <c r="Q85" s="44">
        <v>1070491</v>
      </c>
      <c r="R85" s="44"/>
      <c r="S85" s="44">
        <v>397606</v>
      </c>
      <c r="T85" s="44"/>
      <c r="U85" s="44">
        <f>49026+100689+5640</f>
        <v>155355</v>
      </c>
      <c r="V85" s="44"/>
      <c r="W85" s="44">
        <v>0</v>
      </c>
      <c r="X85" s="44"/>
      <c r="Y85" s="44">
        <v>0</v>
      </c>
      <c r="Z85" s="44"/>
      <c r="AA85" s="44">
        <f t="shared" si="2"/>
        <v>14697999</v>
      </c>
      <c r="AB85" s="44"/>
      <c r="AC85" s="44">
        <f t="shared" si="3"/>
        <v>18706969</v>
      </c>
    </row>
    <row r="86" spans="1:29" s="44" customFormat="1" ht="12.75" customHeight="1">
      <c r="A86" s="44" t="s">
        <v>109</v>
      </c>
      <c r="C86" s="44" t="s">
        <v>110</v>
      </c>
      <c r="E86" s="44">
        <v>769685</v>
      </c>
      <c r="G86" s="44">
        <v>1627135</v>
      </c>
      <c r="I86" s="44">
        <v>0</v>
      </c>
      <c r="K86" s="44">
        <f>843672+126587</f>
        <v>970259</v>
      </c>
      <c r="M86" s="44">
        <v>6040250</v>
      </c>
      <c r="O86" s="44">
        <v>0</v>
      </c>
      <c r="Q86" s="44">
        <v>576439</v>
      </c>
      <c r="S86" s="44">
        <v>138740</v>
      </c>
      <c r="U86" s="44">
        <f>295057+211869</f>
        <v>506926</v>
      </c>
      <c r="W86" s="44">
        <v>0</v>
      </c>
      <c r="Y86" s="44">
        <v>0</v>
      </c>
      <c r="AA86" s="44">
        <f t="shared" si="2"/>
        <v>8232614</v>
      </c>
      <c r="AC86" s="44">
        <f t="shared" si="3"/>
        <v>10629434</v>
      </c>
    </row>
    <row r="87" spans="1:29" s="47" customFormat="1" ht="12.75" customHeight="1">
      <c r="A87" s="47" t="s">
        <v>43</v>
      </c>
      <c r="C87" s="47" t="s">
        <v>111</v>
      </c>
      <c r="E87" s="44">
        <v>963887</v>
      </c>
      <c r="F87" s="44"/>
      <c r="G87" s="44">
        <v>1414446</v>
      </c>
      <c r="H87" s="44"/>
      <c r="I87" s="44">
        <v>2871175</v>
      </c>
      <c r="J87" s="44"/>
      <c r="K87" s="44">
        <f>472445+534375+134236</f>
        <v>1141056</v>
      </c>
      <c r="L87" s="44"/>
      <c r="M87" s="44">
        <v>5322030</v>
      </c>
      <c r="N87" s="44"/>
      <c r="O87" s="44">
        <v>124412</v>
      </c>
      <c r="P87" s="44"/>
      <c r="Q87" s="44">
        <v>502780</v>
      </c>
      <c r="R87" s="44"/>
      <c r="S87" s="44">
        <v>213422</v>
      </c>
      <c r="T87" s="44"/>
      <c r="U87" s="44">
        <v>310224</v>
      </c>
      <c r="V87" s="44"/>
      <c r="W87" s="44">
        <v>-420598</v>
      </c>
      <c r="X87" s="44"/>
      <c r="Y87" s="44">
        <v>0</v>
      </c>
      <c r="Z87" s="44"/>
      <c r="AA87" s="44">
        <f t="shared" si="2"/>
        <v>7193326</v>
      </c>
      <c r="AB87" s="44"/>
      <c r="AC87" s="44">
        <f t="shared" si="3"/>
        <v>12442834</v>
      </c>
    </row>
    <row r="88" spans="1:29" s="47" customFormat="1" ht="12.75" customHeight="1">
      <c r="A88" s="47" t="s">
        <v>112</v>
      </c>
      <c r="C88" s="47" t="s">
        <v>76</v>
      </c>
      <c r="E88" s="44">
        <v>1058203</v>
      </c>
      <c r="F88" s="44"/>
      <c r="G88" s="44">
        <v>1084873</v>
      </c>
      <c r="H88" s="44"/>
      <c r="I88" s="44">
        <v>375205</v>
      </c>
      <c r="J88" s="44"/>
      <c r="K88" s="44">
        <f>970768+90992+90993</f>
        <v>1152753</v>
      </c>
      <c r="L88" s="44"/>
      <c r="M88" s="44">
        <v>8311486</v>
      </c>
      <c r="N88" s="44"/>
      <c r="O88" s="44">
        <v>0</v>
      </c>
      <c r="P88" s="44"/>
      <c r="Q88" s="44">
        <v>1168915</v>
      </c>
      <c r="R88" s="44"/>
      <c r="S88" s="44">
        <v>436156</v>
      </c>
      <c r="T88" s="44"/>
      <c r="U88" s="44">
        <v>365330</v>
      </c>
      <c r="V88" s="44"/>
      <c r="W88" s="44">
        <v>-664670</v>
      </c>
      <c r="X88" s="44"/>
      <c r="Y88" s="44">
        <v>0</v>
      </c>
      <c r="Z88" s="44"/>
      <c r="AA88" s="44">
        <f t="shared" si="2"/>
        <v>10769970</v>
      </c>
      <c r="AB88" s="44"/>
      <c r="AC88" s="44">
        <f t="shared" si="3"/>
        <v>13288251</v>
      </c>
    </row>
    <row r="89" spans="1:29" s="47" customFormat="1" ht="12.75" customHeight="1">
      <c r="A89" s="47" t="s">
        <v>113</v>
      </c>
      <c r="C89" s="47" t="s">
        <v>43</v>
      </c>
      <c r="E89" s="44">
        <v>4236557</v>
      </c>
      <c r="F89" s="44"/>
      <c r="G89" s="44">
        <v>1830914</v>
      </c>
      <c r="H89" s="44"/>
      <c r="I89" s="44">
        <v>1145349</v>
      </c>
      <c r="J89" s="44"/>
      <c r="K89" s="44">
        <f>1602232+251353+259980</f>
        <v>2113565</v>
      </c>
      <c r="L89" s="44"/>
      <c r="M89" s="44">
        <v>13434476</v>
      </c>
      <c r="N89" s="44"/>
      <c r="O89" s="44">
        <f>1420967+902649</f>
        <v>2323616</v>
      </c>
      <c r="P89" s="44"/>
      <c r="Q89" s="44">
        <v>2287655</v>
      </c>
      <c r="R89" s="44"/>
      <c r="S89" s="44">
        <v>2308530</v>
      </c>
      <c r="T89" s="44"/>
      <c r="U89" s="44">
        <f>-492910+11055+300967</f>
        <v>-180888</v>
      </c>
      <c r="V89" s="44"/>
      <c r="W89" s="44">
        <v>-47000</v>
      </c>
      <c r="X89" s="44"/>
      <c r="Y89" s="44">
        <v>0</v>
      </c>
      <c r="Z89" s="44"/>
      <c r="AA89" s="44">
        <f t="shared" si="2"/>
        <v>22239954</v>
      </c>
      <c r="AB89" s="44"/>
      <c r="AC89" s="44">
        <f t="shared" si="3"/>
        <v>29452774</v>
      </c>
    </row>
    <row r="90" spans="1:29" s="47" customFormat="1" ht="12.75" customHeight="1">
      <c r="A90" s="47" t="s">
        <v>489</v>
      </c>
      <c r="C90" s="47" t="s">
        <v>57</v>
      </c>
      <c r="E90" s="44">
        <v>1434041</v>
      </c>
      <c r="F90" s="44"/>
      <c r="G90" s="44">
        <v>1087869</v>
      </c>
      <c r="H90" s="44"/>
      <c r="I90" s="44">
        <v>715240</v>
      </c>
      <c r="J90" s="44"/>
      <c r="K90" s="44">
        <f>395565+72392</f>
        <v>467957</v>
      </c>
      <c r="L90" s="44"/>
      <c r="M90" s="44">
        <f>2199139+1957563+241356</f>
        <v>4398058</v>
      </c>
      <c r="N90" s="44"/>
      <c r="O90" s="44">
        <v>443157</v>
      </c>
      <c r="P90" s="44"/>
      <c r="Q90" s="44">
        <v>617052</v>
      </c>
      <c r="R90" s="44"/>
      <c r="S90" s="44">
        <v>167584</v>
      </c>
      <c r="T90" s="44"/>
      <c r="U90" s="44">
        <f>118199+462664</f>
        <v>580863</v>
      </c>
      <c r="V90" s="44"/>
      <c r="W90" s="44">
        <v>-43790</v>
      </c>
      <c r="X90" s="44"/>
      <c r="Y90" s="44">
        <v>0</v>
      </c>
      <c r="Z90" s="44"/>
      <c r="AA90" s="44">
        <f>SUM(K90:Y90)</f>
        <v>6630881</v>
      </c>
      <c r="AB90" s="44"/>
      <c r="AC90" s="44">
        <f>SUM(E90:Y90)</f>
        <v>9868031</v>
      </c>
    </row>
    <row r="91" spans="1:29" s="47" customFormat="1" ht="12.75" customHeight="1">
      <c r="A91" s="47" t="s">
        <v>114</v>
      </c>
      <c r="C91" s="47" t="s">
        <v>27</v>
      </c>
      <c r="E91" s="44">
        <v>4330232</v>
      </c>
      <c r="F91" s="44"/>
      <c r="G91" s="44">
        <v>1501782</v>
      </c>
      <c r="H91" s="44"/>
      <c r="I91" s="44">
        <v>106087</v>
      </c>
      <c r="J91" s="44"/>
      <c r="K91" s="44">
        <f>6996780+513499+133956+133956+66979+1587100+446522</f>
        <v>9878792</v>
      </c>
      <c r="L91" s="44"/>
      <c r="M91" s="44">
        <f>8575384+686030+686030+800369+686031</f>
        <v>11433844</v>
      </c>
      <c r="N91" s="44"/>
      <c r="O91" s="44">
        <v>0</v>
      </c>
      <c r="P91" s="44"/>
      <c r="Q91" s="44">
        <v>4457669</v>
      </c>
      <c r="R91" s="44"/>
      <c r="S91" s="44">
        <v>25680</v>
      </c>
      <c r="T91" s="44"/>
      <c r="U91" s="44">
        <f>248830+40290+538490</f>
        <v>827610</v>
      </c>
      <c r="V91" s="44"/>
      <c r="W91" s="44">
        <v>0</v>
      </c>
      <c r="X91" s="44"/>
      <c r="Y91" s="44">
        <v>0</v>
      </c>
      <c r="Z91" s="44"/>
      <c r="AA91" s="44">
        <f>SUM(K91:Y91)</f>
        <v>26623595</v>
      </c>
      <c r="AB91" s="44"/>
      <c r="AC91" s="44">
        <f>SUM(E91:Y91)</f>
        <v>32561696</v>
      </c>
    </row>
    <row r="92" spans="1:29" s="47" customFormat="1" ht="12.75" customHeight="1">
      <c r="A92" s="47" t="s">
        <v>115</v>
      </c>
      <c r="C92" s="47" t="s">
        <v>19</v>
      </c>
      <c r="E92" s="44">
        <v>537916</v>
      </c>
      <c r="F92" s="44"/>
      <c r="G92" s="44">
        <v>186386</v>
      </c>
      <c r="H92" s="44"/>
      <c r="I92" s="44">
        <v>744531</v>
      </c>
      <c r="J92" s="44"/>
      <c r="K92" s="44">
        <f>505464+29967</f>
        <v>535431</v>
      </c>
      <c r="L92" s="44"/>
      <c r="M92" s="44">
        <v>2612827</v>
      </c>
      <c r="N92" s="44"/>
      <c r="O92" s="44">
        <v>0</v>
      </c>
      <c r="P92" s="44"/>
      <c r="Q92" s="44">
        <v>440263</v>
      </c>
      <c r="R92" s="44"/>
      <c r="S92" s="44">
        <v>48567</v>
      </c>
      <c r="T92" s="44"/>
      <c r="U92" s="44">
        <v>28855</v>
      </c>
      <c r="V92" s="44"/>
      <c r="W92" s="44">
        <v>-174029</v>
      </c>
      <c r="X92" s="44"/>
      <c r="Y92" s="44">
        <v>8336</v>
      </c>
      <c r="Z92" s="44"/>
      <c r="AA92" s="44">
        <f t="shared" si="2"/>
        <v>3500250</v>
      </c>
      <c r="AB92" s="44"/>
      <c r="AC92" s="44">
        <f t="shared" si="3"/>
        <v>4969083</v>
      </c>
    </row>
    <row r="93" spans="1:29" s="47" customFormat="1" ht="12.75" customHeight="1">
      <c r="A93" s="47" t="s">
        <v>116</v>
      </c>
      <c r="C93" s="47" t="s">
        <v>80</v>
      </c>
      <c r="E93" s="44">
        <v>1469948</v>
      </c>
      <c r="F93" s="44"/>
      <c r="G93" s="44">
        <v>2413094</v>
      </c>
      <c r="H93" s="44"/>
      <c r="I93" s="44">
        <v>205891</v>
      </c>
      <c r="J93" s="44"/>
      <c r="K93" s="44">
        <f>286532+299082+616576+37601+25068</f>
        <v>1264859</v>
      </c>
      <c r="L93" s="44"/>
      <c r="M93" s="44">
        <f>2896655+441711+50074+7400</f>
        <v>3395840</v>
      </c>
      <c r="N93" s="44"/>
      <c r="O93" s="44">
        <v>0</v>
      </c>
      <c r="P93" s="44"/>
      <c r="Q93" s="44">
        <v>392680</v>
      </c>
      <c r="R93" s="44"/>
      <c r="S93" s="44">
        <v>84497</v>
      </c>
      <c r="T93" s="44"/>
      <c r="U93" s="44">
        <v>205951</v>
      </c>
      <c r="V93" s="44"/>
      <c r="W93" s="44">
        <v>-94484</v>
      </c>
      <c r="X93" s="44"/>
      <c r="Y93" s="44">
        <v>0</v>
      </c>
      <c r="Z93" s="44"/>
      <c r="AA93" s="44">
        <f t="shared" si="2"/>
        <v>5249343</v>
      </c>
      <c r="AB93" s="44"/>
      <c r="AC93" s="44">
        <f t="shared" si="3"/>
        <v>9338276</v>
      </c>
    </row>
    <row r="94" spans="1:29" s="47" customFormat="1" ht="12.75" customHeight="1">
      <c r="A94" s="47" t="s">
        <v>117</v>
      </c>
      <c r="C94" s="47" t="s">
        <v>43</v>
      </c>
      <c r="E94" s="44">
        <v>1403322</v>
      </c>
      <c r="F94" s="44"/>
      <c r="G94" s="44">
        <v>542629</v>
      </c>
      <c r="H94" s="44"/>
      <c r="I94" s="44">
        <v>8541</v>
      </c>
      <c r="J94" s="44"/>
      <c r="K94" s="44">
        <f>1500106+123818</f>
        <v>1623924</v>
      </c>
      <c r="L94" s="44"/>
      <c r="M94" s="44">
        <v>6102124</v>
      </c>
      <c r="N94" s="44"/>
      <c r="O94" s="44">
        <v>0</v>
      </c>
      <c r="P94" s="44"/>
      <c r="Q94" s="44">
        <v>1003195</v>
      </c>
      <c r="R94" s="44"/>
      <c r="S94" s="44">
        <v>167510</v>
      </c>
      <c r="T94" s="44"/>
      <c r="U94" s="44">
        <v>148515</v>
      </c>
      <c r="V94" s="44"/>
      <c r="W94" s="44">
        <v>0</v>
      </c>
      <c r="X94" s="44"/>
      <c r="Y94" s="44">
        <v>0</v>
      </c>
      <c r="Z94" s="44"/>
      <c r="AA94" s="44">
        <f t="shared" si="2"/>
        <v>9045268</v>
      </c>
      <c r="AB94" s="44"/>
      <c r="AC94" s="44">
        <f t="shared" si="3"/>
        <v>10999760</v>
      </c>
    </row>
    <row r="95" spans="1:29" s="47" customFormat="1" ht="12.75" customHeight="1">
      <c r="A95" s="47" t="s">
        <v>118</v>
      </c>
      <c r="C95" s="47" t="s">
        <v>13</v>
      </c>
      <c r="E95" s="44">
        <v>1374302</v>
      </c>
      <c r="F95" s="44"/>
      <c r="G95" s="44">
        <v>1720075</v>
      </c>
      <c r="H95" s="44"/>
      <c r="I95" s="44">
        <v>11864755</v>
      </c>
      <c r="J95" s="44"/>
      <c r="K95" s="44">
        <f>1782146+128125</f>
        <v>1910271</v>
      </c>
      <c r="L95" s="44"/>
      <c r="M95" s="44">
        <f>16744534+1040398</f>
        <v>17784932</v>
      </c>
      <c r="N95" s="44"/>
      <c r="O95" s="44">
        <v>14596</v>
      </c>
      <c r="P95" s="44"/>
      <c r="Q95" s="44">
        <v>1719820</v>
      </c>
      <c r="R95" s="44"/>
      <c r="S95" s="44">
        <v>1217903</v>
      </c>
      <c r="T95" s="44"/>
      <c r="U95" s="44">
        <v>105203</v>
      </c>
      <c r="V95" s="44"/>
      <c r="W95" s="44">
        <v>0</v>
      </c>
      <c r="X95" s="44"/>
      <c r="Y95" s="44">
        <v>0</v>
      </c>
      <c r="Z95" s="44"/>
      <c r="AA95" s="44">
        <f t="shared" si="2"/>
        <v>22752725</v>
      </c>
      <c r="AB95" s="44"/>
      <c r="AC95" s="44">
        <f t="shared" si="3"/>
        <v>37711857</v>
      </c>
    </row>
    <row r="96" spans="1:29" s="47" customFormat="1" ht="12.75" customHeight="1">
      <c r="A96" s="47" t="s">
        <v>120</v>
      </c>
      <c r="C96" s="47" t="s">
        <v>121</v>
      </c>
      <c r="E96" s="44">
        <v>528104</v>
      </c>
      <c r="F96" s="44"/>
      <c r="G96" s="44">
        <v>1485134</v>
      </c>
      <c r="H96" s="44"/>
      <c r="I96" s="44">
        <v>0</v>
      </c>
      <c r="J96" s="44"/>
      <c r="K96" s="44">
        <f>1207425+132955</f>
        <v>1340380</v>
      </c>
      <c r="L96" s="44"/>
      <c r="M96" s="44">
        <v>6177228</v>
      </c>
      <c r="N96" s="44"/>
      <c r="O96" s="44">
        <v>12942</v>
      </c>
      <c r="P96" s="44"/>
      <c r="Q96" s="44">
        <v>1155172</v>
      </c>
      <c r="R96" s="44"/>
      <c r="S96" s="44">
        <v>115810</v>
      </c>
      <c r="T96" s="44"/>
      <c r="U96" s="44">
        <v>74563</v>
      </c>
      <c r="V96" s="44"/>
      <c r="W96" s="44">
        <v>-526304</v>
      </c>
      <c r="X96" s="44"/>
      <c r="Y96" s="44">
        <v>0</v>
      </c>
      <c r="Z96" s="44"/>
      <c r="AA96" s="44">
        <f t="shared" si="2"/>
        <v>8349791</v>
      </c>
      <c r="AB96" s="44"/>
      <c r="AC96" s="44">
        <f t="shared" si="3"/>
        <v>10363029</v>
      </c>
    </row>
    <row r="97" spans="1:29" s="47" customFormat="1" ht="12.75" customHeight="1">
      <c r="A97" s="47" t="s">
        <v>122</v>
      </c>
      <c r="C97" s="47" t="s">
        <v>43</v>
      </c>
      <c r="E97" s="44">
        <v>2988758</v>
      </c>
      <c r="F97" s="44"/>
      <c r="G97" s="44">
        <v>4001556</v>
      </c>
      <c r="H97" s="44"/>
      <c r="I97" s="44">
        <v>2615098</v>
      </c>
      <c r="J97" s="44"/>
      <c r="K97" s="44">
        <f>841433+788411+1004047</f>
        <v>2633891</v>
      </c>
      <c r="L97" s="44"/>
      <c r="M97" s="44">
        <v>17308542</v>
      </c>
      <c r="N97" s="44"/>
      <c r="O97" s="44">
        <f>710029+5222522</f>
        <v>5932551</v>
      </c>
      <c r="P97" s="44"/>
      <c r="Q97" s="44">
        <v>2094050</v>
      </c>
      <c r="R97" s="44"/>
      <c r="S97" s="44">
        <v>5036358</v>
      </c>
      <c r="T97" s="44"/>
      <c r="U97" s="44">
        <v>194255</v>
      </c>
      <c r="V97" s="44"/>
      <c r="W97" s="44">
        <v>-1206983</v>
      </c>
      <c r="X97" s="44"/>
      <c r="Y97" s="44">
        <v>0</v>
      </c>
      <c r="Z97" s="44"/>
      <c r="AA97" s="44">
        <f>SUM(K97:Y97)</f>
        <v>31992664</v>
      </c>
      <c r="AB97" s="44"/>
      <c r="AC97" s="44">
        <f t="shared" si="3"/>
        <v>41598076</v>
      </c>
    </row>
    <row r="98" spans="1:29" s="47" customFormat="1" ht="12.75" customHeight="1">
      <c r="A98" s="47" t="s">
        <v>45</v>
      </c>
      <c r="C98" s="47" t="s">
        <v>103</v>
      </c>
      <c r="E98" s="44">
        <v>14789621</v>
      </c>
      <c r="F98" s="44"/>
      <c r="G98" s="44">
        <v>7182857</v>
      </c>
      <c r="H98" s="44"/>
      <c r="I98" s="44">
        <v>2769036</v>
      </c>
      <c r="J98" s="44"/>
      <c r="K98" s="44">
        <f>2720345+3070455+485961</f>
        <v>6276761</v>
      </c>
      <c r="L98" s="44"/>
      <c r="M98" s="44">
        <v>24521745</v>
      </c>
      <c r="N98" s="44"/>
      <c r="O98" s="44">
        <v>3324267</v>
      </c>
      <c r="P98" s="44"/>
      <c r="Q98" s="44">
        <v>4764901</v>
      </c>
      <c r="R98" s="44"/>
      <c r="S98" s="44">
        <v>678248</v>
      </c>
      <c r="T98" s="44"/>
      <c r="U98" s="44">
        <v>1382720</v>
      </c>
      <c r="V98" s="44"/>
      <c r="W98" s="44">
        <v>170000</v>
      </c>
      <c r="X98" s="44"/>
      <c r="Y98" s="44">
        <v>0</v>
      </c>
      <c r="Z98" s="44"/>
      <c r="AA98" s="44">
        <f t="shared" si="2"/>
        <v>41118642</v>
      </c>
      <c r="AB98" s="44"/>
      <c r="AC98" s="44">
        <f t="shared" si="3"/>
        <v>65860156</v>
      </c>
    </row>
    <row r="99" spans="1:29" s="47" customFormat="1" ht="12.75" customHeight="1">
      <c r="A99" s="47" t="s">
        <v>123</v>
      </c>
      <c r="C99" s="47" t="s">
        <v>45</v>
      </c>
      <c r="E99" s="44">
        <v>999823</v>
      </c>
      <c r="F99" s="44"/>
      <c r="G99" s="44">
        <v>756604</v>
      </c>
      <c r="H99" s="44"/>
      <c r="I99" s="44">
        <v>528547</v>
      </c>
      <c r="J99" s="44"/>
      <c r="K99" s="44">
        <f>1175925+857520+60085+8500+244635</f>
        <v>2346665</v>
      </c>
      <c r="L99" s="44"/>
      <c r="M99" s="44">
        <v>3034376</v>
      </c>
      <c r="N99" s="44"/>
      <c r="O99" s="44">
        <v>0</v>
      </c>
      <c r="P99" s="44"/>
      <c r="Q99" s="44">
        <v>575158</v>
      </c>
      <c r="R99" s="44"/>
      <c r="S99" s="44">
        <v>201017</v>
      </c>
      <c r="T99" s="44"/>
      <c r="U99" s="44">
        <v>60817</v>
      </c>
      <c r="V99" s="44"/>
      <c r="W99" s="44">
        <v>80154</v>
      </c>
      <c r="X99" s="44"/>
      <c r="Y99" s="44">
        <v>0</v>
      </c>
      <c r="Z99" s="44"/>
      <c r="AA99" s="44">
        <f t="shared" si="2"/>
        <v>6298187</v>
      </c>
      <c r="AB99" s="44"/>
      <c r="AC99" s="44">
        <f t="shared" si="3"/>
        <v>8583161</v>
      </c>
    </row>
    <row r="100" spans="1:29" s="47" customFormat="1" ht="12.75" customHeight="1">
      <c r="A100" s="47" t="s">
        <v>124</v>
      </c>
      <c r="C100" s="47" t="s">
        <v>125</v>
      </c>
      <c r="E100" s="44">
        <v>1103604</v>
      </c>
      <c r="F100" s="44"/>
      <c r="G100" s="44">
        <v>593995</v>
      </c>
      <c r="H100" s="44"/>
      <c r="I100" s="44">
        <v>24050</v>
      </c>
      <c r="J100" s="44"/>
      <c r="K100" s="44">
        <v>1201564</v>
      </c>
      <c r="L100" s="44"/>
      <c r="M100" s="44">
        <v>5144879</v>
      </c>
      <c r="N100" s="44"/>
      <c r="O100" s="44">
        <v>12203</v>
      </c>
      <c r="P100" s="44"/>
      <c r="Q100" s="44">
        <v>945401</v>
      </c>
      <c r="R100" s="44"/>
      <c r="S100" s="44">
        <v>339715</v>
      </c>
      <c r="T100" s="44"/>
      <c r="U100" s="44">
        <v>57959</v>
      </c>
      <c r="V100" s="44"/>
      <c r="W100" s="44">
        <v>-1329</v>
      </c>
      <c r="X100" s="44"/>
      <c r="Y100" s="44">
        <v>0</v>
      </c>
      <c r="Z100" s="44"/>
      <c r="AA100" s="44">
        <f t="shared" si="2"/>
        <v>7700392</v>
      </c>
      <c r="AB100" s="44"/>
      <c r="AC100" s="44">
        <f t="shared" si="3"/>
        <v>9422041</v>
      </c>
    </row>
    <row r="101" spans="1:29" s="47" customFormat="1" ht="12.75" customHeight="1">
      <c r="A101" s="47" t="s">
        <v>126</v>
      </c>
      <c r="C101" s="47" t="s">
        <v>27</v>
      </c>
      <c r="E101" s="44">
        <v>1156160</v>
      </c>
      <c r="F101" s="44"/>
      <c r="G101" s="44">
        <v>467090</v>
      </c>
      <c r="H101" s="44"/>
      <c r="I101" s="44">
        <v>1275929</v>
      </c>
      <c r="J101" s="44"/>
      <c r="K101" s="44">
        <f>761014+126821+553466</f>
        <v>1441301</v>
      </c>
      <c r="L101" s="44"/>
      <c r="M101" s="44">
        <f>9133358+740543</f>
        <v>9873901</v>
      </c>
      <c r="N101" s="44"/>
      <c r="O101" s="44">
        <v>85140</v>
      </c>
      <c r="P101" s="44"/>
      <c r="Q101" s="44">
        <v>1071424</v>
      </c>
      <c r="R101" s="44"/>
      <c r="S101" s="44">
        <v>186253</v>
      </c>
      <c r="T101" s="44"/>
      <c r="U101" s="44">
        <v>159988</v>
      </c>
      <c r="V101" s="44"/>
      <c r="W101" s="44">
        <v>0</v>
      </c>
      <c r="X101" s="44"/>
      <c r="Y101" s="44">
        <v>0</v>
      </c>
      <c r="Z101" s="44"/>
      <c r="AA101" s="44">
        <f t="shared" si="2"/>
        <v>12818007</v>
      </c>
      <c r="AB101" s="44"/>
      <c r="AC101" s="44">
        <f t="shared" si="3"/>
        <v>15717186</v>
      </c>
    </row>
    <row r="102" spans="1:29" s="47" customFormat="1" ht="12.75" customHeight="1">
      <c r="A102" s="47" t="s">
        <v>127</v>
      </c>
      <c r="C102" s="47" t="s">
        <v>43</v>
      </c>
      <c r="E102" s="44">
        <v>5263657</v>
      </c>
      <c r="F102" s="44"/>
      <c r="G102" s="44">
        <v>2090172</v>
      </c>
      <c r="H102" s="44"/>
      <c r="I102" s="44">
        <v>2586835</v>
      </c>
      <c r="J102" s="44"/>
      <c r="K102" s="44">
        <v>1939885</v>
      </c>
      <c r="L102" s="44"/>
      <c r="M102" s="44">
        <f>4323358+2161680+10808397</f>
        <v>17293435</v>
      </c>
      <c r="N102" s="44"/>
      <c r="O102" s="44">
        <v>1375625</v>
      </c>
      <c r="P102" s="44"/>
      <c r="Q102" s="44">
        <v>1209800</v>
      </c>
      <c r="R102" s="44"/>
      <c r="S102" s="44">
        <v>355084</v>
      </c>
      <c r="T102" s="44"/>
      <c r="U102" s="44">
        <v>186099</v>
      </c>
      <c r="V102" s="44"/>
      <c r="W102" s="44">
        <v>0</v>
      </c>
      <c r="X102" s="44"/>
      <c r="Y102" s="44">
        <v>0</v>
      </c>
      <c r="Z102" s="44"/>
      <c r="AA102" s="44">
        <f t="shared" si="2"/>
        <v>22359928</v>
      </c>
      <c r="AB102" s="44"/>
      <c r="AC102" s="44">
        <f t="shared" si="3"/>
        <v>32300592</v>
      </c>
    </row>
    <row r="103" spans="1:29" s="47" customFormat="1" ht="12.75" customHeight="1">
      <c r="A103" s="47" t="s">
        <v>128</v>
      </c>
      <c r="C103" s="47" t="s">
        <v>119</v>
      </c>
      <c r="E103" s="44">
        <v>1207158</v>
      </c>
      <c r="F103" s="44"/>
      <c r="G103" s="44">
        <v>305888</v>
      </c>
      <c r="H103" s="44"/>
      <c r="I103" s="44">
        <v>521580</v>
      </c>
      <c r="J103" s="44"/>
      <c r="K103" s="44">
        <f>318750+58406+90406+112831</f>
        <v>580393</v>
      </c>
      <c r="L103" s="44"/>
      <c r="M103" s="44">
        <v>3337911</v>
      </c>
      <c r="N103" s="44"/>
      <c r="O103" s="44">
        <v>0</v>
      </c>
      <c r="P103" s="44"/>
      <c r="Q103" s="44">
        <v>299018</v>
      </c>
      <c r="R103" s="44"/>
      <c r="S103" s="44">
        <v>107353</v>
      </c>
      <c r="T103" s="44"/>
      <c r="U103" s="44">
        <v>128191</v>
      </c>
      <c r="V103" s="44"/>
      <c r="W103" s="44">
        <v>-7434</v>
      </c>
      <c r="X103" s="44"/>
      <c r="Y103" s="44">
        <v>0</v>
      </c>
      <c r="Z103" s="44"/>
      <c r="AA103" s="44">
        <f t="shared" si="2"/>
        <v>4445432</v>
      </c>
      <c r="AB103" s="44"/>
      <c r="AC103" s="44">
        <f t="shared" si="3"/>
        <v>6480058</v>
      </c>
    </row>
    <row r="104" spans="1:29" s="47" customFormat="1" ht="12.75" customHeight="1">
      <c r="A104" s="47" t="s">
        <v>129</v>
      </c>
      <c r="C104" s="47" t="s">
        <v>80</v>
      </c>
      <c r="E104" s="44">
        <v>58240</v>
      </c>
      <c r="F104" s="44"/>
      <c r="G104" s="44">
        <v>395366</v>
      </c>
      <c r="H104" s="44"/>
      <c r="I104" s="44">
        <v>258842</v>
      </c>
      <c r="J104" s="44"/>
      <c r="K104" s="44">
        <f>277464+54873+32015</f>
        <v>364352</v>
      </c>
      <c r="L104" s="44"/>
      <c r="M104" s="44">
        <v>1919527</v>
      </c>
      <c r="N104" s="44"/>
      <c r="O104" s="44">
        <v>0</v>
      </c>
      <c r="P104" s="44"/>
      <c r="Q104" s="44">
        <v>259335</v>
      </c>
      <c r="R104" s="44"/>
      <c r="S104" s="44">
        <v>322216</v>
      </c>
      <c r="T104" s="44"/>
      <c r="U104" s="44">
        <v>122163</v>
      </c>
      <c r="V104" s="44"/>
      <c r="W104" s="44">
        <v>-258160</v>
      </c>
      <c r="X104" s="44"/>
      <c r="Y104" s="44">
        <v>0</v>
      </c>
      <c r="Z104" s="44"/>
      <c r="AA104" s="44">
        <f t="shared" si="2"/>
        <v>2729433</v>
      </c>
      <c r="AB104" s="44"/>
      <c r="AC104" s="44">
        <f t="shared" si="3"/>
        <v>3441881</v>
      </c>
    </row>
    <row r="105" spans="1:29" s="47" customFormat="1" ht="12.75" customHeight="1">
      <c r="A105" s="47" t="s">
        <v>130</v>
      </c>
      <c r="C105" s="47" t="s">
        <v>66</v>
      </c>
      <c r="E105" s="44">
        <v>7039113</v>
      </c>
      <c r="F105" s="44"/>
      <c r="G105" s="44">
        <v>2248676</v>
      </c>
      <c r="H105" s="44"/>
      <c r="I105" s="44">
        <v>634125</v>
      </c>
      <c r="J105" s="44"/>
      <c r="K105" s="44">
        <f>1380249+1021259+1222133+228203</f>
        <v>3851844</v>
      </c>
      <c r="L105" s="44"/>
      <c r="M105" s="44">
        <f>6860166+462035+3300433+1609466+1295021+1031539</f>
        <v>14558660</v>
      </c>
      <c r="N105" s="44"/>
      <c r="O105" s="44">
        <v>171752</v>
      </c>
      <c r="P105" s="44"/>
      <c r="Q105" s="44">
        <v>1641449</v>
      </c>
      <c r="R105" s="44"/>
      <c r="S105" s="44">
        <v>1317748</v>
      </c>
      <c r="T105" s="44"/>
      <c r="U105" s="44">
        <v>148950</v>
      </c>
      <c r="V105" s="44"/>
      <c r="W105" s="44">
        <v>187196</v>
      </c>
      <c r="X105" s="44"/>
      <c r="Y105" s="44">
        <v>0</v>
      </c>
      <c r="Z105" s="44"/>
      <c r="AA105" s="44">
        <f t="shared" si="2"/>
        <v>21877599</v>
      </c>
      <c r="AB105" s="44"/>
      <c r="AC105" s="44">
        <f t="shared" si="3"/>
        <v>31799513</v>
      </c>
    </row>
    <row r="106" spans="1:29" s="47" customFormat="1" ht="12.75" customHeight="1">
      <c r="A106" s="47" t="s">
        <v>131</v>
      </c>
      <c r="C106" s="47" t="s">
        <v>13</v>
      </c>
      <c r="E106" s="44">
        <v>1271888</v>
      </c>
      <c r="F106" s="44"/>
      <c r="G106" s="44">
        <v>38278</v>
      </c>
      <c r="H106" s="44"/>
      <c r="I106" s="44">
        <v>640297</v>
      </c>
      <c r="J106" s="44"/>
      <c r="K106" s="44">
        <v>4924556</v>
      </c>
      <c r="L106" s="44"/>
      <c r="M106" s="44">
        <v>17230956</v>
      </c>
      <c r="N106" s="44"/>
      <c r="O106" s="44">
        <v>0</v>
      </c>
      <c r="P106" s="44"/>
      <c r="Q106" s="44">
        <v>5350421</v>
      </c>
      <c r="R106" s="44"/>
      <c r="S106" s="44">
        <v>1691590</v>
      </c>
      <c r="T106" s="44"/>
      <c r="U106" s="44">
        <v>449144</v>
      </c>
      <c r="V106" s="44"/>
      <c r="W106" s="44">
        <v>-4037500</v>
      </c>
      <c r="X106" s="44"/>
      <c r="Y106" s="44">
        <v>0</v>
      </c>
      <c r="Z106" s="44"/>
      <c r="AA106" s="44">
        <f t="shared" si="2"/>
        <v>25609167</v>
      </c>
      <c r="AB106" s="44"/>
      <c r="AC106" s="44">
        <f t="shared" si="3"/>
        <v>27559630</v>
      </c>
    </row>
    <row r="107" spans="1:29" s="47" customFormat="1" ht="12.75" customHeight="1">
      <c r="A107" s="47" t="s">
        <v>38</v>
      </c>
      <c r="C107" s="47" t="s">
        <v>132</v>
      </c>
      <c r="E107" s="44">
        <v>2468758</v>
      </c>
      <c r="F107" s="44"/>
      <c r="G107" s="44">
        <v>718580</v>
      </c>
      <c r="H107" s="44"/>
      <c r="I107" s="44">
        <v>0</v>
      </c>
      <c r="J107" s="44"/>
      <c r="K107" s="44">
        <f>267640+598195</f>
        <v>865835</v>
      </c>
      <c r="L107" s="44"/>
      <c r="M107" s="44">
        <v>2191305</v>
      </c>
      <c r="N107" s="44"/>
      <c r="O107" s="44">
        <v>19948</v>
      </c>
      <c r="P107" s="44"/>
      <c r="Q107" s="44">
        <v>607934</v>
      </c>
      <c r="R107" s="44"/>
      <c r="S107" s="44">
        <v>116796</v>
      </c>
      <c r="T107" s="44"/>
      <c r="U107" s="44">
        <v>22747</v>
      </c>
      <c r="V107" s="44"/>
      <c r="W107" s="44">
        <v>0</v>
      </c>
      <c r="X107" s="44"/>
      <c r="Y107" s="44">
        <v>0</v>
      </c>
      <c r="Z107" s="44"/>
      <c r="AA107" s="44">
        <f t="shared" si="2"/>
        <v>3824565</v>
      </c>
      <c r="AB107" s="44"/>
      <c r="AC107" s="44">
        <f t="shared" si="3"/>
        <v>7011903</v>
      </c>
    </row>
    <row r="108" spans="1:29" s="47" customFormat="1" ht="12.75" customHeight="1">
      <c r="A108" s="47" t="s">
        <v>133</v>
      </c>
      <c r="C108" s="47" t="s">
        <v>27</v>
      </c>
      <c r="E108" s="44">
        <v>1408058</v>
      </c>
      <c r="F108" s="44"/>
      <c r="G108" s="44">
        <v>509418</v>
      </c>
      <c r="H108" s="44"/>
      <c r="I108" s="44">
        <v>32489</v>
      </c>
      <c r="J108" s="44"/>
      <c r="K108" s="44">
        <f>1016192+318699+170232</f>
        <v>1505123</v>
      </c>
      <c r="L108" s="44"/>
      <c r="M108" s="44">
        <v>22488246</v>
      </c>
      <c r="N108" s="44"/>
      <c r="O108" s="44">
        <f>1150342+18027+1170376</f>
        <v>2338745</v>
      </c>
      <c r="P108" s="44"/>
      <c r="Q108" s="44">
        <v>1148168</v>
      </c>
      <c r="R108" s="44"/>
      <c r="S108" s="44">
        <v>368767</v>
      </c>
      <c r="T108" s="44"/>
      <c r="U108" s="44">
        <v>723407</v>
      </c>
      <c r="V108" s="44"/>
      <c r="W108" s="44">
        <v>0</v>
      </c>
      <c r="X108" s="44"/>
      <c r="Y108" s="44">
        <v>0</v>
      </c>
      <c r="Z108" s="44"/>
      <c r="AA108" s="44">
        <f t="shared" si="2"/>
        <v>28572456</v>
      </c>
      <c r="AB108" s="44"/>
      <c r="AC108" s="44">
        <f t="shared" si="3"/>
        <v>30522421</v>
      </c>
    </row>
    <row r="109" spans="1:29" s="47" customFormat="1" ht="12.75" customHeight="1">
      <c r="A109" s="47" t="s">
        <v>483</v>
      </c>
      <c r="C109" s="47" t="s">
        <v>45</v>
      </c>
      <c r="E109" s="44">
        <v>360898</v>
      </c>
      <c r="F109" s="44"/>
      <c r="G109" s="44">
        <v>589131</v>
      </c>
      <c r="H109" s="44"/>
      <c r="I109" s="44">
        <v>2101084</v>
      </c>
      <c r="J109" s="44"/>
      <c r="K109" s="44">
        <v>814848</v>
      </c>
      <c r="L109" s="44"/>
      <c r="M109" s="44">
        <v>6974155</v>
      </c>
      <c r="N109" s="44"/>
      <c r="O109" s="44">
        <v>2441118</v>
      </c>
      <c r="P109" s="44"/>
      <c r="Q109" s="44">
        <v>0</v>
      </c>
      <c r="R109" s="44"/>
      <c r="S109" s="44">
        <v>-119424</v>
      </c>
      <c r="T109" s="44"/>
      <c r="U109" s="44">
        <v>189655</v>
      </c>
      <c r="V109" s="44"/>
      <c r="W109" s="44">
        <v>0</v>
      </c>
      <c r="X109" s="44"/>
      <c r="Y109" s="44">
        <v>0</v>
      </c>
      <c r="Z109" s="44"/>
      <c r="AA109" s="44">
        <f t="shared" si="2"/>
        <v>10300352</v>
      </c>
      <c r="AB109" s="44"/>
      <c r="AC109" s="44">
        <f t="shared" si="3"/>
        <v>13351465</v>
      </c>
    </row>
    <row r="110" spans="1:29" s="47" customFormat="1" ht="12.75" customHeight="1">
      <c r="A110" s="47" t="s">
        <v>136</v>
      </c>
      <c r="C110" s="47" t="s">
        <v>136</v>
      </c>
      <c r="E110" s="44">
        <v>476214</v>
      </c>
      <c r="F110" s="44"/>
      <c r="G110" s="44">
        <v>724981</v>
      </c>
      <c r="H110" s="44"/>
      <c r="I110" s="44">
        <v>0</v>
      </c>
      <c r="J110" s="44"/>
      <c r="K110" s="44">
        <f>367883+175208+162024</f>
        <v>705115</v>
      </c>
      <c r="L110" s="44"/>
      <c r="M110" s="44">
        <v>0</v>
      </c>
      <c r="N110" s="44"/>
      <c r="O110" s="44">
        <v>817876</v>
      </c>
      <c r="P110" s="44"/>
      <c r="Q110" s="44">
        <v>395995</v>
      </c>
      <c r="R110" s="44"/>
      <c r="S110" s="44">
        <v>695726</v>
      </c>
      <c r="T110" s="44"/>
      <c r="U110" s="44">
        <f>66223+1850</f>
        <v>68073</v>
      </c>
      <c r="V110" s="44"/>
      <c r="W110" s="44">
        <v>10496</v>
      </c>
      <c r="X110" s="44"/>
      <c r="Y110" s="44">
        <v>0</v>
      </c>
      <c r="Z110" s="44"/>
      <c r="AA110" s="44">
        <f>SUM(K110:Y110)</f>
        <v>2693281</v>
      </c>
      <c r="AB110" s="44"/>
      <c r="AC110" s="44">
        <f>SUM(E110:Y110)</f>
        <v>3894476</v>
      </c>
    </row>
    <row r="111" spans="1:29" s="47" customFormat="1" ht="12.75" customHeight="1">
      <c r="A111" s="47" t="s">
        <v>137</v>
      </c>
      <c r="C111" s="47" t="s">
        <v>22</v>
      </c>
      <c r="E111" s="44">
        <v>2295383</v>
      </c>
      <c r="F111" s="44"/>
      <c r="G111" s="44">
        <v>1427695</v>
      </c>
      <c r="H111" s="44"/>
      <c r="I111" s="44">
        <v>2822271</v>
      </c>
      <c r="J111" s="44"/>
      <c r="K111" s="44">
        <v>1645714</v>
      </c>
      <c r="L111" s="44"/>
      <c r="M111" s="44">
        <v>10508828</v>
      </c>
      <c r="N111" s="44"/>
      <c r="O111" s="44">
        <v>1539836</v>
      </c>
      <c r="P111" s="44"/>
      <c r="Q111" s="44">
        <v>2430874</v>
      </c>
      <c r="R111" s="44"/>
      <c r="S111" s="44">
        <v>781307</v>
      </c>
      <c r="T111" s="44"/>
      <c r="U111" s="44">
        <v>77607</v>
      </c>
      <c r="V111" s="44"/>
      <c r="W111" s="44">
        <v>0</v>
      </c>
      <c r="X111" s="44"/>
      <c r="Y111" s="44">
        <v>0</v>
      </c>
      <c r="Z111" s="44"/>
      <c r="AA111" s="44">
        <f t="shared" si="2"/>
        <v>16984166</v>
      </c>
      <c r="AB111" s="44"/>
      <c r="AC111" s="44">
        <f t="shared" si="3"/>
        <v>23529515</v>
      </c>
    </row>
    <row r="112" spans="1:29" s="47" customFormat="1" ht="12.75" hidden="1" customHeight="1">
      <c r="A112" s="47" t="s">
        <v>138</v>
      </c>
      <c r="C112" s="47" t="s">
        <v>139</v>
      </c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>
        <f t="shared" si="2"/>
        <v>0</v>
      </c>
      <c r="AB112" s="44"/>
      <c r="AC112" s="44">
        <f t="shared" si="3"/>
        <v>0</v>
      </c>
    </row>
    <row r="113" spans="1:31" s="47" customFormat="1" ht="12.75" customHeight="1">
      <c r="A113" s="47" t="s">
        <v>140</v>
      </c>
      <c r="C113" s="47" t="s">
        <v>66</v>
      </c>
      <c r="E113" s="44">
        <v>10691835</v>
      </c>
      <c r="F113" s="44"/>
      <c r="G113" s="44">
        <v>2367960</v>
      </c>
      <c r="H113" s="44"/>
      <c r="I113" s="44">
        <v>1713898</v>
      </c>
      <c r="J113" s="44"/>
      <c r="K113" s="44">
        <f>8220419+1303288</f>
        <v>9523707</v>
      </c>
      <c r="L113" s="44"/>
      <c r="M113" s="44">
        <v>38381641</v>
      </c>
      <c r="N113" s="44"/>
      <c r="O113" s="44">
        <v>8607168</v>
      </c>
      <c r="P113" s="44"/>
      <c r="Q113" s="44">
        <v>1296369</v>
      </c>
      <c r="R113" s="44"/>
      <c r="S113" s="44">
        <v>1954419</v>
      </c>
      <c r="T113" s="44"/>
      <c r="U113" s="44">
        <v>253928</v>
      </c>
      <c r="V113" s="44"/>
      <c r="W113" s="44">
        <v>0</v>
      </c>
      <c r="X113" s="44"/>
      <c r="Y113" s="44">
        <v>0</v>
      </c>
      <c r="Z113" s="44"/>
      <c r="AA113" s="44">
        <f t="shared" si="2"/>
        <v>60017232</v>
      </c>
      <c r="AB113" s="44"/>
      <c r="AC113" s="44">
        <f t="shared" si="3"/>
        <v>74790925</v>
      </c>
    </row>
    <row r="114" spans="1:31" s="47" customFormat="1" ht="12.75" customHeight="1">
      <c r="A114" s="47" t="s">
        <v>478</v>
      </c>
      <c r="C114" s="47" t="s">
        <v>92</v>
      </c>
      <c r="E114" s="44">
        <v>458093</v>
      </c>
      <c r="F114" s="44"/>
      <c r="G114" s="44">
        <v>612321</v>
      </c>
      <c r="H114" s="44"/>
      <c r="I114" s="44">
        <v>432970</v>
      </c>
      <c r="J114" s="44"/>
      <c r="K114" s="44">
        <f>643013+512608+96188+74635+124561</f>
        <v>1451005</v>
      </c>
      <c r="L114" s="44"/>
      <c r="M114" s="44">
        <v>3128696</v>
      </c>
      <c r="N114" s="44"/>
      <c r="O114" s="44">
        <v>0</v>
      </c>
      <c r="P114" s="44"/>
      <c r="Q114" s="44">
        <v>665179</v>
      </c>
      <c r="R114" s="44"/>
      <c r="S114" s="44">
        <v>40262</v>
      </c>
      <c r="T114" s="44"/>
      <c r="U114" s="44">
        <v>55788</v>
      </c>
      <c r="V114" s="44"/>
      <c r="W114" s="44">
        <v>-22648</v>
      </c>
      <c r="X114" s="44"/>
      <c r="Y114" s="44">
        <v>0</v>
      </c>
      <c r="Z114" s="44"/>
      <c r="AA114" s="44">
        <f t="shared" si="2"/>
        <v>5318282</v>
      </c>
      <c r="AB114" s="44"/>
      <c r="AC114" s="44">
        <f t="shared" si="3"/>
        <v>6821666</v>
      </c>
    </row>
    <row r="115" spans="1:31" s="47" customFormat="1" ht="12.75" customHeight="1">
      <c r="A115" s="47" t="s">
        <v>141</v>
      </c>
      <c r="C115" s="47" t="s">
        <v>27</v>
      </c>
      <c r="E115" s="44">
        <v>6955467</v>
      </c>
      <c r="F115" s="44"/>
      <c r="G115" s="44">
        <v>6431246</v>
      </c>
      <c r="H115" s="44"/>
      <c r="I115" s="44">
        <v>0</v>
      </c>
      <c r="J115" s="44"/>
      <c r="K115" s="44">
        <f>7464079+2823756+2987313</f>
        <v>13275148</v>
      </c>
      <c r="L115" s="44"/>
      <c r="M115" s="44">
        <v>19348017</v>
      </c>
      <c r="N115" s="44"/>
      <c r="O115" s="44">
        <v>340341</v>
      </c>
      <c r="P115" s="44"/>
      <c r="Q115" s="44">
        <v>5668748</v>
      </c>
      <c r="R115" s="44"/>
      <c r="S115" s="44">
        <v>533257</v>
      </c>
      <c r="T115" s="44"/>
      <c r="U115" s="44">
        <v>550472</v>
      </c>
      <c r="V115" s="44"/>
      <c r="W115" s="44">
        <v>534752</v>
      </c>
      <c r="X115" s="44"/>
      <c r="Y115" s="44">
        <v>0</v>
      </c>
      <c r="Z115" s="44"/>
      <c r="AA115" s="44">
        <f t="shared" si="2"/>
        <v>40250735</v>
      </c>
      <c r="AB115" s="44"/>
      <c r="AC115" s="44">
        <f t="shared" si="3"/>
        <v>53637448</v>
      </c>
    </row>
    <row r="116" spans="1:31" s="47" customFormat="1" ht="12.75" customHeight="1">
      <c r="A116" s="47" t="s">
        <v>142</v>
      </c>
      <c r="C116" s="47" t="s">
        <v>102</v>
      </c>
      <c r="E116" s="44">
        <v>5732462</v>
      </c>
      <c r="F116" s="44"/>
      <c r="G116" s="44">
        <v>6257136</v>
      </c>
      <c r="H116" s="44"/>
      <c r="I116" s="44">
        <v>1248952</v>
      </c>
      <c r="J116" s="44"/>
      <c r="K116" s="44">
        <f>1946225+383601</f>
        <v>2329826</v>
      </c>
      <c r="L116" s="44"/>
      <c r="M116" s="44">
        <v>17366985</v>
      </c>
      <c r="N116" s="44"/>
      <c r="O116" s="44">
        <v>577976</v>
      </c>
      <c r="P116" s="44"/>
      <c r="Q116" s="44">
        <v>3170617</v>
      </c>
      <c r="R116" s="44"/>
      <c r="S116" s="44">
        <v>802558</v>
      </c>
      <c r="T116" s="44"/>
      <c r="U116" s="44">
        <v>588164</v>
      </c>
      <c r="V116" s="44"/>
      <c r="W116" s="44">
        <v>-1428140</v>
      </c>
      <c r="X116" s="44"/>
      <c r="Y116" s="44">
        <v>0</v>
      </c>
      <c r="Z116" s="44"/>
      <c r="AA116" s="44">
        <f t="shared" si="2"/>
        <v>23407986</v>
      </c>
      <c r="AB116" s="44"/>
      <c r="AC116" s="44">
        <f t="shared" si="3"/>
        <v>36646536</v>
      </c>
    </row>
    <row r="117" spans="1:31" s="47" customFormat="1" ht="12.75" customHeight="1">
      <c r="A117" s="47" t="s">
        <v>143</v>
      </c>
      <c r="C117" s="47" t="s">
        <v>111</v>
      </c>
      <c r="E117" s="44">
        <v>3093073</v>
      </c>
      <c r="F117" s="44"/>
      <c r="G117" s="44">
        <v>1102214</v>
      </c>
      <c r="H117" s="44"/>
      <c r="I117" s="44">
        <v>1631026</v>
      </c>
      <c r="J117" s="44"/>
      <c r="K117" s="44">
        <f>1353504+2327576+43186</f>
        <v>3724266</v>
      </c>
      <c r="L117" s="44"/>
      <c r="M117" s="44">
        <v>6260249</v>
      </c>
      <c r="N117" s="44"/>
      <c r="O117" s="44">
        <v>1468021</v>
      </c>
      <c r="P117" s="44"/>
      <c r="Q117" s="44">
        <v>684035</v>
      </c>
      <c r="R117" s="44"/>
      <c r="S117" s="44">
        <v>781418</v>
      </c>
      <c r="T117" s="44"/>
      <c r="U117" s="44">
        <f>185479+17828+7494</f>
        <v>210801</v>
      </c>
      <c r="V117" s="44"/>
      <c r="W117" s="44">
        <v>-117639</v>
      </c>
      <c r="X117" s="44"/>
      <c r="Y117" s="44">
        <v>0</v>
      </c>
      <c r="Z117" s="44"/>
      <c r="AA117" s="44">
        <f t="shared" si="2"/>
        <v>13011151</v>
      </c>
      <c r="AB117" s="44"/>
      <c r="AC117" s="44">
        <f t="shared" si="3"/>
        <v>18837464</v>
      </c>
    </row>
    <row r="118" spans="1:31" s="47" customFormat="1" ht="12.75" customHeight="1">
      <c r="A118" s="47" t="s">
        <v>144</v>
      </c>
      <c r="C118" s="47" t="s">
        <v>88</v>
      </c>
      <c r="E118" s="44">
        <v>7944128</v>
      </c>
      <c r="F118" s="44"/>
      <c r="G118" s="44">
        <v>2240916</v>
      </c>
      <c r="H118" s="44"/>
      <c r="I118" s="44">
        <v>2598125</v>
      </c>
      <c r="J118" s="44"/>
      <c r="K118" s="44">
        <v>1317502</v>
      </c>
      <c r="L118" s="44"/>
      <c r="M118" s="44">
        <v>15421494</v>
      </c>
      <c r="N118" s="44"/>
      <c r="O118" s="44">
        <v>133697</v>
      </c>
      <c r="P118" s="44"/>
      <c r="Q118" s="44">
        <v>5587915</v>
      </c>
      <c r="R118" s="44"/>
      <c r="S118" s="44">
        <v>981926</v>
      </c>
      <c r="T118" s="44"/>
      <c r="U118" s="44">
        <f>8078+82102</f>
        <v>90180</v>
      </c>
      <c r="V118" s="44"/>
      <c r="W118" s="44">
        <v>0</v>
      </c>
      <c r="X118" s="44"/>
      <c r="Y118" s="44">
        <v>0</v>
      </c>
      <c r="Z118" s="44"/>
      <c r="AA118" s="44">
        <f t="shared" si="2"/>
        <v>23532714</v>
      </c>
      <c r="AB118" s="44"/>
      <c r="AC118" s="44">
        <f t="shared" si="3"/>
        <v>36315883</v>
      </c>
    </row>
    <row r="119" spans="1:31" s="47" customFormat="1" ht="12.75" customHeight="1">
      <c r="A119" s="47" t="s">
        <v>36</v>
      </c>
      <c r="C119" s="47" t="s">
        <v>145</v>
      </c>
      <c r="E119" s="44">
        <v>318694</v>
      </c>
      <c r="F119" s="44"/>
      <c r="G119" s="44">
        <v>859382</v>
      </c>
      <c r="H119" s="44"/>
      <c r="I119" s="44">
        <v>14659</v>
      </c>
      <c r="J119" s="44"/>
      <c r="K119" s="44">
        <f>202540+29662+231063</f>
        <v>463265</v>
      </c>
      <c r="L119" s="44"/>
      <c r="M119" s="44">
        <f>2160633+238353</f>
        <v>2398986</v>
      </c>
      <c r="N119" s="44"/>
      <c r="O119" s="44">
        <v>0</v>
      </c>
      <c r="P119" s="44"/>
      <c r="Q119" s="44">
        <v>519531</v>
      </c>
      <c r="R119" s="44"/>
      <c r="S119" s="44">
        <v>66345</v>
      </c>
      <c r="T119" s="44"/>
      <c r="U119" s="44">
        <f>1250+21116</f>
        <v>22366</v>
      </c>
      <c r="V119" s="44"/>
      <c r="W119" s="44">
        <v>0</v>
      </c>
      <c r="X119" s="44"/>
      <c r="Y119" s="44">
        <v>0</v>
      </c>
      <c r="Z119" s="44"/>
      <c r="AA119" s="44">
        <f t="shared" si="2"/>
        <v>3470493</v>
      </c>
      <c r="AB119" s="44"/>
      <c r="AC119" s="44">
        <f t="shared" si="3"/>
        <v>4663228</v>
      </c>
    </row>
    <row r="120" spans="1:31" s="47" customFormat="1" ht="12.75" customHeight="1">
      <c r="A120" s="47" t="s">
        <v>146</v>
      </c>
      <c r="C120" s="47" t="s">
        <v>147</v>
      </c>
      <c r="E120" s="44">
        <v>464429</v>
      </c>
      <c r="F120" s="44"/>
      <c r="G120" s="44">
        <v>927314</v>
      </c>
      <c r="H120" s="44"/>
      <c r="I120" s="44">
        <v>42864</v>
      </c>
      <c r="J120" s="44"/>
      <c r="K120" s="44">
        <f>824466+356966</f>
        <v>1181432</v>
      </c>
      <c r="L120" s="44"/>
      <c r="M120" s="44">
        <f>2144768+1000718</f>
        <v>3145486</v>
      </c>
      <c r="N120" s="44"/>
      <c r="O120" s="44">
        <v>0</v>
      </c>
      <c r="P120" s="44"/>
      <c r="Q120" s="44">
        <v>449616</v>
      </c>
      <c r="R120" s="44"/>
      <c r="S120" s="44">
        <v>167244</v>
      </c>
      <c r="T120" s="44"/>
      <c r="U120" s="44">
        <v>70788</v>
      </c>
      <c r="V120" s="44"/>
      <c r="W120" s="44">
        <v>0</v>
      </c>
      <c r="X120" s="44"/>
      <c r="Y120" s="44">
        <v>0</v>
      </c>
      <c r="Z120" s="44"/>
      <c r="AA120" s="44">
        <f t="shared" si="2"/>
        <v>5014566</v>
      </c>
      <c r="AB120" s="44"/>
      <c r="AC120" s="44">
        <f t="shared" si="3"/>
        <v>6449173</v>
      </c>
    </row>
    <row r="121" spans="1:31" s="47" customFormat="1" ht="12.75" customHeight="1">
      <c r="A121" s="47" t="s">
        <v>17</v>
      </c>
      <c r="C121" s="47" t="s">
        <v>17</v>
      </c>
      <c r="E121" s="44">
        <v>4513945</v>
      </c>
      <c r="F121" s="44"/>
      <c r="G121" s="44">
        <v>5787701</v>
      </c>
      <c r="H121" s="44"/>
      <c r="I121" s="44">
        <v>1478968</v>
      </c>
      <c r="J121" s="44"/>
      <c r="K121" s="44">
        <f>3464435+257898+257898+1522940</f>
        <v>5503171</v>
      </c>
      <c r="L121" s="44"/>
      <c r="M121" s="44">
        <f>16228431+2276589</f>
        <v>18505020</v>
      </c>
      <c r="N121" s="44"/>
      <c r="O121" s="44">
        <v>0</v>
      </c>
      <c r="P121" s="44"/>
      <c r="Q121" s="44">
        <v>7371329</v>
      </c>
      <c r="R121" s="44"/>
      <c r="S121" s="44">
        <v>377061</v>
      </c>
      <c r="T121" s="44"/>
      <c r="U121" s="44">
        <v>460595</v>
      </c>
      <c r="V121" s="44"/>
      <c r="W121" s="44">
        <v>0</v>
      </c>
      <c r="X121" s="44"/>
      <c r="Y121" s="44">
        <v>0</v>
      </c>
      <c r="Z121" s="44"/>
      <c r="AA121" s="44">
        <f t="shared" si="2"/>
        <v>32217176</v>
      </c>
      <c r="AB121" s="44"/>
      <c r="AC121" s="44">
        <f t="shared" si="3"/>
        <v>43997790</v>
      </c>
    </row>
    <row r="122" spans="1:31" s="47" customFormat="1" ht="12.75" customHeight="1">
      <c r="A122" s="47" t="s">
        <v>148</v>
      </c>
      <c r="C122" s="47" t="s">
        <v>15</v>
      </c>
      <c r="E122" s="44">
        <v>588425</v>
      </c>
      <c r="F122" s="44"/>
      <c r="G122" s="44">
        <v>717972</v>
      </c>
      <c r="H122" s="44"/>
      <c r="I122" s="44">
        <v>101973</v>
      </c>
      <c r="J122" s="44"/>
      <c r="K122" s="44">
        <v>382049</v>
      </c>
      <c r="L122" s="44"/>
      <c r="M122" s="44">
        <v>2720310</v>
      </c>
      <c r="N122" s="44"/>
      <c r="O122" s="44">
        <v>0</v>
      </c>
      <c r="P122" s="44"/>
      <c r="Q122" s="44">
        <v>476932</v>
      </c>
      <c r="R122" s="44"/>
      <c r="S122" s="44">
        <v>35851</v>
      </c>
      <c r="T122" s="44"/>
      <c r="U122" s="44">
        <v>156111</v>
      </c>
      <c r="V122" s="44"/>
      <c r="W122" s="44">
        <v>84609</v>
      </c>
      <c r="X122" s="44"/>
      <c r="Y122" s="44">
        <v>0</v>
      </c>
      <c r="Z122" s="44"/>
      <c r="AA122" s="44">
        <f t="shared" si="2"/>
        <v>3855862</v>
      </c>
      <c r="AB122" s="44"/>
      <c r="AC122" s="44">
        <f t="shared" si="3"/>
        <v>5264232</v>
      </c>
    </row>
    <row r="123" spans="1:31" s="47" customFormat="1" ht="12.75" customHeight="1">
      <c r="A123" s="47" t="s">
        <v>149</v>
      </c>
      <c r="C123" s="47" t="s">
        <v>45</v>
      </c>
      <c r="E123" s="44">
        <v>829741</v>
      </c>
      <c r="F123" s="44"/>
      <c r="G123" s="44">
        <v>671422</v>
      </c>
      <c r="H123" s="44"/>
      <c r="I123" s="44">
        <v>6270</v>
      </c>
      <c r="J123" s="44"/>
      <c r="K123" s="44">
        <v>3072053</v>
      </c>
      <c r="L123" s="44"/>
      <c r="M123" s="44">
        <v>2824928</v>
      </c>
      <c r="N123" s="44"/>
      <c r="O123" s="44">
        <v>0</v>
      </c>
      <c r="P123" s="44"/>
      <c r="Q123" s="44">
        <v>1218060</v>
      </c>
      <c r="R123" s="44"/>
      <c r="S123" s="44">
        <v>159585</v>
      </c>
      <c r="T123" s="44"/>
      <c r="U123" s="44">
        <v>460112</v>
      </c>
      <c r="V123" s="44"/>
      <c r="W123" s="44">
        <v>338337</v>
      </c>
      <c r="X123" s="44"/>
      <c r="Y123" s="44">
        <v>0</v>
      </c>
      <c r="Z123" s="44"/>
      <c r="AA123" s="44">
        <f t="shared" si="2"/>
        <v>8073075</v>
      </c>
      <c r="AB123" s="44"/>
      <c r="AC123" s="44">
        <f t="shared" si="3"/>
        <v>9580508</v>
      </c>
    </row>
    <row r="124" spans="1:31" s="47" customFormat="1" ht="12.75" customHeight="1">
      <c r="A124" s="47" t="s">
        <v>150</v>
      </c>
      <c r="C124" s="47" t="s">
        <v>27</v>
      </c>
      <c r="E124" s="44">
        <v>2653444</v>
      </c>
      <c r="F124" s="44"/>
      <c r="G124" s="44">
        <v>1360835</v>
      </c>
      <c r="H124" s="44"/>
      <c r="I124" s="44">
        <v>463939</v>
      </c>
      <c r="J124" s="44"/>
      <c r="K124" s="44">
        <v>5249674</v>
      </c>
      <c r="L124" s="44"/>
      <c r="M124" s="44">
        <v>5820074</v>
      </c>
      <c r="N124" s="44"/>
      <c r="O124" s="44">
        <v>136540</v>
      </c>
      <c r="P124" s="44"/>
      <c r="Q124" s="44">
        <v>2197426</v>
      </c>
      <c r="R124" s="44"/>
      <c r="S124" s="44">
        <v>534533</v>
      </c>
      <c r="T124" s="44"/>
      <c r="U124" s="44">
        <v>186383</v>
      </c>
      <c r="V124" s="44"/>
      <c r="W124" s="44">
        <v>0</v>
      </c>
      <c r="X124" s="44"/>
      <c r="Y124" s="44">
        <v>0</v>
      </c>
      <c r="Z124" s="44"/>
      <c r="AA124" s="44">
        <f t="shared" si="2"/>
        <v>14124630</v>
      </c>
      <c r="AB124" s="44"/>
      <c r="AC124" s="44">
        <f t="shared" si="3"/>
        <v>18602848</v>
      </c>
    </row>
    <row r="125" spans="1:31" s="47" customFormat="1" ht="12.75" customHeight="1">
      <c r="A125" s="47" t="s">
        <v>151</v>
      </c>
      <c r="C125" s="47" t="s">
        <v>13</v>
      </c>
      <c r="E125" s="44">
        <v>2413790</v>
      </c>
      <c r="F125" s="44"/>
      <c r="G125" s="44">
        <v>929240</v>
      </c>
      <c r="H125" s="44"/>
      <c r="I125" s="44">
        <v>38997</v>
      </c>
      <c r="J125" s="44"/>
      <c r="K125" s="44">
        <f>1464073+84084+111356</f>
        <v>1659513</v>
      </c>
      <c r="L125" s="44"/>
      <c r="M125" s="44">
        <f>6768679+942553+395068</f>
        <v>8106300</v>
      </c>
      <c r="N125" s="44"/>
      <c r="O125" s="44">
        <v>0</v>
      </c>
      <c r="P125" s="44"/>
      <c r="Q125" s="44">
        <v>1289513</v>
      </c>
      <c r="R125" s="44"/>
      <c r="S125" s="44">
        <v>178001</v>
      </c>
      <c r="T125" s="44"/>
      <c r="U125" s="44">
        <v>105694</v>
      </c>
      <c r="V125" s="44"/>
      <c r="W125" s="44">
        <v>0</v>
      </c>
      <c r="X125" s="44"/>
      <c r="Y125" s="44">
        <v>0</v>
      </c>
      <c r="Z125" s="44"/>
      <c r="AA125" s="44">
        <f t="shared" si="2"/>
        <v>11339021</v>
      </c>
      <c r="AB125" s="44"/>
      <c r="AC125" s="44">
        <f t="shared" si="3"/>
        <v>14721048</v>
      </c>
    </row>
    <row r="126" spans="1:31" s="47" customFormat="1" ht="12.75" customHeight="1">
      <c r="A126" s="47" t="s">
        <v>481</v>
      </c>
      <c r="C126" s="47" t="s">
        <v>45</v>
      </c>
      <c r="E126" s="44">
        <v>414467</v>
      </c>
      <c r="F126" s="44"/>
      <c r="G126" s="44">
        <v>774078</v>
      </c>
      <c r="H126" s="44"/>
      <c r="I126" s="44">
        <v>0</v>
      </c>
      <c r="J126" s="44"/>
      <c r="K126" s="44">
        <v>2096240</v>
      </c>
      <c r="L126" s="44"/>
      <c r="M126" s="44">
        <v>2369194</v>
      </c>
      <c r="N126" s="44"/>
      <c r="O126" s="44">
        <v>111233</v>
      </c>
      <c r="P126" s="44"/>
      <c r="Q126" s="44">
        <v>907731</v>
      </c>
      <c r="R126" s="44"/>
      <c r="S126" s="44">
        <v>104745</v>
      </c>
      <c r="T126" s="44"/>
      <c r="U126" s="44">
        <v>0</v>
      </c>
      <c r="V126" s="44"/>
      <c r="W126" s="44">
        <v>-60000</v>
      </c>
      <c r="X126" s="44"/>
      <c r="Y126" s="44">
        <v>0</v>
      </c>
      <c r="Z126" s="44"/>
      <c r="AA126" s="44">
        <f t="shared" si="2"/>
        <v>5529143</v>
      </c>
      <c r="AB126" s="44"/>
      <c r="AC126" s="44">
        <f t="shared" si="3"/>
        <v>6717688</v>
      </c>
    </row>
    <row r="127" spans="1:31" s="47" customFormat="1" ht="12.75" customHeight="1">
      <c r="A127" s="47" t="s">
        <v>152</v>
      </c>
      <c r="C127" s="47" t="s">
        <v>153</v>
      </c>
      <c r="E127" s="44">
        <v>5589408</v>
      </c>
      <c r="F127" s="44"/>
      <c r="G127" s="44">
        <v>7737309</v>
      </c>
      <c r="H127" s="44"/>
      <c r="I127" s="44">
        <v>1390445</v>
      </c>
      <c r="J127" s="44"/>
      <c r="K127" s="44">
        <f>2026704+403991</f>
        <v>2430695</v>
      </c>
      <c r="L127" s="44"/>
      <c r="M127" s="44">
        <f>833459+18832225+4258507</f>
        <v>23924191</v>
      </c>
      <c r="N127" s="44"/>
      <c r="O127" s="44">
        <v>0</v>
      </c>
      <c r="P127" s="44"/>
      <c r="Q127" s="44">
        <v>4072562</v>
      </c>
      <c r="R127" s="44"/>
      <c r="S127" s="44">
        <v>1259757</v>
      </c>
      <c r="T127" s="44"/>
      <c r="U127" s="44">
        <v>7204</v>
      </c>
      <c r="V127" s="44"/>
      <c r="W127" s="44">
        <v>0</v>
      </c>
      <c r="X127" s="44"/>
      <c r="Y127" s="44">
        <v>0</v>
      </c>
      <c r="Z127" s="44"/>
      <c r="AA127" s="44">
        <f t="shared" si="2"/>
        <v>31694409</v>
      </c>
      <c r="AB127" s="44"/>
      <c r="AC127" s="44">
        <f t="shared" si="3"/>
        <v>46411571</v>
      </c>
      <c r="AE127" s="44"/>
    </row>
    <row r="128" spans="1:31" s="47" customFormat="1" ht="12.75" hidden="1" customHeight="1">
      <c r="A128" s="47" t="s">
        <v>154</v>
      </c>
      <c r="C128" s="47" t="s">
        <v>27</v>
      </c>
      <c r="E128" s="44">
        <v>0</v>
      </c>
      <c r="F128" s="44"/>
      <c r="G128" s="44">
        <v>0</v>
      </c>
      <c r="H128" s="44"/>
      <c r="I128" s="44">
        <v>0</v>
      </c>
      <c r="J128" s="44"/>
      <c r="K128" s="44">
        <v>0</v>
      </c>
      <c r="L128" s="44"/>
      <c r="M128" s="44">
        <v>0</v>
      </c>
      <c r="N128" s="44"/>
      <c r="O128" s="44">
        <v>0</v>
      </c>
      <c r="P128" s="44"/>
      <c r="Q128" s="44">
        <v>0</v>
      </c>
      <c r="R128" s="44"/>
      <c r="S128" s="44">
        <v>0</v>
      </c>
      <c r="T128" s="44"/>
      <c r="U128" s="44">
        <v>0</v>
      </c>
      <c r="V128" s="44"/>
      <c r="W128" s="44">
        <v>0</v>
      </c>
      <c r="X128" s="44"/>
      <c r="Y128" s="44">
        <v>0</v>
      </c>
      <c r="Z128" s="44"/>
      <c r="AA128" s="44">
        <f t="shared" si="2"/>
        <v>0</v>
      </c>
      <c r="AB128" s="44"/>
      <c r="AC128" s="44">
        <f t="shared" si="3"/>
        <v>0</v>
      </c>
    </row>
    <row r="129" spans="1:29" s="47" customFormat="1" ht="12.75" customHeight="1">
      <c r="A129" s="47" t="s">
        <v>155</v>
      </c>
      <c r="C129" s="47" t="s">
        <v>40</v>
      </c>
      <c r="E129" s="44">
        <v>2328944</v>
      </c>
      <c r="F129" s="44"/>
      <c r="G129" s="44">
        <v>3095914</v>
      </c>
      <c r="H129" s="44"/>
      <c r="I129" s="44">
        <v>227695</v>
      </c>
      <c r="J129" s="44"/>
      <c r="K129" s="44">
        <f>520768+16338</f>
        <v>537106</v>
      </c>
      <c r="L129" s="44"/>
      <c r="M129" s="44">
        <f>5846756+898107+898108+449054</f>
        <v>8092025</v>
      </c>
      <c r="N129" s="44"/>
      <c r="O129" s="44">
        <f>222321+255867+185238</f>
        <v>663426</v>
      </c>
      <c r="P129" s="44"/>
      <c r="Q129" s="44">
        <v>1188823</v>
      </c>
      <c r="R129" s="44"/>
      <c r="S129" s="44">
        <v>300186</v>
      </c>
      <c r="T129" s="44"/>
      <c r="U129" s="44">
        <f>37521+359225</f>
        <v>396746</v>
      </c>
      <c r="V129" s="44"/>
      <c r="W129" s="44">
        <v>0</v>
      </c>
      <c r="X129" s="44"/>
      <c r="Y129" s="44">
        <v>0</v>
      </c>
      <c r="Z129" s="44"/>
      <c r="AA129" s="44">
        <f t="shared" si="2"/>
        <v>11178312</v>
      </c>
      <c r="AB129" s="44"/>
      <c r="AC129" s="44">
        <f t="shared" si="3"/>
        <v>16830865</v>
      </c>
    </row>
    <row r="130" spans="1:29" s="47" customFormat="1" ht="12.75" customHeight="1">
      <c r="A130" s="47" t="s">
        <v>471</v>
      </c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8" t="s">
        <v>484</v>
      </c>
    </row>
    <row r="131" spans="1:29" s="47" customFormat="1" ht="12.75" customHeight="1">
      <c r="A131" s="47" t="s">
        <v>156</v>
      </c>
      <c r="C131" s="47" t="s">
        <v>156</v>
      </c>
      <c r="E131" s="46">
        <v>3166146</v>
      </c>
      <c r="F131" s="46"/>
      <c r="G131" s="46">
        <v>4099975</v>
      </c>
      <c r="H131" s="46"/>
      <c r="I131" s="46">
        <v>499392</v>
      </c>
      <c r="J131" s="46"/>
      <c r="K131" s="46">
        <f>1219923+221481</f>
        <v>1441404</v>
      </c>
      <c r="L131" s="46"/>
      <c r="M131" s="46">
        <f>13131320+592725+288150</f>
        <v>14012195</v>
      </c>
      <c r="N131" s="46"/>
      <c r="O131" s="46">
        <v>171252</v>
      </c>
      <c r="P131" s="46"/>
      <c r="Q131" s="46">
        <v>2472533</v>
      </c>
      <c r="R131" s="46"/>
      <c r="S131" s="46">
        <v>392497</v>
      </c>
      <c r="T131" s="46"/>
      <c r="U131" s="46">
        <v>273752</v>
      </c>
      <c r="V131" s="46"/>
      <c r="W131" s="46">
        <v>273379</v>
      </c>
      <c r="X131" s="46"/>
      <c r="Y131" s="46">
        <v>0</v>
      </c>
      <c r="Z131" s="46"/>
      <c r="AA131" s="46">
        <f t="shared" si="2"/>
        <v>19037012</v>
      </c>
      <c r="AB131" s="46"/>
      <c r="AC131" s="46">
        <f t="shared" si="3"/>
        <v>26802525</v>
      </c>
    </row>
    <row r="132" spans="1:29" s="47" customFormat="1" ht="12.75" customHeight="1">
      <c r="A132" s="47" t="s">
        <v>157</v>
      </c>
      <c r="C132" s="47" t="s">
        <v>33</v>
      </c>
      <c r="E132" s="44">
        <v>1056415</v>
      </c>
      <c r="F132" s="44"/>
      <c r="G132" s="44">
        <v>972696</v>
      </c>
      <c r="H132" s="44"/>
      <c r="I132" s="44">
        <v>159791</v>
      </c>
      <c r="J132" s="44"/>
      <c r="K132" s="44">
        <f>175524+151413</f>
        <v>326937</v>
      </c>
      <c r="L132" s="44"/>
      <c r="M132" s="44">
        <v>1249955</v>
      </c>
      <c r="N132" s="44"/>
      <c r="O132" s="44">
        <v>0</v>
      </c>
      <c r="P132" s="44"/>
      <c r="Q132" s="44">
        <v>522183</v>
      </c>
      <c r="R132" s="44"/>
      <c r="S132" s="44">
        <v>75167</v>
      </c>
      <c r="T132" s="44"/>
      <c r="U132" s="44">
        <v>90098</v>
      </c>
      <c r="V132" s="44"/>
      <c r="W132" s="44">
        <v>-104977</v>
      </c>
      <c r="X132" s="44"/>
      <c r="Y132" s="44">
        <v>0</v>
      </c>
      <c r="Z132" s="44"/>
      <c r="AA132" s="44">
        <f t="shared" si="2"/>
        <v>2159363</v>
      </c>
      <c r="AB132" s="44"/>
      <c r="AC132" s="44">
        <f t="shared" si="3"/>
        <v>4348265</v>
      </c>
    </row>
    <row r="133" spans="1:29" s="47" customFormat="1" ht="12.75" customHeight="1">
      <c r="A133" s="47" t="s">
        <v>158</v>
      </c>
      <c r="C133" s="47" t="s">
        <v>159</v>
      </c>
      <c r="E133" s="44">
        <v>1704396</v>
      </c>
      <c r="F133" s="44"/>
      <c r="G133" s="44">
        <v>1355899</v>
      </c>
      <c r="H133" s="44"/>
      <c r="I133" s="44">
        <v>465554</v>
      </c>
      <c r="J133" s="44"/>
      <c r="K133" s="44">
        <v>1889982</v>
      </c>
      <c r="L133" s="44"/>
      <c r="M133" s="44">
        <v>8286787</v>
      </c>
      <c r="N133" s="44"/>
      <c r="O133" s="44">
        <f>823062+159316</f>
        <v>982378</v>
      </c>
      <c r="P133" s="44"/>
      <c r="Q133" s="44">
        <v>701953</v>
      </c>
      <c r="R133" s="44"/>
      <c r="S133" s="44">
        <v>397555</v>
      </c>
      <c r="T133" s="44"/>
      <c r="U133" s="44">
        <v>356990</v>
      </c>
      <c r="V133" s="44"/>
      <c r="W133" s="44">
        <v>0</v>
      </c>
      <c r="X133" s="44"/>
      <c r="Y133" s="44">
        <v>0</v>
      </c>
      <c r="Z133" s="44"/>
      <c r="AA133" s="44">
        <f t="shared" si="2"/>
        <v>12615645</v>
      </c>
      <c r="AB133" s="44"/>
      <c r="AC133" s="44">
        <f t="shared" si="3"/>
        <v>16141494</v>
      </c>
    </row>
    <row r="134" spans="1:29" s="46" customFormat="1" ht="12.75" customHeight="1">
      <c r="A134" s="46" t="s">
        <v>160</v>
      </c>
      <c r="C134" s="46" t="s">
        <v>111</v>
      </c>
      <c r="E134" s="44">
        <v>4464353</v>
      </c>
      <c r="F134" s="44"/>
      <c r="G134" s="44">
        <v>2668614</v>
      </c>
      <c r="H134" s="44"/>
      <c r="I134" s="44">
        <v>2243632</v>
      </c>
      <c r="J134" s="44"/>
      <c r="K134" s="44">
        <f>1294885+3966207+380224+546268</f>
        <v>6187584</v>
      </c>
      <c r="L134" s="44"/>
      <c r="M134" s="44">
        <v>22265663</v>
      </c>
      <c r="N134" s="44"/>
      <c r="O134" s="44">
        <v>0</v>
      </c>
      <c r="P134" s="44"/>
      <c r="Q134" s="44">
        <v>3149438</v>
      </c>
      <c r="R134" s="44"/>
      <c r="S134" s="44">
        <v>1997266</v>
      </c>
      <c r="T134" s="44"/>
      <c r="U134" s="44">
        <f>445778+220119</f>
        <v>665897</v>
      </c>
      <c r="V134" s="44"/>
      <c r="W134" s="44">
        <v>-3715268</v>
      </c>
      <c r="X134" s="44"/>
      <c r="Y134" s="44">
        <v>0</v>
      </c>
      <c r="Z134" s="44"/>
      <c r="AA134" s="44">
        <f t="shared" si="2"/>
        <v>30550580</v>
      </c>
      <c r="AB134" s="44"/>
      <c r="AC134" s="44">
        <f t="shared" si="3"/>
        <v>39927179</v>
      </c>
    </row>
    <row r="135" spans="1:29" s="47" customFormat="1" ht="12.75" customHeight="1">
      <c r="A135" s="47" t="s">
        <v>161</v>
      </c>
      <c r="C135" s="47" t="s">
        <v>15</v>
      </c>
      <c r="E135" s="44">
        <v>3721085</v>
      </c>
      <c r="F135" s="44"/>
      <c r="G135" s="44">
        <v>2580098</v>
      </c>
      <c r="H135" s="44"/>
      <c r="I135" s="44">
        <v>268006</v>
      </c>
      <c r="J135" s="44"/>
      <c r="K135" s="44">
        <f>1055753+288736</f>
        <v>1344489</v>
      </c>
      <c r="L135" s="44"/>
      <c r="M135" s="44">
        <f>11062258+708422+380362+1290210</f>
        <v>13441252</v>
      </c>
      <c r="N135" s="44"/>
      <c r="O135" s="44">
        <v>0</v>
      </c>
      <c r="P135" s="44"/>
      <c r="Q135" s="44">
        <v>2398840</v>
      </c>
      <c r="R135" s="44"/>
      <c r="S135" s="44">
        <v>642730</v>
      </c>
      <c r="T135" s="44"/>
      <c r="U135" s="44">
        <v>778084</v>
      </c>
      <c r="V135" s="44"/>
      <c r="W135" s="44">
        <v>0</v>
      </c>
      <c r="X135" s="44"/>
      <c r="Y135" s="44">
        <v>0</v>
      </c>
      <c r="Z135" s="44"/>
      <c r="AA135" s="44">
        <f t="shared" si="2"/>
        <v>18605395</v>
      </c>
      <c r="AB135" s="44"/>
      <c r="AC135" s="44">
        <f t="shared" si="3"/>
        <v>25174584</v>
      </c>
    </row>
    <row r="136" spans="1:29" s="47" customFormat="1" ht="12.75" customHeight="1">
      <c r="A136" s="47" t="s">
        <v>162</v>
      </c>
      <c r="C136" s="47" t="s">
        <v>163</v>
      </c>
      <c r="E136" s="44">
        <v>3606141</v>
      </c>
      <c r="F136" s="44"/>
      <c r="G136" s="44">
        <v>1139735</v>
      </c>
      <c r="H136" s="44"/>
      <c r="I136" s="44">
        <v>938673</v>
      </c>
      <c r="J136" s="44"/>
      <c r="K136" s="44">
        <v>1987788</v>
      </c>
      <c r="L136" s="44"/>
      <c r="M136" s="44">
        <v>15332506</v>
      </c>
      <c r="N136" s="44"/>
      <c r="O136" s="44">
        <v>0</v>
      </c>
      <c r="P136" s="44"/>
      <c r="Q136" s="44">
        <v>2295787</v>
      </c>
      <c r="R136" s="44"/>
      <c r="S136" s="44">
        <v>1019797</v>
      </c>
      <c r="T136" s="44"/>
      <c r="U136" s="44">
        <v>650879</v>
      </c>
      <c r="V136" s="44"/>
      <c r="W136" s="44">
        <v>3913</v>
      </c>
      <c r="X136" s="44"/>
      <c r="Y136" s="44">
        <v>0</v>
      </c>
      <c r="Z136" s="44"/>
      <c r="AA136" s="44">
        <f t="shared" si="2"/>
        <v>21290670</v>
      </c>
      <c r="AB136" s="44"/>
      <c r="AC136" s="44">
        <f t="shared" si="3"/>
        <v>26975219</v>
      </c>
    </row>
    <row r="137" spans="1:29" s="47" customFormat="1" ht="12.75" customHeight="1">
      <c r="A137" s="47" t="s">
        <v>164</v>
      </c>
      <c r="C137" s="47" t="s">
        <v>27</v>
      </c>
      <c r="E137" s="44">
        <v>2002177</v>
      </c>
      <c r="F137" s="44"/>
      <c r="G137" s="44">
        <v>885584</v>
      </c>
      <c r="H137" s="44"/>
      <c r="I137" s="44">
        <v>467702</v>
      </c>
      <c r="J137" s="44"/>
      <c r="K137" s="44">
        <f>3560830+1306936+311169</f>
        <v>5178935</v>
      </c>
      <c r="L137" s="44"/>
      <c r="M137" s="44">
        <v>11117155</v>
      </c>
      <c r="N137" s="44"/>
      <c r="O137" s="44">
        <v>158795</v>
      </c>
      <c r="P137" s="44"/>
      <c r="Q137" s="44">
        <v>2768227</v>
      </c>
      <c r="R137" s="44"/>
      <c r="S137" s="44">
        <v>824948</v>
      </c>
      <c r="T137" s="44"/>
      <c r="U137" s="44">
        <v>149132</v>
      </c>
      <c r="V137" s="44"/>
      <c r="W137" s="44">
        <v>0</v>
      </c>
      <c r="X137" s="44"/>
      <c r="Y137" s="44">
        <v>0</v>
      </c>
      <c r="Z137" s="44"/>
      <c r="AA137" s="44">
        <f t="shared" si="2"/>
        <v>20197192</v>
      </c>
      <c r="AB137" s="44"/>
      <c r="AC137" s="44">
        <f t="shared" si="3"/>
        <v>23552655</v>
      </c>
    </row>
    <row r="138" spans="1:29" s="47" customFormat="1" ht="12.75" customHeight="1">
      <c r="A138" s="47" t="s">
        <v>53</v>
      </c>
      <c r="C138" s="47" t="s">
        <v>53</v>
      </c>
      <c r="E138" s="44">
        <v>3857544</v>
      </c>
      <c r="F138" s="44"/>
      <c r="G138" s="44">
        <v>2874606</v>
      </c>
      <c r="H138" s="44"/>
      <c r="I138" s="44">
        <v>46226</v>
      </c>
      <c r="J138" s="44"/>
      <c r="K138" s="44">
        <f>1369911+1812492+29484</f>
        <v>3211887</v>
      </c>
      <c r="L138" s="44"/>
      <c r="M138" s="44">
        <f>2463350+8901542+995224</f>
        <v>12360116</v>
      </c>
      <c r="N138" s="44"/>
      <c r="O138" s="44">
        <v>0</v>
      </c>
      <c r="P138" s="44"/>
      <c r="Q138" s="44">
        <v>1408929</v>
      </c>
      <c r="R138" s="44"/>
      <c r="S138" s="44">
        <v>660744</v>
      </c>
      <c r="T138" s="44"/>
      <c r="U138" s="44">
        <v>110036</v>
      </c>
      <c r="V138" s="44"/>
      <c r="W138" s="44">
        <v>0</v>
      </c>
      <c r="X138" s="44"/>
      <c r="Y138" s="44">
        <v>0</v>
      </c>
      <c r="Z138" s="44"/>
      <c r="AA138" s="44">
        <f t="shared" si="2"/>
        <v>17751712</v>
      </c>
      <c r="AB138" s="44"/>
      <c r="AC138" s="44">
        <f t="shared" si="3"/>
        <v>24530088</v>
      </c>
    </row>
    <row r="139" spans="1:29" s="47" customFormat="1" ht="12.75" customHeight="1">
      <c r="A139" s="47" t="s">
        <v>165</v>
      </c>
      <c r="C139" s="47" t="s">
        <v>92</v>
      </c>
      <c r="E139" s="44">
        <v>9326923</v>
      </c>
      <c r="F139" s="44"/>
      <c r="G139" s="44">
        <v>1312519</v>
      </c>
      <c r="H139" s="44"/>
      <c r="I139" s="44">
        <v>11501159</v>
      </c>
      <c r="J139" s="44"/>
      <c r="K139" s="44">
        <f>1943948+2215269+1901892</f>
        <v>6061109</v>
      </c>
      <c r="L139" s="44"/>
      <c r="M139" s="44">
        <v>32831801</v>
      </c>
      <c r="N139" s="44"/>
      <c r="O139" s="44">
        <f>424852+7692358</f>
        <v>8117210</v>
      </c>
      <c r="P139" s="44"/>
      <c r="Q139" s="44">
        <v>79068</v>
      </c>
      <c r="R139" s="44"/>
      <c r="S139" s="44">
        <v>307232</v>
      </c>
      <c r="T139" s="44"/>
      <c r="U139" s="44">
        <v>92459</v>
      </c>
      <c r="V139" s="44"/>
      <c r="W139" s="44">
        <v>0</v>
      </c>
      <c r="X139" s="44"/>
      <c r="Y139" s="44">
        <v>0</v>
      </c>
      <c r="Z139" s="44"/>
      <c r="AA139" s="44">
        <f t="shared" si="2"/>
        <v>47488879</v>
      </c>
      <c r="AB139" s="44"/>
      <c r="AC139" s="44">
        <f t="shared" si="3"/>
        <v>69629480</v>
      </c>
    </row>
    <row r="140" spans="1:29" s="47" customFormat="1" ht="12.75" customHeight="1">
      <c r="A140" s="47" t="s">
        <v>166</v>
      </c>
      <c r="C140" s="47" t="s">
        <v>92</v>
      </c>
      <c r="E140" s="44">
        <v>489847</v>
      </c>
      <c r="F140" s="44"/>
      <c r="G140" s="44">
        <v>344862</v>
      </c>
      <c r="H140" s="44"/>
      <c r="I140" s="44">
        <v>1363620</v>
      </c>
      <c r="J140" s="44"/>
      <c r="K140" s="44">
        <f>371345+611+1350780</f>
        <v>1722736</v>
      </c>
      <c r="L140" s="44"/>
      <c r="M140" s="44">
        <v>925689</v>
      </c>
      <c r="N140" s="44"/>
      <c r="O140" s="44">
        <v>0</v>
      </c>
      <c r="P140" s="44"/>
      <c r="Q140" s="44">
        <v>948881</v>
      </c>
      <c r="R140" s="44"/>
      <c r="S140" s="44">
        <v>30573</v>
      </c>
      <c r="T140" s="44"/>
      <c r="U140" s="44">
        <v>28212</v>
      </c>
      <c r="V140" s="44"/>
      <c r="W140" s="44">
        <v>0</v>
      </c>
      <c r="X140" s="44"/>
      <c r="Y140" s="44">
        <v>0</v>
      </c>
      <c r="Z140" s="44"/>
      <c r="AA140" s="44">
        <f t="shared" si="2"/>
        <v>3656091</v>
      </c>
      <c r="AB140" s="44"/>
      <c r="AC140" s="44">
        <f t="shared" si="3"/>
        <v>5854420</v>
      </c>
    </row>
    <row r="141" spans="1:29" s="47" customFormat="1" ht="12.75" customHeight="1">
      <c r="A141" s="47" t="s">
        <v>167</v>
      </c>
      <c r="C141" s="47" t="s">
        <v>66</v>
      </c>
      <c r="E141" s="44">
        <v>4442122</v>
      </c>
      <c r="F141" s="44"/>
      <c r="G141" s="44">
        <v>1583347</v>
      </c>
      <c r="H141" s="44"/>
      <c r="I141" s="44">
        <v>503070</v>
      </c>
      <c r="J141" s="44"/>
      <c r="K141" s="44">
        <f>1749705+58488+792083+272714</f>
        <v>2872990</v>
      </c>
      <c r="L141" s="44"/>
      <c r="M141" s="44">
        <f>6789560+1957609</f>
        <v>8747169</v>
      </c>
      <c r="N141" s="44"/>
      <c r="O141" s="44">
        <v>0</v>
      </c>
      <c r="P141" s="44"/>
      <c r="Q141" s="44">
        <v>1727951</v>
      </c>
      <c r="R141" s="44"/>
      <c r="S141" s="44">
        <v>881549</v>
      </c>
      <c r="T141" s="44"/>
      <c r="U141" s="44">
        <v>782195</v>
      </c>
      <c r="V141" s="44"/>
      <c r="W141" s="44">
        <v>-270000</v>
      </c>
      <c r="X141" s="44"/>
      <c r="Y141" s="44">
        <v>0</v>
      </c>
      <c r="Z141" s="44"/>
      <c r="AA141" s="44">
        <f t="shared" si="2"/>
        <v>14741854</v>
      </c>
      <c r="AB141" s="44"/>
      <c r="AC141" s="44">
        <f t="shared" si="3"/>
        <v>21270393</v>
      </c>
    </row>
    <row r="142" spans="1:29" s="47" customFormat="1" ht="12.75" customHeight="1">
      <c r="A142" s="44" t="s">
        <v>168</v>
      </c>
      <c r="C142" s="44" t="s">
        <v>27</v>
      </c>
      <c r="D142" s="44"/>
      <c r="E142" s="44">
        <v>2644590</v>
      </c>
      <c r="F142" s="44"/>
      <c r="G142" s="44">
        <v>875100</v>
      </c>
      <c r="H142" s="44"/>
      <c r="I142" s="44">
        <v>162694</v>
      </c>
      <c r="J142" s="44"/>
      <c r="K142" s="44">
        <f>2082355+459118+306078+168159</f>
        <v>3015710</v>
      </c>
      <c r="L142" s="44"/>
      <c r="M142" s="44">
        <f>11285237+1894990+1596976+1587193</f>
        <v>16364396</v>
      </c>
      <c r="N142" s="44"/>
      <c r="O142" s="44">
        <v>0</v>
      </c>
      <c r="P142" s="44"/>
      <c r="Q142" s="44">
        <v>1794816</v>
      </c>
      <c r="R142" s="44"/>
      <c r="S142" s="44">
        <v>339326</v>
      </c>
      <c r="T142" s="44"/>
      <c r="U142" s="44">
        <v>422040</v>
      </c>
      <c r="V142" s="44"/>
      <c r="W142" s="44">
        <v>0</v>
      </c>
      <c r="X142" s="44"/>
      <c r="Y142" s="44">
        <v>0</v>
      </c>
      <c r="Z142" s="44"/>
      <c r="AA142" s="44">
        <f t="shared" si="2"/>
        <v>21936288</v>
      </c>
      <c r="AB142" s="44"/>
      <c r="AC142" s="44">
        <f t="shared" si="3"/>
        <v>25618672</v>
      </c>
    </row>
    <row r="143" spans="1:29" s="47" customFormat="1" ht="12.75" customHeight="1">
      <c r="A143" s="47" t="s">
        <v>169</v>
      </c>
      <c r="C143" s="47" t="s">
        <v>103</v>
      </c>
      <c r="E143" s="44">
        <v>7640263</v>
      </c>
      <c r="F143" s="44"/>
      <c r="G143" s="44">
        <v>12826812</v>
      </c>
      <c r="H143" s="44"/>
      <c r="I143" s="44">
        <v>8659349</v>
      </c>
      <c r="J143" s="44"/>
      <c r="K143" s="44">
        <v>4965195</v>
      </c>
      <c r="L143" s="44"/>
      <c r="M143" s="44">
        <v>19920927</v>
      </c>
      <c r="N143" s="44"/>
      <c r="O143" s="44">
        <f>2247832+681732</f>
        <v>2929564</v>
      </c>
      <c r="P143" s="44"/>
      <c r="Q143" s="44">
        <v>3349022</v>
      </c>
      <c r="R143" s="44"/>
      <c r="S143" s="44">
        <v>686034</v>
      </c>
      <c r="T143" s="44"/>
      <c r="U143" s="44">
        <v>997551</v>
      </c>
      <c r="V143" s="44"/>
      <c r="W143" s="44">
        <v>56444</v>
      </c>
      <c r="X143" s="44"/>
      <c r="Y143" s="44">
        <v>0</v>
      </c>
      <c r="Z143" s="44"/>
      <c r="AA143" s="44">
        <f t="shared" si="2"/>
        <v>32904737</v>
      </c>
      <c r="AB143" s="44"/>
      <c r="AC143" s="44">
        <f t="shared" si="3"/>
        <v>62031161</v>
      </c>
    </row>
    <row r="144" spans="1:29" s="47" customFormat="1" ht="12.75" customHeight="1">
      <c r="A144" s="47" t="s">
        <v>170</v>
      </c>
      <c r="C144" s="47" t="s">
        <v>171</v>
      </c>
      <c r="E144" s="44">
        <v>386013</v>
      </c>
      <c r="F144" s="44"/>
      <c r="G144" s="44">
        <v>331612</v>
      </c>
      <c r="H144" s="44"/>
      <c r="I144" s="44">
        <v>0</v>
      </c>
      <c r="J144" s="44"/>
      <c r="K144" s="44">
        <v>2092461</v>
      </c>
      <c r="L144" s="44"/>
      <c r="M144" s="44">
        <v>2641460</v>
      </c>
      <c r="N144" s="44"/>
      <c r="O144" s="44">
        <f>94749+84166+166085+88218+317525+72965</f>
        <v>823708</v>
      </c>
      <c r="P144" s="44"/>
      <c r="Q144" s="44">
        <v>938686</v>
      </c>
      <c r="R144" s="44"/>
      <c r="S144" s="44">
        <v>187006</v>
      </c>
      <c r="T144" s="44"/>
      <c r="U144" s="44">
        <v>42676</v>
      </c>
      <c r="V144" s="44"/>
      <c r="W144" s="44">
        <v>0</v>
      </c>
      <c r="X144" s="44"/>
      <c r="Y144" s="44">
        <v>0</v>
      </c>
      <c r="Z144" s="44"/>
      <c r="AA144" s="44">
        <f t="shared" si="2"/>
        <v>6725997</v>
      </c>
      <c r="AB144" s="44"/>
      <c r="AC144" s="44">
        <f t="shared" si="3"/>
        <v>7443622</v>
      </c>
    </row>
    <row r="145" spans="1:29" s="47" customFormat="1" ht="12.75" customHeight="1">
      <c r="A145" s="47" t="s">
        <v>172</v>
      </c>
      <c r="C145" s="47" t="s">
        <v>103</v>
      </c>
      <c r="E145" s="44">
        <v>2104585</v>
      </c>
      <c r="F145" s="44"/>
      <c r="G145" s="44">
        <v>18002888</v>
      </c>
      <c r="H145" s="44"/>
      <c r="I145" s="44">
        <v>4392382</v>
      </c>
      <c r="J145" s="44"/>
      <c r="K145" s="44">
        <v>2036484</v>
      </c>
      <c r="L145" s="44"/>
      <c r="M145" s="44">
        <v>5427919</v>
      </c>
      <c r="N145" s="44"/>
      <c r="O145" s="44">
        <f>390016+166203+34542+844205+92507</f>
        <v>1527473</v>
      </c>
      <c r="P145" s="44"/>
      <c r="Q145" s="44">
        <v>1462682</v>
      </c>
      <c r="R145" s="44"/>
      <c r="S145" s="44">
        <v>365994</v>
      </c>
      <c r="T145" s="44"/>
      <c r="U145" s="44">
        <v>120274</v>
      </c>
      <c r="V145" s="44"/>
      <c r="W145" s="44">
        <v>22500</v>
      </c>
      <c r="X145" s="44"/>
      <c r="Y145" s="44">
        <v>0</v>
      </c>
      <c r="Z145" s="44"/>
      <c r="AA145" s="44">
        <f t="shared" si="2"/>
        <v>10963326</v>
      </c>
      <c r="AB145" s="44"/>
      <c r="AC145" s="44">
        <f t="shared" si="3"/>
        <v>35463181</v>
      </c>
    </row>
    <row r="146" spans="1:29" s="47" customFormat="1" ht="12.75" customHeight="1">
      <c r="A146" s="47" t="s">
        <v>66</v>
      </c>
      <c r="C146" s="47" t="s">
        <v>45</v>
      </c>
      <c r="E146" s="44">
        <v>1035107</v>
      </c>
      <c r="F146" s="44"/>
      <c r="G146" s="44">
        <v>1152496</v>
      </c>
      <c r="H146" s="44"/>
      <c r="I146" s="44">
        <v>141356</v>
      </c>
      <c r="J146" s="44"/>
      <c r="K146" s="44">
        <v>4744451</v>
      </c>
      <c r="L146" s="44"/>
      <c r="M146" s="44">
        <v>7248439</v>
      </c>
      <c r="N146" s="44"/>
      <c r="O146" s="44">
        <v>703870</v>
      </c>
      <c r="P146" s="44"/>
      <c r="Q146" s="44">
        <v>809573</v>
      </c>
      <c r="R146" s="44"/>
      <c r="S146" s="44">
        <v>848844</v>
      </c>
      <c r="T146" s="44"/>
      <c r="U146" s="44">
        <v>333492</v>
      </c>
      <c r="V146" s="44"/>
      <c r="W146" s="44">
        <v>0</v>
      </c>
      <c r="X146" s="44"/>
      <c r="Y146" s="44">
        <v>0</v>
      </c>
      <c r="Z146" s="44"/>
      <c r="AA146" s="44">
        <f>SUM(K146:Y146)</f>
        <v>14688669</v>
      </c>
      <c r="AB146" s="44"/>
      <c r="AC146" s="44">
        <f t="shared" si="3"/>
        <v>17017628</v>
      </c>
    </row>
    <row r="147" spans="1:29" s="47" customFormat="1" ht="12.75" customHeight="1">
      <c r="A147" s="47" t="s">
        <v>173</v>
      </c>
      <c r="C147" s="47" t="s">
        <v>66</v>
      </c>
      <c r="E147" s="44">
        <v>1138959</v>
      </c>
      <c r="F147" s="44"/>
      <c r="G147" s="44">
        <v>286391</v>
      </c>
      <c r="H147" s="44"/>
      <c r="I147" s="44">
        <v>337354</v>
      </c>
      <c r="J147" s="44"/>
      <c r="K147" s="44">
        <f>567481+64743+64743</f>
        <v>696967</v>
      </c>
      <c r="L147" s="44"/>
      <c r="M147" s="44">
        <v>15332598</v>
      </c>
      <c r="N147" s="44"/>
      <c r="O147" s="44">
        <v>66267</v>
      </c>
      <c r="P147" s="44"/>
      <c r="Q147" s="44">
        <v>1077507</v>
      </c>
      <c r="R147" s="44"/>
      <c r="S147" s="44">
        <v>1255221</v>
      </c>
      <c r="T147" s="44"/>
      <c r="U147" s="44">
        <f>105050-1925</f>
        <v>103125</v>
      </c>
      <c r="V147" s="44"/>
      <c r="W147" s="44">
        <v>0</v>
      </c>
      <c r="X147" s="44"/>
      <c r="Y147" s="44">
        <v>0</v>
      </c>
      <c r="Z147" s="44"/>
      <c r="AA147" s="44">
        <f t="shared" ref="AA147:AA213" si="4">SUM(K147:Y147)</f>
        <v>18531685</v>
      </c>
      <c r="AB147" s="44"/>
      <c r="AC147" s="44">
        <f t="shared" ref="AC147:AC213" si="5">SUM(E147:Y147)</f>
        <v>20294389</v>
      </c>
    </row>
    <row r="148" spans="1:29" s="47" customFormat="1" ht="12.75" customHeight="1">
      <c r="A148" s="47" t="s">
        <v>174</v>
      </c>
      <c r="C148" s="47" t="s">
        <v>45</v>
      </c>
      <c r="E148" s="44">
        <v>947680</v>
      </c>
      <c r="F148" s="44"/>
      <c r="G148" s="44">
        <v>347168</v>
      </c>
      <c r="H148" s="44"/>
      <c r="I148" s="44">
        <v>24200</v>
      </c>
      <c r="J148" s="44"/>
      <c r="K148" s="44">
        <f>372915+103478+383766</f>
        <v>860159</v>
      </c>
      <c r="L148" s="44"/>
      <c r="M148" s="44">
        <v>1332658</v>
      </c>
      <c r="N148" s="44"/>
      <c r="O148" s="44">
        <v>60442</v>
      </c>
      <c r="P148" s="44"/>
      <c r="Q148" s="44">
        <v>298246</v>
      </c>
      <c r="R148" s="44"/>
      <c r="S148" s="44">
        <f>1005+4327</f>
        <v>5332</v>
      </c>
      <c r="T148" s="44"/>
      <c r="U148" s="44">
        <f>133180+68555</f>
        <v>201735</v>
      </c>
      <c r="V148" s="44"/>
      <c r="W148" s="44">
        <v>0</v>
      </c>
      <c r="X148" s="44"/>
      <c r="Y148" s="44">
        <v>0</v>
      </c>
      <c r="Z148" s="44"/>
      <c r="AA148" s="44">
        <f t="shared" si="4"/>
        <v>2758572</v>
      </c>
      <c r="AB148" s="44"/>
      <c r="AC148" s="44">
        <f t="shared" si="5"/>
        <v>4077620</v>
      </c>
    </row>
    <row r="149" spans="1:29" s="47" customFormat="1" ht="12.75" customHeight="1">
      <c r="A149" s="47" t="s">
        <v>175</v>
      </c>
      <c r="C149" s="47" t="s">
        <v>176</v>
      </c>
      <c r="E149" s="44">
        <v>2249127</v>
      </c>
      <c r="F149" s="44"/>
      <c r="G149" s="44">
        <v>1761824</v>
      </c>
      <c r="H149" s="44"/>
      <c r="I149" s="44">
        <v>447392</v>
      </c>
      <c r="J149" s="44"/>
      <c r="K149" s="44">
        <f>632956+158796+1176352</f>
        <v>1968104</v>
      </c>
      <c r="L149" s="44"/>
      <c r="M149" s="44">
        <v>10359164</v>
      </c>
      <c r="N149" s="44"/>
      <c r="O149" s="44">
        <v>99236</v>
      </c>
      <c r="P149" s="44"/>
      <c r="Q149" s="44">
        <v>842850</v>
      </c>
      <c r="R149" s="44"/>
      <c r="S149" s="44">
        <v>421642</v>
      </c>
      <c r="T149" s="44"/>
      <c r="U149" s="44">
        <v>243948</v>
      </c>
      <c r="V149" s="44"/>
      <c r="W149" s="44">
        <v>0</v>
      </c>
      <c r="X149" s="44"/>
      <c r="Y149" s="44">
        <v>0</v>
      </c>
      <c r="Z149" s="44"/>
      <c r="AA149" s="44">
        <f t="shared" si="4"/>
        <v>13934944</v>
      </c>
      <c r="AB149" s="44"/>
      <c r="AC149" s="44">
        <f t="shared" si="5"/>
        <v>18393287</v>
      </c>
    </row>
    <row r="150" spans="1:29" s="47" customFormat="1" ht="12.75" customHeight="1">
      <c r="A150" s="47" t="s">
        <v>177</v>
      </c>
      <c r="C150" s="47" t="s">
        <v>13</v>
      </c>
      <c r="E150" s="44">
        <v>241988</v>
      </c>
      <c r="F150" s="44"/>
      <c r="G150" s="44">
        <v>438485</v>
      </c>
      <c r="H150" s="44"/>
      <c r="I150" s="44">
        <v>11590</v>
      </c>
      <c r="J150" s="44"/>
      <c r="K150" s="44">
        <f>252038+156533+177404+186556</f>
        <v>772531</v>
      </c>
      <c r="L150" s="44"/>
      <c r="M150" s="44">
        <f>980693+173770</f>
        <v>1154463</v>
      </c>
      <c r="N150" s="44"/>
      <c r="O150" s="44">
        <v>0</v>
      </c>
      <c r="P150" s="44"/>
      <c r="Q150" s="44">
        <v>592149</v>
      </c>
      <c r="R150" s="44"/>
      <c r="S150" s="44">
        <v>226901</v>
      </c>
      <c r="T150" s="44"/>
      <c r="U150" s="44">
        <v>58466</v>
      </c>
      <c r="V150" s="44"/>
      <c r="W150" s="44">
        <v>0</v>
      </c>
      <c r="X150" s="44"/>
      <c r="Y150" s="44">
        <v>0</v>
      </c>
      <c r="Z150" s="44"/>
      <c r="AA150" s="44">
        <f t="shared" si="4"/>
        <v>2804510</v>
      </c>
      <c r="AB150" s="44"/>
      <c r="AC150" s="44">
        <f t="shared" si="5"/>
        <v>3496573</v>
      </c>
    </row>
    <row r="151" spans="1:29" s="47" customFormat="1" ht="12.75" customHeight="1">
      <c r="A151" s="47" t="s">
        <v>178</v>
      </c>
      <c r="C151" s="47" t="s">
        <v>179</v>
      </c>
      <c r="E151" s="44">
        <v>1442866</v>
      </c>
      <c r="F151" s="44"/>
      <c r="G151" s="44">
        <v>634910</v>
      </c>
      <c r="H151" s="44"/>
      <c r="I151" s="44">
        <v>797</v>
      </c>
      <c r="J151" s="44"/>
      <c r="K151" s="44">
        <v>494106</v>
      </c>
      <c r="L151" s="44"/>
      <c r="M151" s="44">
        <v>2255314</v>
      </c>
      <c r="N151" s="44"/>
      <c r="O151" s="44">
        <v>536676</v>
      </c>
      <c r="P151" s="44"/>
      <c r="Q151" s="44">
        <v>5953</v>
      </c>
      <c r="R151" s="44"/>
      <c r="S151" s="44">
        <v>403619</v>
      </c>
      <c r="T151" s="44"/>
      <c r="U151" s="44">
        <v>202010</v>
      </c>
      <c r="V151" s="44"/>
      <c r="W151" s="44">
        <v>2260946</v>
      </c>
      <c r="X151" s="44"/>
      <c r="Y151" s="44">
        <v>0</v>
      </c>
      <c r="Z151" s="44"/>
      <c r="AA151" s="44">
        <f t="shared" si="4"/>
        <v>6158624</v>
      </c>
      <c r="AB151" s="44"/>
      <c r="AC151" s="44">
        <f t="shared" si="5"/>
        <v>8237197</v>
      </c>
    </row>
    <row r="152" spans="1:29" s="122" customFormat="1" ht="12.75" hidden="1" customHeight="1">
      <c r="A152" s="47" t="s">
        <v>180</v>
      </c>
      <c r="B152" s="47"/>
      <c r="C152" s="47" t="s">
        <v>20</v>
      </c>
      <c r="D152" s="47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>
        <f t="shared" si="4"/>
        <v>0</v>
      </c>
      <c r="AB152" s="44"/>
      <c r="AC152" s="44">
        <f t="shared" si="5"/>
        <v>0</v>
      </c>
    </row>
    <row r="153" spans="1:29" s="47" customFormat="1" ht="12.75" customHeight="1">
      <c r="A153" s="47" t="s">
        <v>182</v>
      </c>
      <c r="C153" s="47" t="s">
        <v>183</v>
      </c>
      <c r="E153" s="44">
        <v>553238</v>
      </c>
      <c r="F153" s="44"/>
      <c r="G153" s="44">
        <v>398540</v>
      </c>
      <c r="H153" s="44"/>
      <c r="I153" s="44">
        <v>54726</v>
      </c>
      <c r="J153" s="44"/>
      <c r="K153" s="44">
        <v>551892</v>
      </c>
      <c r="L153" s="44"/>
      <c r="M153" s="44">
        <v>995941</v>
      </c>
      <c r="N153" s="44"/>
      <c r="O153" s="44">
        <f>7014+26978</f>
        <v>33992</v>
      </c>
      <c r="P153" s="44"/>
      <c r="Q153" s="44">
        <v>109198</v>
      </c>
      <c r="R153" s="44"/>
      <c r="S153" s="44">
        <v>0</v>
      </c>
      <c r="T153" s="44"/>
      <c r="U153" s="44">
        <v>70642</v>
      </c>
      <c r="V153" s="44"/>
      <c r="W153" s="44">
        <v>-17129</v>
      </c>
      <c r="X153" s="44"/>
      <c r="Y153" s="44">
        <v>0</v>
      </c>
      <c r="Z153" s="44"/>
      <c r="AA153" s="44">
        <f t="shared" si="4"/>
        <v>1744536</v>
      </c>
      <c r="AB153" s="44"/>
      <c r="AC153" s="44">
        <f t="shared" si="5"/>
        <v>2751040</v>
      </c>
    </row>
    <row r="154" spans="1:29" s="47" customFormat="1" ht="12.75" customHeight="1">
      <c r="A154" s="47" t="s">
        <v>487</v>
      </c>
      <c r="C154" s="47" t="s">
        <v>13</v>
      </c>
      <c r="E154" s="44">
        <v>437399</v>
      </c>
      <c r="F154" s="44"/>
      <c r="G154" s="44">
        <v>819578</v>
      </c>
      <c r="H154" s="44"/>
      <c r="I154" s="44">
        <v>0</v>
      </c>
      <c r="J154" s="44"/>
      <c r="K154" s="44">
        <f>158449+388919+2378133</f>
        <v>2925501</v>
      </c>
      <c r="L154" s="44"/>
      <c r="M154" s="44">
        <f>1159287+50076</f>
        <v>1209363</v>
      </c>
      <c r="N154" s="44"/>
      <c r="O154" s="44">
        <v>0</v>
      </c>
      <c r="P154" s="44"/>
      <c r="Q154" s="44">
        <v>1482727</v>
      </c>
      <c r="R154" s="44"/>
      <c r="S154" s="44">
        <v>71218</v>
      </c>
      <c r="T154" s="44"/>
      <c r="U154" s="44">
        <v>63801</v>
      </c>
      <c r="V154" s="44"/>
      <c r="W154" s="44">
        <v>0</v>
      </c>
      <c r="X154" s="44"/>
      <c r="Y154" s="44">
        <v>0</v>
      </c>
      <c r="Z154" s="44"/>
      <c r="AA154" s="44">
        <f>SUM(K154:Y154)</f>
        <v>5752610</v>
      </c>
      <c r="AB154" s="44"/>
      <c r="AC154" s="44">
        <f>SUM(E154:Y154)</f>
        <v>7009587</v>
      </c>
    </row>
    <row r="155" spans="1:29" s="47" customFormat="1" ht="12.75" customHeight="1">
      <c r="A155" s="47" t="s">
        <v>184</v>
      </c>
      <c r="C155" s="47" t="s">
        <v>89</v>
      </c>
      <c r="E155" s="44">
        <v>2105232</v>
      </c>
      <c r="F155" s="44"/>
      <c r="G155" s="44">
        <v>1322159</v>
      </c>
      <c r="H155" s="44"/>
      <c r="I155" s="44">
        <v>1211813</v>
      </c>
      <c r="J155" s="44"/>
      <c r="K155" s="44">
        <f>941315+177487</f>
        <v>1118802</v>
      </c>
      <c r="L155" s="44"/>
      <c r="M155" s="44">
        <f>4080049+1801394</f>
        <v>5881443</v>
      </c>
      <c r="N155" s="44"/>
      <c r="O155" s="44">
        <v>0</v>
      </c>
      <c r="P155" s="44"/>
      <c r="Q155" s="44">
        <v>1290565</v>
      </c>
      <c r="R155" s="44"/>
      <c r="S155" s="44">
        <v>190345</v>
      </c>
      <c r="T155" s="44"/>
      <c r="U155" s="44">
        <v>112940</v>
      </c>
      <c r="V155" s="44"/>
      <c r="W155" s="44">
        <v>-587565</v>
      </c>
      <c r="X155" s="44"/>
      <c r="Y155" s="44">
        <v>17075</v>
      </c>
      <c r="Z155" s="44"/>
      <c r="AA155" s="44">
        <f t="shared" si="4"/>
        <v>8023605</v>
      </c>
      <c r="AB155" s="44"/>
      <c r="AC155" s="44">
        <f t="shared" si="5"/>
        <v>12662809</v>
      </c>
    </row>
    <row r="156" spans="1:29" s="47" customFormat="1" ht="12.75" customHeight="1">
      <c r="A156" s="47" t="s">
        <v>181</v>
      </c>
      <c r="C156" s="47" t="s">
        <v>125</v>
      </c>
      <c r="E156" s="44">
        <v>5096290</v>
      </c>
      <c r="F156" s="44"/>
      <c r="G156" s="44">
        <v>4730482</v>
      </c>
      <c r="H156" s="44"/>
      <c r="I156" s="44">
        <v>10000</v>
      </c>
      <c r="J156" s="44"/>
      <c r="K156" s="44">
        <f>2189609+436568+282935</f>
        <v>2909112</v>
      </c>
      <c r="L156" s="44"/>
      <c r="M156" s="44">
        <v>20899162</v>
      </c>
      <c r="N156" s="44"/>
      <c r="O156" s="44">
        <v>366551</v>
      </c>
      <c r="P156" s="44"/>
      <c r="Q156" s="44">
        <v>3264236</v>
      </c>
      <c r="R156" s="44"/>
      <c r="S156" s="44">
        <v>636922</v>
      </c>
      <c r="T156" s="44"/>
      <c r="U156" s="44">
        <v>431212</v>
      </c>
      <c r="V156" s="44"/>
      <c r="W156" s="44">
        <v>924993</v>
      </c>
      <c r="X156" s="44"/>
      <c r="Y156" s="44">
        <v>0</v>
      </c>
      <c r="Z156" s="44"/>
      <c r="AA156" s="44">
        <f t="shared" ref="AA156" si="6">SUM(K156:Y156)</f>
        <v>29432188</v>
      </c>
      <c r="AB156" s="44"/>
      <c r="AC156" s="44">
        <f t="shared" si="5"/>
        <v>39268960</v>
      </c>
    </row>
    <row r="157" spans="1:29" s="47" customFormat="1" ht="12.75" customHeight="1">
      <c r="A157" s="47" t="s">
        <v>185</v>
      </c>
      <c r="C157" s="47" t="s">
        <v>80</v>
      </c>
      <c r="E157" s="44">
        <v>2109847</v>
      </c>
      <c r="F157" s="44"/>
      <c r="G157" s="44">
        <v>1413029</v>
      </c>
      <c r="H157" s="44"/>
      <c r="I157" s="44">
        <v>0</v>
      </c>
      <c r="J157" s="44"/>
      <c r="K157" s="44">
        <f>1627074+367569</f>
        <v>1994643</v>
      </c>
      <c r="L157" s="44"/>
      <c r="M157" s="44">
        <f>3830555+1957511</f>
        <v>5788066</v>
      </c>
      <c r="N157" s="44"/>
      <c r="O157" s="44">
        <v>0</v>
      </c>
      <c r="P157" s="44"/>
      <c r="Q157" s="44">
        <v>655000</v>
      </c>
      <c r="R157" s="44"/>
      <c r="S157" s="44">
        <v>578639</v>
      </c>
      <c r="T157" s="44"/>
      <c r="U157" s="44">
        <v>443518</v>
      </c>
      <c r="V157" s="44"/>
      <c r="W157" s="44">
        <v>0</v>
      </c>
      <c r="X157" s="44"/>
      <c r="Y157" s="44">
        <v>0</v>
      </c>
      <c r="Z157" s="44"/>
      <c r="AA157" s="44">
        <f t="shared" si="4"/>
        <v>9459866</v>
      </c>
      <c r="AB157" s="44"/>
      <c r="AC157" s="44">
        <f t="shared" si="5"/>
        <v>12982742</v>
      </c>
    </row>
    <row r="158" spans="1:29" s="47" customFormat="1" ht="12.75" customHeight="1">
      <c r="A158" s="47" t="s">
        <v>186</v>
      </c>
      <c r="C158" s="47" t="s">
        <v>15</v>
      </c>
      <c r="E158" s="44">
        <v>1108642</v>
      </c>
      <c r="F158" s="44"/>
      <c r="G158" s="44">
        <v>896344</v>
      </c>
      <c r="H158" s="44"/>
      <c r="I158" s="44">
        <v>69063</v>
      </c>
      <c r="J158" s="44"/>
      <c r="K158" s="44">
        <f>836437+83655+149878+323116+323116</f>
        <v>1716202</v>
      </c>
      <c r="L158" s="44"/>
      <c r="M158" s="44">
        <f>4465795+1106163</f>
        <v>5571958</v>
      </c>
      <c r="N158" s="44"/>
      <c r="O158" s="44">
        <v>0</v>
      </c>
      <c r="P158" s="44"/>
      <c r="Q158" s="44">
        <v>2041947</v>
      </c>
      <c r="R158" s="44"/>
      <c r="S158" s="44">
        <v>324488</v>
      </c>
      <c r="T158" s="44"/>
      <c r="U158" s="44">
        <v>109857</v>
      </c>
      <c r="V158" s="44"/>
      <c r="W158" s="44">
        <v>59081</v>
      </c>
      <c r="X158" s="44"/>
      <c r="Y158" s="44">
        <v>0</v>
      </c>
      <c r="Z158" s="44"/>
      <c r="AA158" s="44">
        <f t="shared" si="4"/>
        <v>9823533</v>
      </c>
      <c r="AB158" s="44"/>
      <c r="AC158" s="44">
        <f t="shared" si="5"/>
        <v>11897582</v>
      </c>
    </row>
    <row r="159" spans="1:29" s="44" customFormat="1" ht="12.75" customHeight="1">
      <c r="A159" s="44" t="s">
        <v>187</v>
      </c>
      <c r="C159" s="44" t="s">
        <v>27</v>
      </c>
      <c r="E159" s="44">
        <v>3894030</v>
      </c>
      <c r="G159" s="44">
        <v>1783155</v>
      </c>
      <c r="I159" s="44">
        <v>161267</v>
      </c>
      <c r="K159" s="44">
        <f>5523588+960189+240048+220689+3924277</f>
        <v>10868791</v>
      </c>
      <c r="M159" s="44">
        <f>9114919+1953197+1953197</f>
        <v>13021313</v>
      </c>
      <c r="O159" s="44">
        <v>0</v>
      </c>
      <c r="Q159" s="44">
        <v>4145745</v>
      </c>
      <c r="S159" s="44">
        <v>531565</v>
      </c>
      <c r="U159" s="44">
        <v>60552</v>
      </c>
      <c r="W159" s="44">
        <v>528542</v>
      </c>
      <c r="Y159" s="44">
        <v>0</v>
      </c>
      <c r="AA159" s="44">
        <f t="shared" si="4"/>
        <v>29156508</v>
      </c>
      <c r="AC159" s="44">
        <f t="shared" si="5"/>
        <v>34994960</v>
      </c>
    </row>
    <row r="160" spans="1:29" s="47" customFormat="1" ht="12.75" customHeight="1">
      <c r="A160" s="47" t="s">
        <v>189</v>
      </c>
      <c r="C160" s="47" t="s">
        <v>17</v>
      </c>
      <c r="E160" s="44">
        <v>4308365</v>
      </c>
      <c r="F160" s="44"/>
      <c r="G160" s="44">
        <v>2084047</v>
      </c>
      <c r="H160" s="44"/>
      <c r="I160" s="44">
        <v>2378816</v>
      </c>
      <c r="J160" s="44"/>
      <c r="K160" s="44">
        <f>1035226+240493+4069626</f>
        <v>5345345</v>
      </c>
      <c r="L160" s="44"/>
      <c r="M160" s="44">
        <v>7846955</v>
      </c>
      <c r="N160" s="44"/>
      <c r="O160" s="44">
        <v>0</v>
      </c>
      <c r="P160" s="44"/>
      <c r="Q160" s="44">
        <v>2208505</v>
      </c>
      <c r="R160" s="44"/>
      <c r="S160" s="44">
        <v>339232</v>
      </c>
      <c r="T160" s="44"/>
      <c r="U160" s="44">
        <v>-219672</v>
      </c>
      <c r="V160" s="44"/>
      <c r="W160" s="44">
        <v>0</v>
      </c>
      <c r="X160" s="44"/>
      <c r="Y160" s="44">
        <v>0</v>
      </c>
      <c r="Z160" s="44"/>
      <c r="AA160" s="44">
        <f t="shared" si="4"/>
        <v>15520365</v>
      </c>
      <c r="AB160" s="44"/>
      <c r="AC160" s="44">
        <f t="shared" si="5"/>
        <v>24291593</v>
      </c>
    </row>
    <row r="161" spans="1:30" s="47" customFormat="1" ht="12.75" customHeight="1">
      <c r="A161" s="47" t="s">
        <v>188</v>
      </c>
      <c r="C161" s="47" t="s">
        <v>27</v>
      </c>
      <c r="E161" s="44">
        <v>2450171</v>
      </c>
      <c r="F161" s="44"/>
      <c r="G161" s="44">
        <v>1939750</v>
      </c>
      <c r="H161" s="44"/>
      <c r="I161" s="44">
        <v>1026840</v>
      </c>
      <c r="J161" s="44"/>
      <c r="K161" s="44">
        <f>876372+3224968+546987</f>
        <v>4648327</v>
      </c>
      <c r="L161" s="44"/>
      <c r="M161" s="44">
        <v>13616289</v>
      </c>
      <c r="N161" s="44"/>
      <c r="O161" s="44">
        <v>3948</v>
      </c>
      <c r="P161" s="44"/>
      <c r="Q161" s="44">
        <v>1970556</v>
      </c>
      <c r="R161" s="44"/>
      <c r="S161" s="44">
        <v>444179</v>
      </c>
      <c r="T161" s="44"/>
      <c r="U161" s="44">
        <v>307279</v>
      </c>
      <c r="V161" s="44"/>
      <c r="W161" s="44">
        <v>-23668</v>
      </c>
      <c r="X161" s="44"/>
      <c r="Y161" s="44">
        <v>0</v>
      </c>
      <c r="Z161" s="44"/>
      <c r="AA161" s="44">
        <f t="shared" si="4"/>
        <v>20966910</v>
      </c>
      <c r="AB161" s="44"/>
      <c r="AC161" s="44">
        <f>SUM(E161:Y161)</f>
        <v>26383671</v>
      </c>
    </row>
    <row r="162" spans="1:30" s="47" customFormat="1" ht="12.75" customHeight="1">
      <c r="A162" s="47" t="s">
        <v>190</v>
      </c>
      <c r="C162" s="47" t="s">
        <v>47</v>
      </c>
      <c r="E162" s="44">
        <v>859914</v>
      </c>
      <c r="F162" s="44"/>
      <c r="G162" s="44">
        <v>380473</v>
      </c>
      <c r="H162" s="44"/>
      <c r="I162" s="44">
        <v>34912</v>
      </c>
      <c r="J162" s="44"/>
      <c r="K162" s="44">
        <v>360753</v>
      </c>
      <c r="L162" s="44"/>
      <c r="M162" s="44">
        <v>4195332</v>
      </c>
      <c r="N162" s="44"/>
      <c r="O162" s="44">
        <v>48851</v>
      </c>
      <c r="P162" s="44"/>
      <c r="Q162" s="44">
        <v>785185</v>
      </c>
      <c r="R162" s="44"/>
      <c r="S162" s="44">
        <v>138404</v>
      </c>
      <c r="T162" s="44"/>
      <c r="U162" s="44">
        <v>94557</v>
      </c>
      <c r="V162" s="44"/>
      <c r="W162" s="44">
        <v>0</v>
      </c>
      <c r="X162" s="44"/>
      <c r="Y162" s="44">
        <v>0</v>
      </c>
      <c r="Z162" s="44"/>
      <c r="AA162" s="44">
        <f t="shared" si="4"/>
        <v>5623082</v>
      </c>
      <c r="AB162" s="44"/>
      <c r="AC162" s="44">
        <f t="shared" si="5"/>
        <v>6898381</v>
      </c>
    </row>
    <row r="163" spans="1:30" s="47" customFormat="1" ht="12.75" customHeight="1">
      <c r="A163" s="47" t="s">
        <v>191</v>
      </c>
      <c r="C163" s="47" t="s">
        <v>13</v>
      </c>
      <c r="E163" s="44">
        <v>1078430</v>
      </c>
      <c r="F163" s="44"/>
      <c r="G163" s="44">
        <v>1027579</v>
      </c>
      <c r="H163" s="44"/>
      <c r="I163" s="44">
        <v>93047</v>
      </c>
      <c r="J163" s="44"/>
      <c r="K163" s="44">
        <f>357431+423795+371831+67018+233768+296817</f>
        <v>1750660</v>
      </c>
      <c r="L163" s="44"/>
      <c r="M163" s="44">
        <v>3903789</v>
      </c>
      <c r="N163" s="44"/>
      <c r="O163" s="44">
        <v>0</v>
      </c>
      <c r="P163" s="44"/>
      <c r="Q163" s="44">
        <v>1577087</v>
      </c>
      <c r="R163" s="44"/>
      <c r="S163" s="44">
        <v>101997</v>
      </c>
      <c r="T163" s="44"/>
      <c r="U163" s="44">
        <v>118178</v>
      </c>
      <c r="V163" s="44"/>
      <c r="W163" s="44">
        <v>0</v>
      </c>
      <c r="X163" s="44"/>
      <c r="Y163" s="44">
        <v>0</v>
      </c>
      <c r="Z163" s="44"/>
      <c r="AA163" s="44">
        <f t="shared" si="4"/>
        <v>7451711</v>
      </c>
      <c r="AB163" s="44"/>
      <c r="AC163" s="44">
        <f t="shared" si="5"/>
        <v>9650767</v>
      </c>
    </row>
    <row r="164" spans="1:30" s="47" customFormat="1" ht="12.75" customHeight="1">
      <c r="A164" s="47" t="s">
        <v>192</v>
      </c>
      <c r="C164" s="47" t="s">
        <v>38</v>
      </c>
      <c r="E164" s="44">
        <v>2094927</v>
      </c>
      <c r="F164" s="44"/>
      <c r="G164" s="44">
        <v>274940</v>
      </c>
      <c r="H164" s="44"/>
      <c r="I164" s="44">
        <v>345157</v>
      </c>
      <c r="J164" s="44"/>
      <c r="K164" s="44">
        <f>822829+631001</f>
        <v>1453830</v>
      </c>
      <c r="L164" s="44"/>
      <c r="M164" s="44">
        <v>5645688</v>
      </c>
      <c r="N164" s="44"/>
      <c r="O164" s="44">
        <v>0</v>
      </c>
      <c r="P164" s="44"/>
      <c r="Q164" s="44">
        <v>1926950</v>
      </c>
      <c r="R164" s="44"/>
      <c r="S164" s="44">
        <v>606887</v>
      </c>
      <c r="T164" s="44"/>
      <c r="U164" s="44">
        <v>97866</v>
      </c>
      <c r="V164" s="44"/>
      <c r="W164" s="44">
        <v>0</v>
      </c>
      <c r="X164" s="44"/>
      <c r="Y164" s="44">
        <v>0</v>
      </c>
      <c r="Z164" s="44"/>
      <c r="AA164" s="44">
        <f t="shared" si="4"/>
        <v>9731221</v>
      </c>
      <c r="AB164" s="44"/>
      <c r="AC164" s="44">
        <f t="shared" si="5"/>
        <v>12446245</v>
      </c>
    </row>
    <row r="165" spans="1:30" s="122" customFormat="1" ht="12.75" hidden="1" customHeight="1">
      <c r="A165" s="47" t="s">
        <v>193</v>
      </c>
      <c r="B165" s="47"/>
      <c r="C165" s="47" t="s">
        <v>45</v>
      </c>
      <c r="D165" s="47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>
        <f t="shared" si="4"/>
        <v>0</v>
      </c>
      <c r="AB165" s="44"/>
      <c r="AC165" s="44">
        <f t="shared" si="5"/>
        <v>0</v>
      </c>
      <c r="AD165" s="121"/>
    </row>
    <row r="166" spans="1:30" s="47" customFormat="1" ht="12.75" customHeight="1">
      <c r="A166" s="47" t="s">
        <v>194</v>
      </c>
      <c r="C166" s="47" t="s">
        <v>66</v>
      </c>
      <c r="E166" s="44">
        <v>1421265</v>
      </c>
      <c r="F166" s="44"/>
      <c r="G166" s="44">
        <v>12052</v>
      </c>
      <c r="H166" s="44"/>
      <c r="I166" s="44">
        <v>175000</v>
      </c>
      <c r="J166" s="44"/>
      <c r="K166" s="44">
        <f>1783359+83333</f>
        <v>1866692</v>
      </c>
      <c r="L166" s="44"/>
      <c r="M166" s="44">
        <v>5753980</v>
      </c>
      <c r="N166" s="44"/>
      <c r="O166" s="44">
        <v>0</v>
      </c>
      <c r="P166" s="44"/>
      <c r="Q166" s="44">
        <v>2725579</v>
      </c>
      <c r="R166" s="44"/>
      <c r="S166" s="44">
        <v>883600</v>
      </c>
      <c r="T166" s="44"/>
      <c r="U166" s="44">
        <v>285168</v>
      </c>
      <c r="V166" s="44"/>
      <c r="W166" s="44">
        <v>0</v>
      </c>
      <c r="X166" s="44"/>
      <c r="Y166" s="44">
        <v>0</v>
      </c>
      <c r="Z166" s="44"/>
      <c r="AA166" s="44">
        <f t="shared" si="4"/>
        <v>11515019</v>
      </c>
      <c r="AB166" s="44"/>
      <c r="AC166" s="44">
        <f t="shared" si="5"/>
        <v>13123336</v>
      </c>
    </row>
    <row r="167" spans="1:30" s="47" customFormat="1" ht="12.75" customHeight="1">
      <c r="A167" s="47" t="s">
        <v>195</v>
      </c>
      <c r="C167" s="47" t="s">
        <v>17</v>
      </c>
      <c r="E167" s="44">
        <v>1370265</v>
      </c>
      <c r="F167" s="44"/>
      <c r="G167" s="44">
        <v>478491</v>
      </c>
      <c r="H167" s="44"/>
      <c r="I167" s="44">
        <v>771170</v>
      </c>
      <c r="J167" s="44"/>
      <c r="K167" s="44">
        <v>887408</v>
      </c>
      <c r="L167" s="44"/>
      <c r="M167" s="44">
        <v>4756176</v>
      </c>
      <c r="N167" s="44"/>
      <c r="O167" s="44">
        <v>0</v>
      </c>
      <c r="P167" s="44"/>
      <c r="Q167" s="44">
        <v>1573053</v>
      </c>
      <c r="R167" s="44"/>
      <c r="S167" s="44">
        <v>893291</v>
      </c>
      <c r="T167" s="44"/>
      <c r="U167" s="44">
        <v>753090</v>
      </c>
      <c r="V167" s="44"/>
      <c r="W167" s="44">
        <v>175502</v>
      </c>
      <c r="X167" s="44"/>
      <c r="Y167" s="44">
        <v>0</v>
      </c>
      <c r="Z167" s="44"/>
      <c r="AA167" s="44">
        <f t="shared" si="4"/>
        <v>9038520</v>
      </c>
      <c r="AB167" s="44"/>
      <c r="AC167" s="44">
        <f>SUM(E167:Y167)</f>
        <v>11658446</v>
      </c>
    </row>
    <row r="168" spans="1:30" s="122" customFormat="1" ht="12.75" hidden="1" customHeight="1">
      <c r="A168" s="44" t="s">
        <v>196</v>
      </c>
      <c r="B168" s="47"/>
      <c r="C168" s="44" t="s">
        <v>27</v>
      </c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>
        <f t="shared" si="4"/>
        <v>0</v>
      </c>
      <c r="AB168" s="44"/>
      <c r="AC168" s="44">
        <f t="shared" si="5"/>
        <v>0</v>
      </c>
    </row>
    <row r="169" spans="1:30" s="122" customFormat="1" ht="12.75" hidden="1" customHeight="1">
      <c r="A169" s="44" t="s">
        <v>402</v>
      </c>
      <c r="B169" s="47"/>
      <c r="C169" s="44" t="s">
        <v>153</v>
      </c>
      <c r="D169" s="44"/>
      <c r="E169" s="44">
        <v>631993</v>
      </c>
      <c r="F169" s="44"/>
      <c r="G169" s="44">
        <v>632178</v>
      </c>
      <c r="H169" s="44"/>
      <c r="I169" s="44">
        <v>1754759</v>
      </c>
      <c r="J169" s="44"/>
      <c r="K169" s="44">
        <f>449165+62989</f>
        <v>512154</v>
      </c>
      <c r="L169" s="44"/>
      <c r="M169" s="44">
        <f>2599240+237571+762606</f>
        <v>3599417</v>
      </c>
      <c r="N169" s="44"/>
      <c r="O169" s="44">
        <v>0</v>
      </c>
      <c r="P169" s="44"/>
      <c r="Q169" s="44">
        <v>270030</v>
      </c>
      <c r="R169" s="44"/>
      <c r="S169" s="44">
        <f>359727-15109</f>
        <v>344618</v>
      </c>
      <c r="T169" s="44"/>
      <c r="U169" s="44">
        <v>85223</v>
      </c>
      <c r="V169" s="44"/>
      <c r="W169" s="44">
        <v>-1329448</v>
      </c>
      <c r="X169" s="44"/>
      <c r="Y169" s="44">
        <v>0</v>
      </c>
      <c r="Z169" s="44"/>
      <c r="AA169" s="44">
        <f t="shared" si="4"/>
        <v>3481994</v>
      </c>
      <c r="AB169" s="44"/>
      <c r="AC169" s="44">
        <f t="shared" si="5"/>
        <v>6500924</v>
      </c>
    </row>
    <row r="170" spans="1:30" s="47" customFormat="1" ht="12.75" customHeight="1">
      <c r="A170" s="47" t="s">
        <v>197</v>
      </c>
      <c r="C170" s="47" t="s">
        <v>163</v>
      </c>
      <c r="E170" s="44">
        <v>3138082</v>
      </c>
      <c r="F170" s="44"/>
      <c r="G170" s="44">
        <v>1088375</v>
      </c>
      <c r="H170" s="44"/>
      <c r="I170" s="44">
        <v>773918</v>
      </c>
      <c r="J170" s="44"/>
      <c r="K170" s="44">
        <v>1842428</v>
      </c>
      <c r="L170" s="44"/>
      <c r="M170" s="44">
        <v>18823184</v>
      </c>
      <c r="N170" s="44"/>
      <c r="O170" s="44">
        <v>0</v>
      </c>
      <c r="P170" s="44"/>
      <c r="Q170" s="44">
        <v>2049802</v>
      </c>
      <c r="R170" s="44"/>
      <c r="S170" s="44">
        <v>1670490</v>
      </c>
      <c r="T170" s="44"/>
      <c r="U170" s="44">
        <v>145953</v>
      </c>
      <c r="V170" s="44"/>
      <c r="W170" s="44">
        <v>-1117836</v>
      </c>
      <c r="X170" s="44"/>
      <c r="Y170" s="44">
        <v>0</v>
      </c>
      <c r="Z170" s="44"/>
      <c r="AA170" s="44">
        <f>SUM(K170:Y170)</f>
        <v>23414021</v>
      </c>
      <c r="AB170" s="44"/>
      <c r="AC170" s="44">
        <f>SUM(E170:Y170)</f>
        <v>28414396</v>
      </c>
    </row>
    <row r="171" spans="1:30" s="47" customFormat="1" ht="12.75" customHeight="1">
      <c r="A171" s="47" t="s">
        <v>198</v>
      </c>
      <c r="C171" s="47" t="s">
        <v>199</v>
      </c>
      <c r="E171" s="44">
        <v>703189</v>
      </c>
      <c r="F171" s="44"/>
      <c r="G171" s="44">
        <v>656705</v>
      </c>
      <c r="H171" s="44"/>
      <c r="I171" s="44">
        <v>1189081</v>
      </c>
      <c r="J171" s="44"/>
      <c r="K171" s="44">
        <v>505320</v>
      </c>
      <c r="L171" s="44"/>
      <c r="M171" s="44">
        <f>2319038+806910</f>
        <v>3125948</v>
      </c>
      <c r="N171" s="44"/>
      <c r="O171" s="44">
        <v>881904</v>
      </c>
      <c r="P171" s="44"/>
      <c r="Q171" s="44">
        <v>816394</v>
      </c>
      <c r="R171" s="44"/>
      <c r="S171" s="44">
        <v>171859</v>
      </c>
      <c r="T171" s="44"/>
      <c r="U171" s="44">
        <v>209767</v>
      </c>
      <c r="V171" s="44"/>
      <c r="W171" s="44">
        <v>-881904</v>
      </c>
      <c r="X171" s="44"/>
      <c r="Y171" s="44">
        <v>0</v>
      </c>
      <c r="Z171" s="44"/>
      <c r="AA171" s="44">
        <f t="shared" si="4"/>
        <v>4829288</v>
      </c>
      <c r="AB171" s="44"/>
      <c r="AC171" s="44">
        <f>SUM(E171:Y171)</f>
        <v>7378263</v>
      </c>
    </row>
    <row r="172" spans="1:30" s="47" customFormat="1" ht="12.75" customHeight="1">
      <c r="A172" s="47" t="s">
        <v>200</v>
      </c>
      <c r="C172" s="47" t="s">
        <v>103</v>
      </c>
      <c r="E172" s="44">
        <v>2053377</v>
      </c>
      <c r="F172" s="44"/>
      <c r="G172" s="44">
        <v>687583</v>
      </c>
      <c r="H172" s="44"/>
      <c r="I172" s="44">
        <v>11178</v>
      </c>
      <c r="J172" s="44"/>
      <c r="K172" s="44">
        <v>1095958</v>
      </c>
      <c r="L172" s="44"/>
      <c r="M172" s="44">
        <v>7207280</v>
      </c>
      <c r="N172" s="44"/>
      <c r="O172" s="44">
        <v>0</v>
      </c>
      <c r="P172" s="44"/>
      <c r="Q172" s="44">
        <v>1677323</v>
      </c>
      <c r="R172" s="44"/>
      <c r="S172" s="44">
        <v>745267</v>
      </c>
      <c r="T172" s="44"/>
      <c r="U172" s="44">
        <v>488456</v>
      </c>
      <c r="V172" s="44"/>
      <c r="W172" s="44">
        <v>-13839</v>
      </c>
      <c r="X172" s="44"/>
      <c r="Y172" s="44">
        <v>0</v>
      </c>
      <c r="Z172" s="44"/>
      <c r="AA172" s="44">
        <f t="shared" si="4"/>
        <v>11200445</v>
      </c>
      <c r="AB172" s="44"/>
      <c r="AC172" s="44">
        <f t="shared" si="5"/>
        <v>13952583</v>
      </c>
    </row>
    <row r="173" spans="1:30" s="47" customFormat="1" ht="12.75" customHeight="1">
      <c r="A173" s="47" t="s">
        <v>201</v>
      </c>
      <c r="C173" s="47" t="s">
        <v>92</v>
      </c>
      <c r="E173" s="44">
        <v>2574609</v>
      </c>
      <c r="F173" s="44"/>
      <c r="G173" s="44">
        <v>996000</v>
      </c>
      <c r="H173" s="44"/>
      <c r="I173" s="44">
        <v>3363553</v>
      </c>
      <c r="J173" s="44"/>
      <c r="K173" s="44">
        <v>819812</v>
      </c>
      <c r="L173" s="44"/>
      <c r="M173" s="44">
        <v>8644123</v>
      </c>
      <c r="N173" s="44"/>
      <c r="O173" s="44">
        <v>8013</v>
      </c>
      <c r="P173" s="44"/>
      <c r="Q173" s="44">
        <v>2181223</v>
      </c>
      <c r="R173" s="44"/>
      <c r="S173" s="44">
        <v>1371658</v>
      </c>
      <c r="T173" s="44"/>
      <c r="U173" s="44">
        <v>64145</v>
      </c>
      <c r="V173" s="44"/>
      <c r="W173" s="44">
        <v>10787</v>
      </c>
      <c r="X173" s="44"/>
      <c r="Y173" s="44">
        <v>0</v>
      </c>
      <c r="Z173" s="44"/>
      <c r="AA173" s="44">
        <f>SUM(K173:Y173)</f>
        <v>13099761</v>
      </c>
      <c r="AB173" s="44"/>
      <c r="AC173" s="44">
        <f>SUM(E173:Y173)</f>
        <v>20033923</v>
      </c>
    </row>
    <row r="174" spans="1:30" s="47" customFormat="1" ht="12.75" hidden="1" customHeight="1">
      <c r="A174" s="47" t="s">
        <v>202</v>
      </c>
      <c r="C174" s="47" t="s">
        <v>27</v>
      </c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>
        <f>SUM(K174:Y174)</f>
        <v>0</v>
      </c>
      <c r="AB174" s="44"/>
      <c r="AC174" s="44">
        <f>SUM(E174:Y174)</f>
        <v>0</v>
      </c>
    </row>
    <row r="175" spans="1:30" s="47" customFormat="1" ht="12.75" customHeight="1">
      <c r="A175" s="47" t="s">
        <v>203</v>
      </c>
      <c r="C175" s="47" t="s">
        <v>27</v>
      </c>
      <c r="E175" s="44">
        <v>2014039</v>
      </c>
      <c r="F175" s="44"/>
      <c r="G175" s="44">
        <v>208133</v>
      </c>
      <c r="H175" s="44"/>
      <c r="I175" s="44">
        <v>161247</v>
      </c>
      <c r="J175" s="44"/>
      <c r="K175" s="44">
        <f>2736844+364091+595963+165495</f>
        <v>3862393</v>
      </c>
      <c r="L175" s="44"/>
      <c r="M175" s="44">
        <v>8202372</v>
      </c>
      <c r="N175" s="44"/>
      <c r="O175" s="44">
        <v>0</v>
      </c>
      <c r="P175" s="44"/>
      <c r="Q175" s="44">
        <v>2580265</v>
      </c>
      <c r="R175" s="44"/>
      <c r="S175" s="44">
        <v>50242</v>
      </c>
      <c r="T175" s="44"/>
      <c r="U175" s="44">
        <v>222852</v>
      </c>
      <c r="V175" s="44"/>
      <c r="W175" s="44">
        <v>0</v>
      </c>
      <c r="X175" s="44"/>
      <c r="Y175" s="44">
        <v>0</v>
      </c>
      <c r="Z175" s="44"/>
      <c r="AA175" s="44">
        <f t="shared" si="4"/>
        <v>14918124</v>
      </c>
      <c r="AB175" s="44"/>
      <c r="AC175" s="44">
        <f t="shared" si="5"/>
        <v>17301543</v>
      </c>
    </row>
    <row r="176" spans="1:30" s="47" customFormat="1" ht="12.75" customHeight="1">
      <c r="A176" s="47" t="s">
        <v>204</v>
      </c>
      <c r="C176" s="47" t="s">
        <v>125</v>
      </c>
      <c r="E176" s="44">
        <v>614020</v>
      </c>
      <c r="F176" s="44"/>
      <c r="G176" s="44">
        <v>1219491</v>
      </c>
      <c r="H176" s="44"/>
      <c r="I176" s="44">
        <v>1009944</v>
      </c>
      <c r="J176" s="44"/>
      <c r="K176" s="44">
        <f>845202+1342858</f>
        <v>2188060</v>
      </c>
      <c r="L176" s="44"/>
      <c r="M176" s="44">
        <v>0</v>
      </c>
      <c r="N176" s="44"/>
      <c r="O176" s="44">
        <v>0</v>
      </c>
      <c r="P176" s="44"/>
      <c r="Q176" s="44">
        <v>466879</v>
      </c>
      <c r="R176" s="44"/>
      <c r="S176" s="44">
        <v>38676</v>
      </c>
      <c r="T176" s="44"/>
      <c r="U176" s="44">
        <v>87241</v>
      </c>
      <c r="V176" s="44"/>
      <c r="W176" s="44">
        <v>0</v>
      </c>
      <c r="X176" s="44"/>
      <c r="Y176" s="44">
        <v>48972</v>
      </c>
      <c r="Z176" s="44"/>
      <c r="AA176" s="44">
        <f t="shared" si="4"/>
        <v>2829828</v>
      </c>
      <c r="AB176" s="44"/>
      <c r="AC176" s="44">
        <f t="shared" si="5"/>
        <v>5673283</v>
      </c>
    </row>
    <row r="177" spans="1:29" s="47" customFormat="1" ht="12.75" customHeight="1">
      <c r="A177" s="47" t="s">
        <v>205</v>
      </c>
      <c r="C177" s="47" t="s">
        <v>27</v>
      </c>
      <c r="E177" s="44">
        <v>527009</v>
      </c>
      <c r="F177" s="44"/>
      <c r="G177" s="44">
        <v>485259</v>
      </c>
      <c r="H177" s="44"/>
      <c r="I177" s="44">
        <v>582231</v>
      </c>
      <c r="J177" s="44"/>
      <c r="K177" s="44">
        <f>1118358+526354+1299559+100128</f>
        <v>3044399</v>
      </c>
      <c r="L177" s="44"/>
      <c r="M177" s="44">
        <v>4178509</v>
      </c>
      <c r="N177" s="44"/>
      <c r="O177" s="44">
        <f>2031747+273353</f>
        <v>2305100</v>
      </c>
      <c r="P177" s="44"/>
      <c r="Q177" s="44">
        <v>421808</v>
      </c>
      <c r="R177" s="44"/>
      <c r="S177" s="44">
        <v>326191</v>
      </c>
      <c r="T177" s="44"/>
      <c r="U177" s="44">
        <v>161698</v>
      </c>
      <c r="V177" s="44"/>
      <c r="W177" s="44">
        <v>0</v>
      </c>
      <c r="X177" s="44"/>
      <c r="Y177" s="44">
        <v>0</v>
      </c>
      <c r="Z177" s="44"/>
      <c r="AA177" s="44">
        <f t="shared" si="4"/>
        <v>10437705</v>
      </c>
      <c r="AB177" s="44"/>
      <c r="AC177" s="44">
        <f>SUM(E177:Y177)</f>
        <v>12032204</v>
      </c>
    </row>
    <row r="178" spans="1:29" s="47" customFormat="1" ht="12.75" customHeight="1">
      <c r="A178" s="47" t="s">
        <v>206</v>
      </c>
      <c r="C178" s="47" t="s">
        <v>47</v>
      </c>
      <c r="E178" s="44">
        <v>1815034</v>
      </c>
      <c r="F178" s="44"/>
      <c r="G178" s="44">
        <v>1234785</v>
      </c>
      <c r="H178" s="44"/>
      <c r="I178" s="44">
        <v>2041052</v>
      </c>
      <c r="J178" s="44"/>
      <c r="K178" s="44">
        <v>3137571</v>
      </c>
      <c r="L178" s="44"/>
      <c r="M178" s="44">
        <v>15495907</v>
      </c>
      <c r="N178" s="44"/>
      <c r="O178" s="44">
        <v>0</v>
      </c>
      <c r="P178" s="44"/>
      <c r="Q178" s="44">
        <v>2544502</v>
      </c>
      <c r="R178" s="44"/>
      <c r="S178" s="44">
        <v>567586</v>
      </c>
      <c r="T178" s="44"/>
      <c r="U178" s="44">
        <v>45402</v>
      </c>
      <c r="V178" s="44"/>
      <c r="W178" s="44">
        <v>-254023</v>
      </c>
      <c r="X178" s="44"/>
      <c r="Y178" s="44">
        <v>0</v>
      </c>
      <c r="Z178" s="44"/>
      <c r="AA178" s="44">
        <f t="shared" si="4"/>
        <v>21536945</v>
      </c>
      <c r="AB178" s="44"/>
      <c r="AC178" s="44">
        <f t="shared" si="5"/>
        <v>26627816</v>
      </c>
    </row>
    <row r="179" spans="1:29" s="47" customFormat="1" ht="12.75" customHeight="1">
      <c r="A179" s="47" t="s">
        <v>207</v>
      </c>
      <c r="C179" s="47" t="s">
        <v>102</v>
      </c>
      <c r="E179" s="44">
        <v>1080527</v>
      </c>
      <c r="F179" s="44"/>
      <c r="G179" s="44">
        <v>1010832</v>
      </c>
      <c r="H179" s="44"/>
      <c r="I179" s="44">
        <v>10165310</v>
      </c>
      <c r="J179" s="44"/>
      <c r="K179" s="44">
        <f>979584+1399961</f>
        <v>2379545</v>
      </c>
      <c r="L179" s="44"/>
      <c r="M179" s="44">
        <v>4671505</v>
      </c>
      <c r="N179" s="44"/>
      <c r="O179" s="44">
        <f>43081+277332</f>
        <v>320413</v>
      </c>
      <c r="P179" s="44"/>
      <c r="Q179" s="44">
        <v>960300</v>
      </c>
      <c r="R179" s="44"/>
      <c r="S179" s="44">
        <v>336461</v>
      </c>
      <c r="T179" s="44"/>
      <c r="U179" s="44">
        <f>485964+285098</f>
        <v>771062</v>
      </c>
      <c r="V179" s="44"/>
      <c r="W179" s="44">
        <v>-805000</v>
      </c>
      <c r="X179" s="44"/>
      <c r="Y179" s="44">
        <v>0</v>
      </c>
      <c r="Z179" s="44"/>
      <c r="AA179" s="44">
        <f t="shared" si="4"/>
        <v>8634286</v>
      </c>
      <c r="AB179" s="44"/>
      <c r="AC179" s="44">
        <f t="shared" si="5"/>
        <v>20890955</v>
      </c>
    </row>
    <row r="180" spans="1:29" s="47" customFormat="1" ht="12.75" customHeight="1">
      <c r="A180" s="47" t="s">
        <v>208</v>
      </c>
      <c r="C180" s="47" t="s">
        <v>209</v>
      </c>
      <c r="E180" s="44">
        <v>1605192</v>
      </c>
      <c r="F180" s="44"/>
      <c r="G180" s="44">
        <v>1219765</v>
      </c>
      <c r="H180" s="44"/>
      <c r="I180" s="44">
        <v>1822124</v>
      </c>
      <c r="J180" s="44"/>
      <c r="K180" s="44">
        <v>1452709</v>
      </c>
      <c r="L180" s="44"/>
      <c r="M180" s="44">
        <v>10275491</v>
      </c>
      <c r="N180" s="44"/>
      <c r="O180" s="44">
        <f>3443434+1259107</f>
        <v>4702541</v>
      </c>
      <c r="P180" s="44"/>
      <c r="Q180" s="44">
        <v>0</v>
      </c>
      <c r="R180" s="44"/>
      <c r="S180" s="44">
        <v>388469</v>
      </c>
      <c r="T180" s="44"/>
      <c r="U180" s="44">
        <v>1852</v>
      </c>
      <c r="V180" s="44"/>
      <c r="W180" s="44">
        <v>-193942</v>
      </c>
      <c r="X180" s="44"/>
      <c r="Y180" s="44">
        <v>0</v>
      </c>
      <c r="Z180" s="44"/>
      <c r="AA180" s="44">
        <f t="shared" si="4"/>
        <v>16627120</v>
      </c>
      <c r="AB180" s="44"/>
      <c r="AC180" s="44">
        <f t="shared" si="5"/>
        <v>21274201</v>
      </c>
    </row>
    <row r="181" spans="1:29" s="47" customFormat="1" ht="12.75" customHeight="1">
      <c r="A181" s="47" t="s">
        <v>210</v>
      </c>
      <c r="C181" s="47" t="s">
        <v>211</v>
      </c>
      <c r="E181" s="44">
        <v>460058</v>
      </c>
      <c r="F181" s="44"/>
      <c r="G181" s="44">
        <v>960523</v>
      </c>
      <c r="H181" s="44"/>
      <c r="I181" s="44">
        <v>229754</v>
      </c>
      <c r="J181" s="44"/>
      <c r="K181" s="44">
        <f>557731+223742</f>
        <v>781473</v>
      </c>
      <c r="L181" s="44"/>
      <c r="M181" s="44">
        <v>2108555</v>
      </c>
      <c r="N181" s="44"/>
      <c r="O181" s="44">
        <f>173783+1874</f>
        <v>175657</v>
      </c>
      <c r="P181" s="44"/>
      <c r="Q181" s="44">
        <v>537951</v>
      </c>
      <c r="R181" s="44"/>
      <c r="S181" s="44">
        <f>46769+134712</f>
        <v>181481</v>
      </c>
      <c r="T181" s="44"/>
      <c r="U181" s="44">
        <v>65143</v>
      </c>
      <c r="V181" s="44"/>
      <c r="W181" s="44">
        <v>-5583</v>
      </c>
      <c r="X181" s="44"/>
      <c r="Y181" s="44">
        <v>0</v>
      </c>
      <c r="Z181" s="44"/>
      <c r="AA181" s="44">
        <f>SUM(K181:Y181)</f>
        <v>3844677</v>
      </c>
      <c r="AB181" s="44"/>
      <c r="AC181" s="44">
        <f>SUM(E181:Y181)</f>
        <v>5495012</v>
      </c>
    </row>
    <row r="182" spans="1:29" s="47" customFormat="1" ht="12.75" customHeight="1">
      <c r="A182" s="47" t="s">
        <v>212</v>
      </c>
      <c r="C182" s="47" t="s">
        <v>213</v>
      </c>
      <c r="E182" s="44">
        <v>2282137</v>
      </c>
      <c r="F182" s="44"/>
      <c r="G182" s="44">
        <v>3123919</v>
      </c>
      <c r="H182" s="44"/>
      <c r="I182" s="44">
        <v>0</v>
      </c>
      <c r="J182" s="44"/>
      <c r="K182" s="44">
        <f>1681199+320395+233466</f>
        <v>2235060</v>
      </c>
      <c r="L182" s="44"/>
      <c r="M182" s="44">
        <v>6686131</v>
      </c>
      <c r="N182" s="44"/>
      <c r="O182" s="44">
        <v>288923</v>
      </c>
      <c r="P182" s="44"/>
      <c r="Q182" s="44">
        <v>2183479</v>
      </c>
      <c r="R182" s="44"/>
      <c r="S182" s="44">
        <v>119544</v>
      </c>
      <c r="T182" s="44"/>
      <c r="U182" s="44">
        <v>176967</v>
      </c>
      <c r="V182" s="44"/>
      <c r="W182" s="44">
        <v>-136100</v>
      </c>
      <c r="X182" s="44"/>
      <c r="Y182" s="44">
        <v>0</v>
      </c>
      <c r="Z182" s="44"/>
      <c r="AA182" s="44">
        <f>SUM(K182:Y182)</f>
        <v>11554004</v>
      </c>
      <c r="AB182" s="44"/>
      <c r="AC182" s="44">
        <f>SUM(E182:Y182)</f>
        <v>16960060</v>
      </c>
    </row>
    <row r="183" spans="1:29" s="47" customFormat="1" ht="12.75" customHeight="1">
      <c r="A183" s="47" t="s">
        <v>214</v>
      </c>
      <c r="C183" s="47" t="s">
        <v>86</v>
      </c>
      <c r="E183" s="44">
        <v>1865166</v>
      </c>
      <c r="F183" s="44"/>
      <c r="G183" s="44">
        <v>462134</v>
      </c>
      <c r="H183" s="44"/>
      <c r="I183" s="44">
        <v>590709</v>
      </c>
      <c r="J183" s="44"/>
      <c r="K183" s="44">
        <v>1511193</v>
      </c>
      <c r="L183" s="44"/>
      <c r="M183" s="44">
        <v>4202816</v>
      </c>
      <c r="N183" s="44"/>
      <c r="O183" s="44">
        <v>906267</v>
      </c>
      <c r="P183" s="44"/>
      <c r="Q183" s="44">
        <v>674760</v>
      </c>
      <c r="R183" s="44"/>
      <c r="S183" s="44">
        <v>328697</v>
      </c>
      <c r="T183" s="44"/>
      <c r="U183" s="44">
        <v>147175</v>
      </c>
      <c r="V183" s="44"/>
      <c r="W183" s="44">
        <v>0</v>
      </c>
      <c r="X183" s="44"/>
      <c r="Y183" s="44">
        <v>0</v>
      </c>
      <c r="Z183" s="44"/>
      <c r="AA183" s="44">
        <f t="shared" si="4"/>
        <v>7770908</v>
      </c>
      <c r="AB183" s="44"/>
      <c r="AC183" s="44">
        <f t="shared" si="5"/>
        <v>10688917</v>
      </c>
    </row>
    <row r="184" spans="1:29" s="47" customFormat="1" ht="12.75" customHeight="1">
      <c r="A184" s="47" t="s">
        <v>215</v>
      </c>
      <c r="C184" s="47" t="s">
        <v>22</v>
      </c>
      <c r="E184" s="44">
        <v>1649813</v>
      </c>
      <c r="F184" s="44"/>
      <c r="G184" s="44">
        <v>1331017</v>
      </c>
      <c r="H184" s="44"/>
      <c r="I184" s="44">
        <v>39275</v>
      </c>
      <c r="J184" s="44"/>
      <c r="K184" s="44">
        <v>682259</v>
      </c>
      <c r="L184" s="44"/>
      <c r="M184" s="44">
        <f>5108771+565160+384463+307570+770465</f>
        <v>7136429</v>
      </c>
      <c r="N184" s="44"/>
      <c r="O184" s="44">
        <v>0</v>
      </c>
      <c r="P184" s="44"/>
      <c r="Q184" s="44">
        <v>1197783</v>
      </c>
      <c r="R184" s="44"/>
      <c r="S184" s="44">
        <v>280659</v>
      </c>
      <c r="T184" s="44"/>
      <c r="U184" s="44">
        <v>82069</v>
      </c>
      <c r="V184" s="44"/>
      <c r="W184" s="44">
        <v>-813821</v>
      </c>
      <c r="X184" s="44"/>
      <c r="Y184" s="44">
        <v>5392</v>
      </c>
      <c r="Z184" s="44"/>
      <c r="AA184" s="44">
        <f t="shared" si="4"/>
        <v>8570770</v>
      </c>
      <c r="AB184" s="44"/>
      <c r="AC184" s="44">
        <f t="shared" si="5"/>
        <v>11590875</v>
      </c>
    </row>
    <row r="185" spans="1:29" s="47" customFormat="1" ht="12.75" customHeight="1">
      <c r="A185" s="47" t="s">
        <v>216</v>
      </c>
      <c r="C185" s="47" t="s">
        <v>45</v>
      </c>
      <c r="E185" s="44">
        <v>1363129</v>
      </c>
      <c r="F185" s="44"/>
      <c r="G185" s="44">
        <v>1430310</v>
      </c>
      <c r="H185" s="44"/>
      <c r="I185" s="44">
        <v>188358</v>
      </c>
      <c r="J185" s="44"/>
      <c r="K185" s="44">
        <f>274106+380651</f>
        <v>654757</v>
      </c>
      <c r="L185" s="44"/>
      <c r="M185" s="44">
        <v>5897862</v>
      </c>
      <c r="N185" s="44"/>
      <c r="O185" s="44">
        <v>0</v>
      </c>
      <c r="P185" s="44"/>
      <c r="Q185" s="44">
        <v>415433</v>
      </c>
      <c r="R185" s="44"/>
      <c r="S185" s="44">
        <v>78864</v>
      </c>
      <c r="T185" s="44"/>
      <c r="U185" s="44">
        <v>41892</v>
      </c>
      <c r="V185" s="44"/>
      <c r="W185" s="44">
        <v>0</v>
      </c>
      <c r="X185" s="44"/>
      <c r="Y185" s="44">
        <v>0</v>
      </c>
      <c r="Z185" s="44"/>
      <c r="AA185" s="44">
        <f t="shared" si="4"/>
        <v>7088808</v>
      </c>
      <c r="AB185" s="44"/>
      <c r="AC185" s="44">
        <f t="shared" si="5"/>
        <v>10070605</v>
      </c>
    </row>
    <row r="186" spans="1:29" s="47" customFormat="1" ht="12.75" customHeight="1">
      <c r="A186" s="47" t="s">
        <v>217</v>
      </c>
      <c r="C186" s="47" t="s">
        <v>43</v>
      </c>
      <c r="E186" s="44">
        <v>1820494</v>
      </c>
      <c r="F186" s="44"/>
      <c r="G186" s="44">
        <v>2148105</v>
      </c>
      <c r="H186" s="44"/>
      <c r="I186" s="44">
        <v>0</v>
      </c>
      <c r="J186" s="44"/>
      <c r="K186" s="44">
        <f>286358+198463+1366851</f>
        <v>1851672</v>
      </c>
      <c r="L186" s="44"/>
      <c r="M186" s="44">
        <v>10480193</v>
      </c>
      <c r="N186" s="44"/>
      <c r="O186" s="44">
        <v>361048</v>
      </c>
      <c r="P186" s="44"/>
      <c r="Q186" s="44">
        <v>2150735</v>
      </c>
      <c r="R186" s="44"/>
      <c r="S186" s="44">
        <v>964817</v>
      </c>
      <c r="T186" s="44"/>
      <c r="U186" s="44">
        <v>286745</v>
      </c>
      <c r="V186" s="44"/>
      <c r="W186" s="44">
        <v>0</v>
      </c>
      <c r="X186" s="44"/>
      <c r="Y186" s="44">
        <v>0</v>
      </c>
      <c r="Z186" s="44"/>
      <c r="AA186" s="44">
        <f t="shared" si="4"/>
        <v>16095210</v>
      </c>
      <c r="AB186" s="44"/>
      <c r="AC186" s="44">
        <f t="shared" si="5"/>
        <v>20063809</v>
      </c>
    </row>
    <row r="187" spans="1:29" s="47" customFormat="1" ht="12.75" hidden="1" customHeight="1">
      <c r="A187" s="47" t="s">
        <v>218</v>
      </c>
      <c r="C187" s="47" t="s">
        <v>27</v>
      </c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>
        <f>SUM(K187:Y187)</f>
        <v>0</v>
      </c>
      <c r="AB187" s="44"/>
      <c r="AC187" s="44">
        <f t="shared" si="5"/>
        <v>0</v>
      </c>
    </row>
    <row r="188" spans="1:29" s="47" customFormat="1" ht="12.75" customHeight="1">
      <c r="A188" s="47" t="s">
        <v>219</v>
      </c>
      <c r="C188" s="47" t="s">
        <v>199</v>
      </c>
      <c r="E188" s="44">
        <v>1213675</v>
      </c>
      <c r="F188" s="44"/>
      <c r="G188" s="44">
        <v>572270</v>
      </c>
      <c r="H188" s="44"/>
      <c r="I188" s="44">
        <v>74464</v>
      </c>
      <c r="J188" s="44"/>
      <c r="K188" s="44">
        <f>324329+319006</f>
        <v>643335</v>
      </c>
      <c r="L188" s="44"/>
      <c r="M188" s="44">
        <f>600636+298708</f>
        <v>899344</v>
      </c>
      <c r="N188" s="44"/>
      <c r="O188" s="44">
        <v>0</v>
      </c>
      <c r="P188" s="44"/>
      <c r="Q188" s="44">
        <v>479191</v>
      </c>
      <c r="R188" s="44"/>
      <c r="S188" s="44">
        <v>121197</v>
      </c>
      <c r="T188" s="44"/>
      <c r="U188" s="44">
        <v>704042</v>
      </c>
      <c r="V188" s="44"/>
      <c r="W188" s="44">
        <v>0</v>
      </c>
      <c r="X188" s="44"/>
      <c r="Y188" s="44">
        <v>0</v>
      </c>
      <c r="Z188" s="44"/>
      <c r="AA188" s="44">
        <f t="shared" si="4"/>
        <v>2847109</v>
      </c>
      <c r="AB188" s="44"/>
      <c r="AC188" s="44">
        <f t="shared" si="5"/>
        <v>4707518</v>
      </c>
    </row>
    <row r="189" spans="1:29" s="47" customFormat="1" ht="12.75" customHeight="1">
      <c r="A189" s="47" t="s">
        <v>220</v>
      </c>
      <c r="C189" s="47" t="s">
        <v>66</v>
      </c>
      <c r="E189" s="44">
        <v>2052826</v>
      </c>
      <c r="F189" s="44"/>
      <c r="G189" s="44">
        <v>1536982</v>
      </c>
      <c r="H189" s="44"/>
      <c r="I189" s="44">
        <v>261625</v>
      </c>
      <c r="J189" s="44"/>
      <c r="K189" s="44">
        <f>416516+1828715</f>
        <v>2245231</v>
      </c>
      <c r="L189" s="44"/>
      <c r="M189" s="44">
        <v>3707203</v>
      </c>
      <c r="N189" s="44"/>
      <c r="O189" s="44">
        <v>226369</v>
      </c>
      <c r="P189" s="44"/>
      <c r="Q189" s="44">
        <v>615722</v>
      </c>
      <c r="R189" s="44"/>
      <c r="S189" s="44">
        <v>235276</v>
      </c>
      <c r="T189" s="44"/>
      <c r="U189" s="44">
        <v>211121</v>
      </c>
      <c r="V189" s="44"/>
      <c r="W189" s="44">
        <v>0</v>
      </c>
      <c r="X189" s="44"/>
      <c r="Y189" s="44">
        <v>0</v>
      </c>
      <c r="Z189" s="44"/>
      <c r="AA189" s="44">
        <f>SUM(K189:Y189)</f>
        <v>7240922</v>
      </c>
      <c r="AB189" s="44"/>
      <c r="AC189" s="44">
        <f>SUM(E189:Y189)</f>
        <v>11092355</v>
      </c>
    </row>
    <row r="190" spans="1:29" s="47" customFormat="1" ht="12.75" customHeight="1">
      <c r="A190" s="47" t="s">
        <v>221</v>
      </c>
      <c r="C190" s="47" t="s">
        <v>27</v>
      </c>
      <c r="E190" s="44">
        <v>6625091</v>
      </c>
      <c r="F190" s="44"/>
      <c r="G190" s="44">
        <v>959299</v>
      </c>
      <c r="H190" s="44"/>
      <c r="I190" s="44">
        <v>929746</v>
      </c>
      <c r="J190" s="44"/>
      <c r="K190" s="44">
        <f>4018607+318938+318938+637881+191365+191365+637881+626790</f>
        <v>6941765</v>
      </c>
      <c r="L190" s="44"/>
      <c r="M190" s="44">
        <f>8673869+207503+36715</f>
        <v>8918087</v>
      </c>
      <c r="N190" s="44"/>
      <c r="O190" s="44">
        <v>0</v>
      </c>
      <c r="P190" s="44"/>
      <c r="Q190" s="44">
        <v>4156898</v>
      </c>
      <c r="R190" s="44"/>
      <c r="S190" s="44">
        <v>516771</v>
      </c>
      <c r="T190" s="44"/>
      <c r="U190" s="44">
        <v>466811</v>
      </c>
      <c r="V190" s="44"/>
      <c r="W190" s="44">
        <v>0</v>
      </c>
      <c r="X190" s="44"/>
      <c r="Y190" s="44">
        <v>0</v>
      </c>
      <c r="Z190" s="44"/>
      <c r="AA190" s="44">
        <f>SUM(K190:Y190)</f>
        <v>21000332</v>
      </c>
      <c r="AB190" s="44"/>
      <c r="AC190" s="44">
        <f>SUM(E190:Y190)</f>
        <v>29514468</v>
      </c>
    </row>
    <row r="191" spans="1:29" s="47" customFormat="1" ht="12.75" customHeight="1">
      <c r="A191" s="47" t="s">
        <v>222</v>
      </c>
      <c r="C191" s="47" t="s">
        <v>47</v>
      </c>
      <c r="E191" s="44">
        <v>689022</v>
      </c>
      <c r="F191" s="44"/>
      <c r="G191" s="44">
        <v>476000</v>
      </c>
      <c r="H191" s="44"/>
      <c r="I191" s="44">
        <v>1960000</v>
      </c>
      <c r="J191" s="44"/>
      <c r="K191" s="44">
        <v>1457024</v>
      </c>
      <c r="L191" s="44"/>
      <c r="M191" s="44">
        <v>2961288</v>
      </c>
      <c r="N191" s="44"/>
      <c r="O191" s="44">
        <v>177724</v>
      </c>
      <c r="P191" s="44"/>
      <c r="Q191" s="44">
        <v>1024188</v>
      </c>
      <c r="R191" s="44"/>
      <c r="S191" s="44">
        <v>134721</v>
      </c>
      <c r="T191" s="44"/>
      <c r="U191" s="44">
        <v>66510</v>
      </c>
      <c r="V191" s="44"/>
      <c r="W191" s="44">
        <v>-285000</v>
      </c>
      <c r="X191" s="44"/>
      <c r="Y191" s="44">
        <v>0</v>
      </c>
      <c r="Z191" s="44"/>
      <c r="AA191" s="44">
        <f t="shared" si="4"/>
        <v>5536455</v>
      </c>
      <c r="AB191" s="44"/>
      <c r="AC191" s="44">
        <f t="shared" si="5"/>
        <v>8661477</v>
      </c>
    </row>
    <row r="192" spans="1:29" s="47" customFormat="1" ht="12.75" customHeight="1">
      <c r="A192" s="47" t="s">
        <v>223</v>
      </c>
      <c r="C192" s="47" t="s">
        <v>94</v>
      </c>
      <c r="E192" s="44">
        <v>183721</v>
      </c>
      <c r="F192" s="44"/>
      <c r="G192" s="44">
        <v>1264291</v>
      </c>
      <c r="H192" s="44"/>
      <c r="I192" s="44">
        <v>0</v>
      </c>
      <c r="J192" s="44"/>
      <c r="K192" s="44">
        <f>646778+494921+64108</f>
        <v>1205807</v>
      </c>
      <c r="L192" s="44"/>
      <c r="M192" s="44">
        <v>4108314</v>
      </c>
      <c r="N192" s="44"/>
      <c r="O192" s="44">
        <v>80965</v>
      </c>
      <c r="P192" s="44"/>
      <c r="Q192" s="44">
        <v>421003</v>
      </c>
      <c r="R192" s="44"/>
      <c r="S192" s="44">
        <v>672086</v>
      </c>
      <c r="T192" s="44"/>
      <c r="U192" s="44">
        <v>63824</v>
      </c>
      <c r="V192" s="44"/>
      <c r="W192" s="44">
        <v>-716649</v>
      </c>
      <c r="X192" s="44"/>
      <c r="Y192" s="44">
        <v>0</v>
      </c>
      <c r="Z192" s="44"/>
      <c r="AA192" s="44">
        <f>SUM(K192:Y192)</f>
        <v>5835350</v>
      </c>
      <c r="AB192" s="44"/>
      <c r="AC192" s="44">
        <f>SUM(E192:Y192)</f>
        <v>7283362</v>
      </c>
    </row>
    <row r="193" spans="1:29" s="47" customFormat="1" ht="12.75" customHeight="1">
      <c r="A193" s="47" t="s">
        <v>76</v>
      </c>
      <c r="C193" s="47" t="s">
        <v>132</v>
      </c>
      <c r="E193" s="44">
        <v>8335254</v>
      </c>
      <c r="F193" s="44"/>
      <c r="G193" s="44">
        <v>3008317</v>
      </c>
      <c r="H193" s="44"/>
      <c r="I193" s="44">
        <v>258793</v>
      </c>
      <c r="J193" s="44"/>
      <c r="K193" s="44">
        <f>1808771+296040+488892</f>
        <v>2593703</v>
      </c>
      <c r="L193" s="44"/>
      <c r="M193" s="44">
        <f>7308067+478361+393536</f>
        <v>8179964</v>
      </c>
      <c r="N193" s="44"/>
      <c r="O193" s="44">
        <f>2939+3759788+290451</f>
        <v>4053178</v>
      </c>
      <c r="P193" s="44"/>
      <c r="Q193" s="44">
        <v>1884362</v>
      </c>
      <c r="R193" s="44"/>
      <c r="S193" s="44">
        <v>1329987</v>
      </c>
      <c r="T193" s="44"/>
      <c r="U193" s="44">
        <v>540308</v>
      </c>
      <c r="V193" s="44"/>
      <c r="W193" s="44">
        <v>308089</v>
      </c>
      <c r="X193" s="44"/>
      <c r="Y193" s="44">
        <v>0</v>
      </c>
      <c r="Z193" s="44"/>
      <c r="AA193" s="44">
        <f t="shared" si="4"/>
        <v>18889591</v>
      </c>
      <c r="AB193" s="44"/>
      <c r="AC193" s="44">
        <f t="shared" si="5"/>
        <v>30491955</v>
      </c>
    </row>
    <row r="194" spans="1:29" s="47" customFormat="1" ht="12.75" customHeight="1">
      <c r="A194" s="47" t="s">
        <v>224</v>
      </c>
      <c r="C194" s="47" t="s">
        <v>27</v>
      </c>
      <c r="E194" s="44">
        <v>1494668</v>
      </c>
      <c r="F194" s="44"/>
      <c r="G194" s="44">
        <v>11184</v>
      </c>
      <c r="H194" s="44"/>
      <c r="I194" s="44">
        <v>929560</v>
      </c>
      <c r="J194" s="44"/>
      <c r="K194" s="44">
        <f>1063315+1247488+567168</f>
        <v>2877971</v>
      </c>
      <c r="L194" s="44"/>
      <c r="M194" s="44">
        <v>5090164</v>
      </c>
      <c r="N194" s="44"/>
      <c r="O194" s="44">
        <v>0</v>
      </c>
      <c r="P194" s="44"/>
      <c r="Q194" s="44">
        <v>1567741</v>
      </c>
      <c r="R194" s="44"/>
      <c r="S194" s="44">
        <v>267121</v>
      </c>
      <c r="T194" s="44"/>
      <c r="U194" s="44">
        <v>72087</v>
      </c>
      <c r="V194" s="44"/>
      <c r="W194" s="44">
        <v>0</v>
      </c>
      <c r="X194" s="44"/>
      <c r="Y194" s="44">
        <v>20995</v>
      </c>
      <c r="Z194" s="44"/>
      <c r="AA194" s="44">
        <f t="shared" si="4"/>
        <v>9896079</v>
      </c>
      <c r="AB194" s="44"/>
      <c r="AC194" s="44">
        <f t="shared" si="5"/>
        <v>12331491</v>
      </c>
    </row>
    <row r="195" spans="1:29" s="47" customFormat="1" ht="12.75" customHeight="1">
      <c r="A195" s="47" t="s">
        <v>471</v>
      </c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8" t="s">
        <v>484</v>
      </c>
    </row>
    <row r="196" spans="1:29" s="47" customFormat="1" ht="12.75" customHeight="1">
      <c r="A196" s="47" t="s">
        <v>225</v>
      </c>
      <c r="C196" s="47" t="s">
        <v>27</v>
      </c>
      <c r="E196" s="46">
        <v>10239369</v>
      </c>
      <c r="F196" s="46"/>
      <c r="G196" s="46">
        <v>4978610</v>
      </c>
      <c r="H196" s="46"/>
      <c r="I196" s="46">
        <v>3682306</v>
      </c>
      <c r="J196" s="46"/>
      <c r="K196" s="46">
        <f>7312216+471805+440519</f>
        <v>8224540</v>
      </c>
      <c r="L196" s="46"/>
      <c r="M196" s="46">
        <v>20764053</v>
      </c>
      <c r="N196" s="46"/>
      <c r="O196" s="46">
        <v>55599</v>
      </c>
      <c r="P196" s="46"/>
      <c r="Q196" s="46">
        <v>5670500</v>
      </c>
      <c r="R196" s="46"/>
      <c r="S196" s="46">
        <v>629378</v>
      </c>
      <c r="T196" s="46"/>
      <c r="U196" s="46">
        <v>232203</v>
      </c>
      <c r="V196" s="46"/>
      <c r="W196" s="46">
        <v>0</v>
      </c>
      <c r="X196" s="46"/>
      <c r="Y196" s="46">
        <v>0</v>
      </c>
      <c r="Z196" s="46"/>
      <c r="AA196" s="46">
        <f t="shared" si="4"/>
        <v>35576273</v>
      </c>
      <c r="AB196" s="46"/>
      <c r="AC196" s="46">
        <f t="shared" si="5"/>
        <v>54476558</v>
      </c>
    </row>
    <row r="197" spans="1:29" s="47" customFormat="1" ht="12.75" customHeight="1">
      <c r="A197" s="47" t="s">
        <v>226</v>
      </c>
      <c r="C197" s="47" t="s">
        <v>45</v>
      </c>
      <c r="E197" s="44">
        <v>1930345</v>
      </c>
      <c r="F197" s="44"/>
      <c r="G197" s="44">
        <v>1836691</v>
      </c>
      <c r="H197" s="44"/>
      <c r="I197" s="44">
        <v>806472</v>
      </c>
      <c r="J197" s="44"/>
      <c r="K197" s="44">
        <v>0</v>
      </c>
      <c r="L197" s="44"/>
      <c r="M197" s="44">
        <v>19591472</v>
      </c>
      <c r="N197" s="44"/>
      <c r="O197" s="44">
        <v>699857</v>
      </c>
      <c r="P197" s="44"/>
      <c r="Q197" s="44">
        <v>1683303</v>
      </c>
      <c r="R197" s="44"/>
      <c r="S197" s="44">
        <v>418611</v>
      </c>
      <c r="T197" s="44"/>
      <c r="U197" s="44">
        <v>557036</v>
      </c>
      <c r="V197" s="44"/>
      <c r="W197" s="44">
        <v>0</v>
      </c>
      <c r="X197" s="44"/>
      <c r="Y197" s="44">
        <v>0</v>
      </c>
      <c r="Z197" s="44"/>
      <c r="AA197" s="44">
        <f t="shared" si="4"/>
        <v>22950279</v>
      </c>
      <c r="AB197" s="44"/>
      <c r="AC197" s="44">
        <f t="shared" si="5"/>
        <v>27523787</v>
      </c>
    </row>
    <row r="198" spans="1:29" s="46" customFormat="1" ht="12.75" customHeight="1">
      <c r="A198" s="46" t="s">
        <v>227</v>
      </c>
      <c r="C198" s="46" t="s">
        <v>17</v>
      </c>
      <c r="E198" s="44">
        <v>846793</v>
      </c>
      <c r="F198" s="44"/>
      <c r="G198" s="44">
        <v>10220</v>
      </c>
      <c r="H198" s="44"/>
      <c r="I198" s="44">
        <v>2337545</v>
      </c>
      <c r="J198" s="44"/>
      <c r="K198" s="44">
        <f>372752+96666+986403</f>
        <v>1455821</v>
      </c>
      <c r="L198" s="44"/>
      <c r="M198" s="44">
        <f>1825663+460454</f>
        <v>2286117</v>
      </c>
      <c r="N198" s="44"/>
      <c r="O198" s="44">
        <v>0</v>
      </c>
      <c r="P198" s="44"/>
      <c r="Q198" s="44">
        <v>264739</v>
      </c>
      <c r="R198" s="44"/>
      <c r="S198" s="44">
        <v>42779</v>
      </c>
      <c r="T198" s="44"/>
      <c r="U198" s="44">
        <v>1352385</v>
      </c>
      <c r="V198" s="44"/>
      <c r="W198" s="44">
        <v>0</v>
      </c>
      <c r="X198" s="44"/>
      <c r="Y198" s="44">
        <v>0</v>
      </c>
      <c r="Z198" s="44"/>
      <c r="AA198" s="44">
        <f t="shared" si="4"/>
        <v>5401841</v>
      </c>
      <c r="AB198" s="44"/>
      <c r="AC198" s="44">
        <f t="shared" si="5"/>
        <v>8596399</v>
      </c>
    </row>
    <row r="199" spans="1:29" s="47" customFormat="1" ht="12.75" customHeight="1">
      <c r="A199" s="47" t="s">
        <v>228</v>
      </c>
      <c r="C199" s="47" t="s">
        <v>153</v>
      </c>
      <c r="E199" s="44">
        <v>844088</v>
      </c>
      <c r="F199" s="44"/>
      <c r="G199" s="44">
        <v>738875</v>
      </c>
      <c r="H199" s="44"/>
      <c r="I199" s="44">
        <v>1623292</v>
      </c>
      <c r="J199" s="44"/>
      <c r="K199" s="44">
        <f>268642+496402</f>
        <v>765044</v>
      </c>
      <c r="L199" s="44"/>
      <c r="M199" s="44">
        <f>1501521+155616+1121481</f>
        <v>2778618</v>
      </c>
      <c r="N199" s="44"/>
      <c r="O199" s="44">
        <v>413803</v>
      </c>
      <c r="P199" s="44"/>
      <c r="Q199" s="44">
        <v>1028088</v>
      </c>
      <c r="R199" s="44"/>
      <c r="S199" s="44">
        <v>216990</v>
      </c>
      <c r="T199" s="44"/>
      <c r="U199" s="44">
        <v>77071</v>
      </c>
      <c r="V199" s="44"/>
      <c r="W199" s="44">
        <v>0</v>
      </c>
      <c r="X199" s="44"/>
      <c r="Y199" s="44">
        <v>43384</v>
      </c>
      <c r="Z199" s="44"/>
      <c r="AA199" s="44">
        <f t="shared" si="4"/>
        <v>5322998</v>
      </c>
      <c r="AB199" s="44"/>
      <c r="AC199" s="44">
        <f t="shared" si="5"/>
        <v>8529253</v>
      </c>
    </row>
    <row r="200" spans="1:29" s="47" customFormat="1" ht="12.75" customHeight="1">
      <c r="A200" s="47" t="s">
        <v>229</v>
      </c>
      <c r="C200" s="47" t="s">
        <v>228</v>
      </c>
      <c r="E200" s="44">
        <v>1862994</v>
      </c>
      <c r="F200" s="44"/>
      <c r="G200" s="44">
        <v>1450075</v>
      </c>
      <c r="H200" s="44"/>
      <c r="I200" s="44">
        <v>1127329</v>
      </c>
      <c r="J200" s="44"/>
      <c r="K200" s="44">
        <f>12505553+1440528+693003</f>
        <v>14639084</v>
      </c>
      <c r="L200" s="44"/>
      <c r="M200" s="44">
        <v>0</v>
      </c>
      <c r="N200" s="44"/>
      <c r="O200" s="44">
        <v>1135782</v>
      </c>
      <c r="P200" s="44"/>
      <c r="Q200" s="44">
        <v>0</v>
      </c>
      <c r="R200" s="44"/>
      <c r="S200" s="44">
        <v>561282</v>
      </c>
      <c r="T200" s="44"/>
      <c r="U200" s="44">
        <v>68482</v>
      </c>
      <c r="V200" s="44"/>
      <c r="W200" s="44">
        <v>-820036</v>
      </c>
      <c r="X200" s="44"/>
      <c r="Y200" s="44">
        <v>4070</v>
      </c>
      <c r="Z200" s="44"/>
      <c r="AA200" s="44">
        <f t="shared" si="4"/>
        <v>15588664</v>
      </c>
      <c r="AB200" s="44"/>
      <c r="AC200" s="44">
        <f t="shared" si="5"/>
        <v>20029062</v>
      </c>
    </row>
    <row r="201" spans="1:29" s="47" customFormat="1" ht="12.75" customHeight="1">
      <c r="A201" s="47" t="s">
        <v>230</v>
      </c>
      <c r="C201" s="47" t="s">
        <v>45</v>
      </c>
      <c r="E201" s="44">
        <v>291338</v>
      </c>
      <c r="F201" s="44"/>
      <c r="G201" s="44">
        <v>268934</v>
      </c>
      <c r="H201" s="44"/>
      <c r="I201" s="44">
        <v>108267</v>
      </c>
      <c r="J201" s="44"/>
      <c r="K201" s="44">
        <v>575374</v>
      </c>
      <c r="L201" s="44"/>
      <c r="M201" s="44">
        <v>1246905</v>
      </c>
      <c r="N201" s="44"/>
      <c r="O201" s="44">
        <v>0</v>
      </c>
      <c r="P201" s="44"/>
      <c r="Q201" s="44">
        <v>333791</v>
      </c>
      <c r="R201" s="44"/>
      <c r="S201" s="44">
        <v>76932</v>
      </c>
      <c r="T201" s="44"/>
      <c r="U201" s="44">
        <v>241118</v>
      </c>
      <c r="V201" s="44"/>
      <c r="W201" s="44">
        <v>0</v>
      </c>
      <c r="X201" s="44"/>
      <c r="Y201" s="44">
        <v>0</v>
      </c>
      <c r="Z201" s="44"/>
      <c r="AA201" s="44">
        <f t="shared" si="4"/>
        <v>2474120</v>
      </c>
      <c r="AB201" s="44"/>
      <c r="AC201" s="44">
        <f t="shared" si="5"/>
        <v>3142659</v>
      </c>
    </row>
    <row r="202" spans="1:29" s="47" customFormat="1" ht="12.75" customHeight="1">
      <c r="A202" s="47" t="s">
        <v>231</v>
      </c>
      <c r="C202" s="47" t="s">
        <v>27</v>
      </c>
      <c r="E202" s="44">
        <v>5125011</v>
      </c>
      <c r="F202" s="44"/>
      <c r="G202" s="44">
        <v>1405596</v>
      </c>
      <c r="H202" s="44"/>
      <c r="I202" s="44">
        <v>1137370</v>
      </c>
      <c r="J202" s="44"/>
      <c r="K202" s="44">
        <f>931232+1933192+474758+711430+457470+305922</f>
        <v>4814004</v>
      </c>
      <c r="L202" s="44"/>
      <c r="M202" s="44">
        <f>28158976+3607+9179725+74141</f>
        <v>37416449</v>
      </c>
      <c r="N202" s="44"/>
      <c r="O202" s="44">
        <v>0</v>
      </c>
      <c r="P202" s="44"/>
      <c r="Q202" s="44">
        <v>2389085</v>
      </c>
      <c r="R202" s="44"/>
      <c r="S202" s="44">
        <v>2807067</v>
      </c>
      <c r="T202" s="44"/>
      <c r="U202" s="44">
        <v>582432</v>
      </c>
      <c r="V202" s="44"/>
      <c r="W202" s="44">
        <v>-2211065</v>
      </c>
      <c r="X202" s="44"/>
      <c r="Y202" s="44">
        <v>1799567</v>
      </c>
      <c r="Z202" s="44"/>
      <c r="AA202" s="44">
        <f t="shared" si="4"/>
        <v>47597539</v>
      </c>
      <c r="AB202" s="44"/>
      <c r="AC202" s="44">
        <f t="shared" si="5"/>
        <v>55265516</v>
      </c>
    </row>
    <row r="203" spans="1:29" s="47" customFormat="1" ht="12.75" customHeight="1">
      <c r="A203" s="47" t="s">
        <v>232</v>
      </c>
      <c r="C203" s="47" t="s">
        <v>27</v>
      </c>
      <c r="E203" s="44">
        <v>5385812</v>
      </c>
      <c r="F203" s="44"/>
      <c r="G203" s="44">
        <v>1107332</v>
      </c>
      <c r="H203" s="44"/>
      <c r="I203" s="44">
        <v>245873</v>
      </c>
      <c r="J203" s="44"/>
      <c r="K203" s="44">
        <f>4256560+442310+511338+239886</f>
        <v>5450094</v>
      </c>
      <c r="L203" s="44"/>
      <c r="M203" s="44">
        <v>9085439</v>
      </c>
      <c r="N203" s="44"/>
      <c r="O203" s="44">
        <v>0</v>
      </c>
      <c r="P203" s="44"/>
      <c r="Q203" s="44">
        <v>2351687</v>
      </c>
      <c r="R203" s="44"/>
      <c r="S203" s="44">
        <v>426403</v>
      </c>
      <c r="T203" s="44"/>
      <c r="U203" s="44">
        <v>521451</v>
      </c>
      <c r="V203" s="44"/>
      <c r="W203" s="44">
        <v>0</v>
      </c>
      <c r="X203" s="44"/>
      <c r="Y203" s="44">
        <v>0</v>
      </c>
      <c r="Z203" s="44"/>
      <c r="AA203" s="44">
        <f t="shared" si="4"/>
        <v>17835074</v>
      </c>
      <c r="AB203" s="44"/>
      <c r="AC203" s="44">
        <f t="shared" si="5"/>
        <v>24574091</v>
      </c>
    </row>
    <row r="204" spans="1:29" s="47" customFormat="1" ht="12.75" customHeight="1">
      <c r="A204" s="47" t="s">
        <v>233</v>
      </c>
      <c r="C204" s="47" t="s">
        <v>111</v>
      </c>
      <c r="E204" s="44">
        <v>1520323</v>
      </c>
      <c r="F204" s="44"/>
      <c r="G204" s="44">
        <v>1072511</v>
      </c>
      <c r="H204" s="44"/>
      <c r="I204" s="44">
        <v>152160</v>
      </c>
      <c r="J204" s="44"/>
      <c r="K204" s="44">
        <v>691809</v>
      </c>
      <c r="L204" s="44"/>
      <c r="M204" s="44">
        <v>9678509</v>
      </c>
      <c r="N204" s="44"/>
      <c r="O204" s="44">
        <f>83684+381409</f>
        <v>465093</v>
      </c>
      <c r="P204" s="44"/>
      <c r="Q204" s="44">
        <v>453943</v>
      </c>
      <c r="R204" s="44"/>
      <c r="S204" s="44">
        <v>625240</v>
      </c>
      <c r="T204" s="44"/>
      <c r="U204" s="44">
        <v>1338459</v>
      </c>
      <c r="V204" s="44"/>
      <c r="W204" s="44">
        <v>-2847568</v>
      </c>
      <c r="X204" s="44"/>
      <c r="Y204" s="44">
        <v>0</v>
      </c>
      <c r="Z204" s="44"/>
      <c r="AA204" s="44">
        <f t="shared" si="4"/>
        <v>10405485</v>
      </c>
      <c r="AB204" s="44"/>
      <c r="AC204" s="44">
        <f t="shared" si="5"/>
        <v>13150479</v>
      </c>
    </row>
    <row r="205" spans="1:29" s="47" customFormat="1" ht="12.75" customHeight="1">
      <c r="A205" s="47" t="s">
        <v>234</v>
      </c>
      <c r="C205" s="47" t="s">
        <v>45</v>
      </c>
      <c r="E205" s="44">
        <v>1045650</v>
      </c>
      <c r="F205" s="44"/>
      <c r="G205" s="44">
        <v>255165</v>
      </c>
      <c r="H205" s="44"/>
      <c r="I205" s="44">
        <v>461714</v>
      </c>
      <c r="J205" s="44"/>
      <c r="K205" s="44">
        <v>1615652</v>
      </c>
      <c r="L205" s="44"/>
      <c r="M205" s="44">
        <v>13924066</v>
      </c>
      <c r="N205" s="44"/>
      <c r="O205" s="44">
        <v>813120</v>
      </c>
      <c r="P205" s="44"/>
      <c r="Q205" s="44">
        <v>2305337</v>
      </c>
      <c r="R205" s="44"/>
      <c r="S205" s="44">
        <v>190659</v>
      </c>
      <c r="T205" s="44"/>
      <c r="U205" s="44">
        <v>447775</v>
      </c>
      <c r="V205" s="44"/>
      <c r="W205" s="44">
        <v>0</v>
      </c>
      <c r="X205" s="44"/>
      <c r="Y205" s="44">
        <v>217836</v>
      </c>
      <c r="Z205" s="44"/>
      <c r="AA205" s="44">
        <f>SUM(K205:Y205)</f>
        <v>19514445</v>
      </c>
      <c r="AB205" s="44"/>
      <c r="AC205" s="44">
        <f>SUM(E205:Y205)</f>
        <v>21276974</v>
      </c>
    </row>
    <row r="206" spans="1:29" s="47" customFormat="1" ht="12.75" customHeight="1">
      <c r="A206" s="47" t="s">
        <v>235</v>
      </c>
      <c r="C206" s="47" t="s">
        <v>183</v>
      </c>
      <c r="E206" s="44">
        <v>8363259</v>
      </c>
      <c r="F206" s="44"/>
      <c r="G206" s="44">
        <v>5282468</v>
      </c>
      <c r="H206" s="44"/>
      <c r="I206" s="44">
        <v>4874271</v>
      </c>
      <c r="J206" s="44"/>
      <c r="K206" s="44">
        <v>2851971</v>
      </c>
      <c r="L206" s="44"/>
      <c r="M206" s="44">
        <v>29361137</v>
      </c>
      <c r="N206" s="44"/>
      <c r="O206" s="44">
        <v>608776</v>
      </c>
      <c r="P206" s="44"/>
      <c r="Q206" s="44">
        <f>7780316+2536630</f>
        <v>10316946</v>
      </c>
      <c r="R206" s="44"/>
      <c r="S206" s="44">
        <v>975675</v>
      </c>
      <c r="T206" s="44"/>
      <c r="U206" s="44">
        <v>1858795</v>
      </c>
      <c r="V206" s="44"/>
      <c r="W206" s="44">
        <v>-1146816</v>
      </c>
      <c r="X206" s="44"/>
      <c r="Y206" s="44">
        <v>0</v>
      </c>
      <c r="Z206" s="44"/>
      <c r="AA206" s="44">
        <f t="shared" si="4"/>
        <v>44826484</v>
      </c>
      <c r="AB206" s="44"/>
      <c r="AC206" s="44">
        <f t="shared" si="5"/>
        <v>63346482</v>
      </c>
    </row>
    <row r="207" spans="1:29" s="47" customFormat="1" ht="12.75" customHeight="1">
      <c r="A207" s="47" t="s">
        <v>236</v>
      </c>
      <c r="C207" s="47" t="s">
        <v>45</v>
      </c>
      <c r="E207" s="44">
        <v>376687</v>
      </c>
      <c r="F207" s="44"/>
      <c r="G207" s="44">
        <v>220882</v>
      </c>
      <c r="H207" s="44"/>
      <c r="I207" s="44">
        <v>0</v>
      </c>
      <c r="J207" s="44"/>
      <c r="K207" s="44">
        <v>13014285</v>
      </c>
      <c r="L207" s="44"/>
      <c r="M207" s="44">
        <v>0</v>
      </c>
      <c r="N207" s="44"/>
      <c r="O207" s="44">
        <v>0</v>
      </c>
      <c r="P207" s="44"/>
      <c r="Q207" s="44">
        <v>645893</v>
      </c>
      <c r="R207" s="44"/>
      <c r="S207" s="44">
        <v>312555</v>
      </c>
      <c r="T207" s="44"/>
      <c r="U207" s="44">
        <v>284043</v>
      </c>
      <c r="V207" s="44"/>
      <c r="W207" s="44">
        <v>0</v>
      </c>
      <c r="X207" s="44"/>
      <c r="Y207" s="44">
        <v>0</v>
      </c>
      <c r="Z207" s="44"/>
      <c r="AA207" s="44">
        <f t="shared" si="4"/>
        <v>14256776</v>
      </c>
      <c r="AB207" s="44"/>
      <c r="AC207" s="44">
        <f>SUM(E207:Y207)</f>
        <v>14854345</v>
      </c>
    </row>
    <row r="208" spans="1:29" s="47" customFormat="1" ht="12.75" customHeight="1">
      <c r="A208" s="47" t="s">
        <v>237</v>
      </c>
      <c r="C208" s="47" t="s">
        <v>33</v>
      </c>
      <c r="E208" s="44">
        <v>285217</v>
      </c>
      <c r="F208" s="44"/>
      <c r="G208" s="44">
        <v>1233699</v>
      </c>
      <c r="H208" s="44"/>
      <c r="I208" s="44">
        <v>817451</v>
      </c>
      <c r="J208" s="44"/>
      <c r="K208" s="44">
        <f>482193+354352</f>
        <v>836545</v>
      </c>
      <c r="L208" s="44"/>
      <c r="M208" s="44">
        <v>0</v>
      </c>
      <c r="N208" s="44"/>
      <c r="O208" s="44">
        <v>891893</v>
      </c>
      <c r="P208" s="44"/>
      <c r="Q208" s="44">
        <v>204493</v>
      </c>
      <c r="R208" s="44"/>
      <c r="S208" s="44">
        <v>0</v>
      </c>
      <c r="T208" s="44"/>
      <c r="U208" s="44">
        <v>73308</v>
      </c>
      <c r="V208" s="44"/>
      <c r="W208" s="44">
        <v>-295898</v>
      </c>
      <c r="X208" s="44"/>
      <c r="Y208" s="44">
        <v>118248</v>
      </c>
      <c r="Z208" s="44"/>
      <c r="AA208" s="44">
        <f t="shared" si="4"/>
        <v>1828589</v>
      </c>
      <c r="AB208" s="44"/>
      <c r="AC208" s="44">
        <f>SUM(E208:Y208)</f>
        <v>4164956</v>
      </c>
    </row>
    <row r="209" spans="1:29" s="47" customFormat="1" ht="12.75" customHeight="1">
      <c r="A209" s="47" t="s">
        <v>238</v>
      </c>
      <c r="C209" s="47" t="s">
        <v>239</v>
      </c>
      <c r="E209" s="44">
        <v>817668</v>
      </c>
      <c r="F209" s="44"/>
      <c r="G209" s="44">
        <v>446061</v>
      </c>
      <c r="H209" s="44"/>
      <c r="I209" s="44">
        <v>106770</v>
      </c>
      <c r="J209" s="44"/>
      <c r="K209" s="44">
        <f>1174784+85266</f>
        <v>1260050</v>
      </c>
      <c r="L209" s="44"/>
      <c r="M209" s="44">
        <f>1995628+705517+1891179</f>
        <v>4592324</v>
      </c>
      <c r="N209" s="44"/>
      <c r="O209" s="44">
        <v>0</v>
      </c>
      <c r="P209" s="44"/>
      <c r="Q209" s="44">
        <v>469589</v>
      </c>
      <c r="R209" s="44"/>
      <c r="S209" s="44">
        <v>401679</v>
      </c>
      <c r="T209" s="44"/>
      <c r="U209" s="44">
        <v>97156</v>
      </c>
      <c r="V209" s="44"/>
      <c r="W209" s="44">
        <v>637580</v>
      </c>
      <c r="X209" s="44"/>
      <c r="Y209" s="44">
        <v>-1445153</v>
      </c>
      <c r="Z209" s="44"/>
      <c r="AA209" s="44">
        <f>SUM(K209:Y209)</f>
        <v>6013225</v>
      </c>
      <c r="AB209" s="44"/>
      <c r="AC209" s="44">
        <f>SUM(E209:Y209)</f>
        <v>7383724</v>
      </c>
    </row>
    <row r="210" spans="1:29" s="47" customFormat="1" ht="12.75" customHeight="1">
      <c r="A210" s="47" t="s">
        <v>486</v>
      </c>
      <c r="C210" s="47" t="s">
        <v>249</v>
      </c>
      <c r="E210" s="44">
        <v>1221790</v>
      </c>
      <c r="F210" s="44"/>
      <c r="G210" s="44">
        <v>2172964</v>
      </c>
      <c r="H210" s="44"/>
      <c r="I210" s="44">
        <v>1092423</v>
      </c>
      <c r="J210" s="44"/>
      <c r="K210" s="44">
        <f>1081165+224870</f>
        <v>1306035</v>
      </c>
      <c r="L210" s="44"/>
      <c r="M210" s="44">
        <f>7236415+780379+355469+118490</f>
        <v>8490753</v>
      </c>
      <c r="N210" s="44"/>
      <c r="O210" s="44">
        <v>252246</v>
      </c>
      <c r="P210" s="44"/>
      <c r="Q210" s="44">
        <v>2133769</v>
      </c>
      <c r="R210" s="44"/>
      <c r="S210" s="44">
        <v>81748</v>
      </c>
      <c r="T210" s="44"/>
      <c r="U210" s="44">
        <f>15864+225453</f>
        <v>241317</v>
      </c>
      <c r="V210" s="44"/>
      <c r="W210" s="44">
        <v>0</v>
      </c>
      <c r="X210" s="44"/>
      <c r="Y210" s="44">
        <v>0</v>
      </c>
      <c r="Z210" s="44"/>
      <c r="AA210" s="44">
        <f>SUM(K210:Y210)</f>
        <v>12505868</v>
      </c>
      <c r="AB210" s="44"/>
      <c r="AC210" s="44">
        <f>SUM(E210:Y210)</f>
        <v>16993045</v>
      </c>
    </row>
    <row r="211" spans="1:29" s="47" customFormat="1" ht="12.75" customHeight="1">
      <c r="A211" s="47" t="s">
        <v>240</v>
      </c>
      <c r="C211" s="47" t="s">
        <v>13</v>
      </c>
      <c r="E211" s="44">
        <v>2462507</v>
      </c>
      <c r="F211" s="44"/>
      <c r="G211" s="44">
        <v>3552329</v>
      </c>
      <c r="H211" s="44"/>
      <c r="I211" s="44">
        <v>3903132</v>
      </c>
      <c r="J211" s="44"/>
      <c r="K211" s="44">
        <f>4787453+2264687</f>
        <v>7052140</v>
      </c>
      <c r="L211" s="44"/>
      <c r="M211" s="44">
        <v>12504118</v>
      </c>
      <c r="N211" s="44"/>
      <c r="O211" s="44">
        <v>0</v>
      </c>
      <c r="P211" s="44"/>
      <c r="Q211" s="44">
        <v>3942230</v>
      </c>
      <c r="R211" s="44"/>
      <c r="S211" s="44">
        <v>470727</v>
      </c>
      <c r="T211" s="44"/>
      <c r="U211" s="44">
        <v>321544</v>
      </c>
      <c r="V211" s="44"/>
      <c r="W211" s="44">
        <v>72408</v>
      </c>
      <c r="X211" s="44"/>
      <c r="Y211" s="44">
        <v>0</v>
      </c>
      <c r="Z211" s="44"/>
      <c r="AA211" s="44">
        <f t="shared" si="4"/>
        <v>24363167</v>
      </c>
      <c r="AB211" s="44"/>
      <c r="AC211" s="44">
        <f t="shared" si="5"/>
        <v>34281135</v>
      </c>
    </row>
    <row r="212" spans="1:29" s="122" customFormat="1" ht="12.75" hidden="1" customHeight="1">
      <c r="A212" s="47" t="s">
        <v>241</v>
      </c>
      <c r="B212" s="47"/>
      <c r="C212" s="47" t="s">
        <v>22</v>
      </c>
      <c r="D212" s="47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>
        <f t="shared" si="4"/>
        <v>0</v>
      </c>
      <c r="AB212" s="44"/>
      <c r="AC212" s="44">
        <f t="shared" si="5"/>
        <v>0</v>
      </c>
    </row>
    <row r="213" spans="1:29" s="47" customFormat="1" ht="12.75" customHeight="1">
      <c r="A213" s="47" t="s">
        <v>242</v>
      </c>
      <c r="C213" s="47" t="s">
        <v>27</v>
      </c>
      <c r="E213" s="44">
        <v>6940715</v>
      </c>
      <c r="F213" s="44"/>
      <c r="G213" s="44">
        <v>2250629</v>
      </c>
      <c r="H213" s="44"/>
      <c r="I213" s="44">
        <v>1676518</v>
      </c>
      <c r="J213" s="44"/>
      <c r="K213" s="44">
        <f>500118+4464616+3745667</f>
        <v>8710401</v>
      </c>
      <c r="L213" s="44"/>
      <c r="M213" s="44">
        <f>24737583+2880291</f>
        <v>27617874</v>
      </c>
      <c r="N213" s="44"/>
      <c r="O213" s="44">
        <f>1105006+290111</f>
        <v>1395117</v>
      </c>
      <c r="P213" s="44"/>
      <c r="Q213" s="44">
        <v>3588997</v>
      </c>
      <c r="R213" s="44"/>
      <c r="S213" s="44">
        <v>740975</v>
      </c>
      <c r="T213" s="44"/>
      <c r="U213" s="44">
        <v>17214</v>
      </c>
      <c r="V213" s="44"/>
      <c r="W213" s="44">
        <v>0</v>
      </c>
      <c r="X213" s="44"/>
      <c r="Y213" s="44">
        <v>116910</v>
      </c>
      <c r="Z213" s="44"/>
      <c r="AA213" s="44">
        <f t="shared" si="4"/>
        <v>42187488</v>
      </c>
      <c r="AB213" s="44"/>
      <c r="AC213" s="44">
        <f t="shared" si="5"/>
        <v>53055350</v>
      </c>
    </row>
    <row r="214" spans="1:29" s="47" customFormat="1" ht="12.75" customHeight="1">
      <c r="A214" s="47" t="s">
        <v>243</v>
      </c>
      <c r="C214" s="47" t="s">
        <v>163</v>
      </c>
      <c r="E214" s="44">
        <v>1565409</v>
      </c>
      <c r="F214" s="44"/>
      <c r="G214" s="44">
        <v>2101567</v>
      </c>
      <c r="H214" s="44"/>
      <c r="I214" s="44">
        <v>793480</v>
      </c>
      <c r="J214" s="44"/>
      <c r="K214" s="44">
        <f>1945577</f>
        <v>1945577</v>
      </c>
      <c r="L214" s="44"/>
      <c r="M214" s="44">
        <v>8475399</v>
      </c>
      <c r="N214" s="44"/>
      <c r="O214" s="44">
        <v>0</v>
      </c>
      <c r="P214" s="44"/>
      <c r="Q214" s="44">
        <v>2584500</v>
      </c>
      <c r="R214" s="44"/>
      <c r="S214" s="44">
        <v>1104245</v>
      </c>
      <c r="T214" s="44"/>
      <c r="U214" s="44">
        <v>393308</v>
      </c>
      <c r="V214" s="44"/>
      <c r="W214" s="44">
        <v>227278</v>
      </c>
      <c r="X214" s="44"/>
      <c r="Y214" s="44">
        <v>525786</v>
      </c>
      <c r="Z214" s="44"/>
      <c r="AA214" s="44">
        <f t="shared" ref="AA214" si="7">SUM(K214:Y214)</f>
        <v>15256093</v>
      </c>
      <c r="AB214" s="44"/>
      <c r="AC214" s="44">
        <f t="shared" ref="AC214" si="8">SUM(E214:Y214)</f>
        <v>19716549</v>
      </c>
    </row>
    <row r="215" spans="1:29" s="47" customFormat="1" ht="12.75" customHeight="1">
      <c r="A215" s="47" t="s">
        <v>244</v>
      </c>
      <c r="C215" s="47" t="s">
        <v>13</v>
      </c>
      <c r="E215" s="44">
        <v>2258880</v>
      </c>
      <c r="F215" s="44"/>
      <c r="G215" s="44">
        <v>854695</v>
      </c>
      <c r="H215" s="44"/>
      <c r="I215" s="44">
        <v>151646</v>
      </c>
      <c r="J215" s="44"/>
      <c r="K215" s="44">
        <f>918589+1419265+110081</f>
        <v>2447935</v>
      </c>
      <c r="L215" s="44"/>
      <c r="M215" s="44">
        <v>8118368</v>
      </c>
      <c r="N215" s="44"/>
      <c r="O215" s="44">
        <v>0</v>
      </c>
      <c r="P215" s="44"/>
      <c r="Q215" s="44">
        <v>1968428</v>
      </c>
      <c r="R215" s="44"/>
      <c r="S215" s="44">
        <v>210924</v>
      </c>
      <c r="T215" s="44"/>
      <c r="U215" s="44">
        <v>223833</v>
      </c>
      <c r="V215" s="44"/>
      <c r="W215" s="44">
        <v>48401</v>
      </c>
      <c r="X215" s="44"/>
      <c r="Y215" s="44">
        <v>0</v>
      </c>
      <c r="Z215" s="44"/>
      <c r="AA215" s="44">
        <f t="shared" ref="AA215:AA228" si="9">SUM(K215:Y215)</f>
        <v>13017889</v>
      </c>
      <c r="AB215" s="44"/>
      <c r="AC215" s="44">
        <f t="shared" ref="AC215:AC255" si="10">SUM(E215:Y215)</f>
        <v>16283110</v>
      </c>
    </row>
    <row r="216" spans="1:29" s="47" customFormat="1" ht="12.75" customHeight="1">
      <c r="A216" s="47" t="s">
        <v>245</v>
      </c>
      <c r="C216" s="47" t="s">
        <v>110</v>
      </c>
      <c r="E216" s="44">
        <v>1266239</v>
      </c>
      <c r="F216" s="44"/>
      <c r="G216" s="44">
        <v>902301</v>
      </c>
      <c r="H216" s="44"/>
      <c r="I216" s="44">
        <v>571266</v>
      </c>
      <c r="J216" s="44"/>
      <c r="K216" s="44">
        <f>915625+79075+79075</f>
        <v>1073775</v>
      </c>
      <c r="L216" s="44"/>
      <c r="M216" s="44">
        <v>7091062</v>
      </c>
      <c r="N216" s="44"/>
      <c r="O216" s="44">
        <v>0</v>
      </c>
      <c r="P216" s="44"/>
      <c r="Q216" s="44">
        <v>1601924</v>
      </c>
      <c r="R216" s="44"/>
      <c r="S216" s="44">
        <v>94188</v>
      </c>
      <c r="T216" s="44"/>
      <c r="U216" s="44">
        <f>140942+566168+190422</f>
        <v>897532</v>
      </c>
      <c r="V216" s="44"/>
      <c r="W216" s="44">
        <v>-81536</v>
      </c>
      <c r="X216" s="44"/>
      <c r="Y216" s="44">
        <v>-18802</v>
      </c>
      <c r="Z216" s="44"/>
      <c r="AA216" s="44">
        <f t="shared" si="9"/>
        <v>10658143</v>
      </c>
      <c r="AB216" s="44"/>
      <c r="AC216" s="44">
        <f t="shared" si="10"/>
        <v>13397949</v>
      </c>
    </row>
    <row r="217" spans="1:29" s="47" customFormat="1" ht="12.75" customHeight="1">
      <c r="A217" s="47" t="s">
        <v>246</v>
      </c>
      <c r="C217" s="47" t="s">
        <v>209</v>
      </c>
      <c r="E217" s="44">
        <v>1293673</v>
      </c>
      <c r="F217" s="44"/>
      <c r="G217" s="44">
        <v>656539</v>
      </c>
      <c r="H217" s="44"/>
      <c r="I217" s="44">
        <v>1927765</v>
      </c>
      <c r="J217" s="44"/>
      <c r="K217" s="44">
        <v>327431</v>
      </c>
      <c r="L217" s="44"/>
      <c r="M217" s="44">
        <v>3644832</v>
      </c>
      <c r="N217" s="44"/>
      <c r="O217" s="44">
        <v>21407</v>
      </c>
      <c r="P217" s="44"/>
      <c r="Q217" s="44">
        <v>1474216</v>
      </c>
      <c r="R217" s="44"/>
      <c r="S217" s="44">
        <v>441016</v>
      </c>
      <c r="T217" s="44"/>
      <c r="U217" s="44">
        <v>695718</v>
      </c>
      <c r="V217" s="44"/>
      <c r="W217" s="44">
        <v>21807</v>
      </c>
      <c r="X217" s="44"/>
      <c r="Y217" s="44">
        <v>0</v>
      </c>
      <c r="Z217" s="44"/>
      <c r="AA217" s="44">
        <f t="shared" si="9"/>
        <v>6626427</v>
      </c>
      <c r="AB217" s="44"/>
      <c r="AC217" s="44">
        <f t="shared" si="10"/>
        <v>10504404</v>
      </c>
    </row>
    <row r="218" spans="1:29" s="47" customFormat="1" ht="12.75" customHeight="1">
      <c r="A218" s="47" t="s">
        <v>247</v>
      </c>
      <c r="C218" s="47" t="s">
        <v>163</v>
      </c>
      <c r="E218" s="44">
        <v>82484000</v>
      </c>
      <c r="F218" s="44"/>
      <c r="G218" s="44">
        <v>33081000</v>
      </c>
      <c r="H218" s="44"/>
      <c r="I218" s="44">
        <v>15537000</v>
      </c>
      <c r="J218" s="44"/>
      <c r="K218" s="44">
        <v>18078000</v>
      </c>
      <c r="L218" s="44"/>
      <c r="M218" s="44">
        <v>154475000</v>
      </c>
      <c r="N218" s="44"/>
      <c r="O218" s="44">
        <v>0</v>
      </c>
      <c r="P218" s="44"/>
      <c r="Q218" s="44">
        <v>0</v>
      </c>
      <c r="R218" s="44"/>
      <c r="S218" s="44">
        <v>5582000</v>
      </c>
      <c r="T218" s="44"/>
      <c r="U218" s="44">
        <v>14469000</v>
      </c>
      <c r="V218" s="44"/>
      <c r="W218" s="44">
        <v>1232000</v>
      </c>
      <c r="X218" s="44"/>
      <c r="Y218" s="44">
        <v>0</v>
      </c>
      <c r="Z218" s="44"/>
      <c r="AA218" s="44">
        <f t="shared" si="9"/>
        <v>193836000</v>
      </c>
      <c r="AB218" s="44"/>
      <c r="AC218" s="44">
        <f t="shared" si="10"/>
        <v>324938000</v>
      </c>
    </row>
    <row r="219" spans="1:29" s="47" customFormat="1" ht="12.75" customHeight="1">
      <c r="A219" s="47" t="s">
        <v>248</v>
      </c>
      <c r="C219" s="47" t="s">
        <v>249</v>
      </c>
      <c r="E219" s="44">
        <v>130844</v>
      </c>
      <c r="F219" s="44"/>
      <c r="G219" s="44">
        <v>1850204</v>
      </c>
      <c r="H219" s="44"/>
      <c r="I219" s="44">
        <v>10000</v>
      </c>
      <c r="J219" s="44"/>
      <c r="K219" s="44">
        <f>139256+480+53648</f>
        <v>193384</v>
      </c>
      <c r="L219" s="44"/>
      <c r="M219" s="44">
        <v>2482760</v>
      </c>
      <c r="N219" s="44"/>
      <c r="O219" s="44">
        <v>47972</v>
      </c>
      <c r="P219" s="44"/>
      <c r="Q219" s="44">
        <v>595116</v>
      </c>
      <c r="R219" s="44"/>
      <c r="S219" s="44">
        <v>49422</v>
      </c>
      <c r="T219" s="44"/>
      <c r="U219" s="44">
        <v>253785</v>
      </c>
      <c r="V219" s="44"/>
      <c r="W219" s="44">
        <v>-404384</v>
      </c>
      <c r="X219" s="44"/>
      <c r="Y219" s="44">
        <v>0</v>
      </c>
      <c r="Z219" s="44"/>
      <c r="AA219" s="44">
        <f t="shared" si="9"/>
        <v>3218055</v>
      </c>
      <c r="AB219" s="44"/>
      <c r="AC219" s="44">
        <f t="shared" si="10"/>
        <v>5209103</v>
      </c>
    </row>
    <row r="220" spans="1:29" s="47" customFormat="1" ht="12.75" customHeight="1">
      <c r="A220" s="47" t="s">
        <v>250</v>
      </c>
      <c r="C220" s="47" t="s">
        <v>103</v>
      </c>
      <c r="E220" s="44">
        <v>515401</v>
      </c>
      <c r="F220" s="44"/>
      <c r="G220" s="44">
        <v>603661</v>
      </c>
      <c r="H220" s="44"/>
      <c r="I220" s="44">
        <v>0</v>
      </c>
      <c r="J220" s="44"/>
      <c r="K220" s="44">
        <v>522912</v>
      </c>
      <c r="L220" s="44"/>
      <c r="M220" s="44">
        <v>1519069</v>
      </c>
      <c r="N220" s="44"/>
      <c r="O220" s="44">
        <f>24262+109997+3114+77567</f>
        <v>214940</v>
      </c>
      <c r="P220" s="44"/>
      <c r="Q220" s="44">
        <v>411891</v>
      </c>
      <c r="R220" s="44"/>
      <c r="S220" s="44">
        <v>236355</v>
      </c>
      <c r="T220" s="44"/>
      <c r="U220" s="44">
        <v>80152</v>
      </c>
      <c r="V220" s="44"/>
      <c r="W220" s="44">
        <v>25000</v>
      </c>
      <c r="X220" s="44"/>
      <c r="Y220" s="44">
        <v>0</v>
      </c>
      <c r="Z220" s="44"/>
      <c r="AA220" s="44">
        <f t="shared" si="9"/>
        <v>3010319</v>
      </c>
      <c r="AB220" s="44"/>
      <c r="AC220" s="44">
        <f t="shared" si="10"/>
        <v>4129381</v>
      </c>
    </row>
    <row r="221" spans="1:29" s="47" customFormat="1" ht="12.75" customHeight="1">
      <c r="A221" s="47" t="s">
        <v>251</v>
      </c>
      <c r="C221" s="47" t="s">
        <v>66</v>
      </c>
      <c r="E221" s="44">
        <v>1964273</v>
      </c>
      <c r="F221" s="44"/>
      <c r="G221" s="44">
        <v>3323285</v>
      </c>
      <c r="H221" s="44"/>
      <c r="I221" s="44">
        <v>2279206</v>
      </c>
      <c r="J221" s="44"/>
      <c r="K221" s="44">
        <f>1846296+2842302+163110</f>
        <v>4851708</v>
      </c>
      <c r="L221" s="44"/>
      <c r="M221" s="44">
        <v>5058111</v>
      </c>
      <c r="N221" s="44"/>
      <c r="O221" s="44">
        <v>320584</v>
      </c>
      <c r="P221" s="44"/>
      <c r="Q221" s="44">
        <v>1421021</v>
      </c>
      <c r="R221" s="44"/>
      <c r="S221" s="44">
        <v>78738</v>
      </c>
      <c r="T221" s="44"/>
      <c r="U221" s="44">
        <v>335746</v>
      </c>
      <c r="V221" s="44"/>
      <c r="W221" s="44">
        <v>-680840</v>
      </c>
      <c r="X221" s="44"/>
      <c r="Y221" s="44">
        <v>0</v>
      </c>
      <c r="Z221" s="44"/>
      <c r="AA221" s="44">
        <f t="shared" si="9"/>
        <v>11385068</v>
      </c>
      <c r="AB221" s="44"/>
      <c r="AC221" s="44">
        <f t="shared" si="10"/>
        <v>18951832</v>
      </c>
    </row>
    <row r="222" spans="1:29" s="47" customFormat="1" ht="12.75" customHeight="1">
      <c r="A222" s="47" t="s">
        <v>252</v>
      </c>
      <c r="C222" s="47" t="s">
        <v>209</v>
      </c>
      <c r="E222" s="44">
        <v>2372604</v>
      </c>
      <c r="F222" s="44"/>
      <c r="G222" s="44">
        <v>1421682</v>
      </c>
      <c r="H222" s="44"/>
      <c r="I222" s="44">
        <v>1056487</v>
      </c>
      <c r="J222" s="44"/>
      <c r="K222" s="44">
        <f>1772552+870088</f>
        <v>2642640</v>
      </c>
      <c r="L222" s="44"/>
      <c r="M222" s="44">
        <v>13294831</v>
      </c>
      <c r="N222" s="44"/>
      <c r="O222" s="44">
        <v>0</v>
      </c>
      <c r="P222" s="44"/>
      <c r="Q222" s="44">
        <v>2146997</v>
      </c>
      <c r="R222" s="44"/>
      <c r="S222" s="44">
        <v>2115536</v>
      </c>
      <c r="T222" s="44"/>
      <c r="U222" s="44">
        <f>291351+50847+186224</f>
        <v>528422</v>
      </c>
      <c r="V222" s="44"/>
      <c r="W222" s="44">
        <v>-542102</v>
      </c>
      <c r="X222" s="44"/>
      <c r="Y222" s="44">
        <v>0</v>
      </c>
      <c r="Z222" s="44"/>
      <c r="AA222" s="44">
        <f t="shared" si="9"/>
        <v>20186324</v>
      </c>
      <c r="AB222" s="44"/>
      <c r="AC222" s="44">
        <f t="shared" si="10"/>
        <v>25037097</v>
      </c>
    </row>
    <row r="223" spans="1:29" s="47" customFormat="1" ht="12.75" customHeight="1">
      <c r="A223" s="47" t="s">
        <v>253</v>
      </c>
      <c r="C223" s="47" t="s">
        <v>13</v>
      </c>
      <c r="E223" s="44">
        <v>2824920</v>
      </c>
      <c r="F223" s="44"/>
      <c r="G223" s="44">
        <v>51025</v>
      </c>
      <c r="H223" s="44"/>
      <c r="I223" s="44">
        <v>2007897</v>
      </c>
      <c r="J223" s="44"/>
      <c r="K223" s="44">
        <f>579530+847151</f>
        <v>1426681</v>
      </c>
      <c r="L223" s="44"/>
      <c r="M223" s="44">
        <f>15182655+2943133</f>
        <v>18125788</v>
      </c>
      <c r="N223" s="44"/>
      <c r="O223" s="44">
        <v>0</v>
      </c>
      <c r="P223" s="44"/>
      <c r="Q223" s="44">
        <v>2233542</v>
      </c>
      <c r="R223" s="44"/>
      <c r="S223" s="44">
        <v>622598</v>
      </c>
      <c r="T223" s="44"/>
      <c r="U223" s="44">
        <v>66719</v>
      </c>
      <c r="V223" s="44"/>
      <c r="W223" s="44">
        <v>-584572</v>
      </c>
      <c r="X223" s="44"/>
      <c r="Y223" s="44">
        <v>0</v>
      </c>
      <c r="Z223" s="44"/>
      <c r="AA223" s="44">
        <f t="shared" si="9"/>
        <v>21890756</v>
      </c>
      <c r="AB223" s="44"/>
      <c r="AC223" s="44">
        <f>SUM(E223:Y223)</f>
        <v>26774598</v>
      </c>
    </row>
    <row r="224" spans="1:29" s="47" customFormat="1" ht="12.75" customHeight="1">
      <c r="A224" s="47" t="s">
        <v>254</v>
      </c>
      <c r="C224" s="47" t="s">
        <v>89</v>
      </c>
      <c r="E224" s="44">
        <v>244918</v>
      </c>
      <c r="F224" s="44"/>
      <c r="G224" s="44">
        <v>2370418</v>
      </c>
      <c r="H224" s="44"/>
      <c r="I224" s="44">
        <v>35851</v>
      </c>
      <c r="J224" s="44"/>
      <c r="K224" s="44">
        <f>299963+91365+18502+58736+28498</f>
        <v>497064</v>
      </c>
      <c r="L224" s="44"/>
      <c r="M224" s="44">
        <f>970375+264647</f>
        <v>1235022</v>
      </c>
      <c r="N224" s="44"/>
      <c r="O224" s="44">
        <v>0</v>
      </c>
      <c r="P224" s="44"/>
      <c r="Q224" s="44">
        <v>339480</v>
      </c>
      <c r="R224" s="44"/>
      <c r="S224" s="44">
        <v>32713</v>
      </c>
      <c r="T224" s="44"/>
      <c r="U224" s="44">
        <v>65163</v>
      </c>
      <c r="V224" s="44"/>
      <c r="W224" s="44">
        <v>0</v>
      </c>
      <c r="X224" s="44"/>
      <c r="Y224" s="44">
        <v>0</v>
      </c>
      <c r="Z224" s="44"/>
      <c r="AA224" s="44">
        <f t="shared" si="9"/>
        <v>2169442</v>
      </c>
      <c r="AB224" s="44"/>
      <c r="AC224" s="44">
        <f t="shared" si="10"/>
        <v>4820629</v>
      </c>
    </row>
    <row r="225" spans="1:29" s="47" customFormat="1" ht="12.75" customHeight="1">
      <c r="A225" s="47" t="s">
        <v>159</v>
      </c>
      <c r="C225" s="47" t="s">
        <v>66</v>
      </c>
      <c r="E225" s="44">
        <v>1192031</v>
      </c>
      <c r="F225" s="44"/>
      <c r="G225" s="44">
        <v>624847</v>
      </c>
      <c r="H225" s="44"/>
      <c r="I225" s="44">
        <v>531969</v>
      </c>
      <c r="J225" s="44"/>
      <c r="K225" s="44">
        <v>1440186</v>
      </c>
      <c r="L225" s="44"/>
      <c r="M225" s="44">
        <v>628187</v>
      </c>
      <c r="N225" s="44"/>
      <c r="O225" s="44">
        <v>0</v>
      </c>
      <c r="P225" s="44"/>
      <c r="Q225" s="44">
        <v>190035</v>
      </c>
      <c r="R225" s="44"/>
      <c r="S225" s="44">
        <v>45626</v>
      </c>
      <c r="T225" s="44"/>
      <c r="U225" s="44">
        <f>8247+2585</f>
        <v>10832</v>
      </c>
      <c r="V225" s="44"/>
      <c r="W225" s="44">
        <v>9862</v>
      </c>
      <c r="X225" s="44"/>
      <c r="Y225" s="44">
        <v>0</v>
      </c>
      <c r="Z225" s="44"/>
      <c r="AA225" s="44">
        <f t="shared" si="9"/>
        <v>2324728</v>
      </c>
      <c r="AB225" s="44"/>
      <c r="AC225" s="44">
        <f>SUM(E225:Y225)</f>
        <v>4673575</v>
      </c>
    </row>
    <row r="226" spans="1:29" s="47" customFormat="1" ht="12.75" customHeight="1">
      <c r="A226" s="47" t="s">
        <v>255</v>
      </c>
      <c r="C226" s="47" t="s">
        <v>27</v>
      </c>
      <c r="E226" s="44">
        <v>922618</v>
      </c>
      <c r="F226" s="44"/>
      <c r="G226" s="44">
        <v>29569</v>
      </c>
      <c r="H226" s="44"/>
      <c r="I226" s="44">
        <v>6880568</v>
      </c>
      <c r="J226" s="44"/>
      <c r="K226" s="44">
        <f>2610388+146652+512202</f>
        <v>3269242</v>
      </c>
      <c r="L226" s="44"/>
      <c r="M226" s="44">
        <v>8174969</v>
      </c>
      <c r="N226" s="44"/>
      <c r="O226" s="44">
        <v>0</v>
      </c>
      <c r="P226" s="44"/>
      <c r="Q226" s="44">
        <v>1835210</v>
      </c>
      <c r="R226" s="44"/>
      <c r="S226" s="44">
        <v>46388</v>
      </c>
      <c r="T226" s="44"/>
      <c r="U226" s="44">
        <v>89653</v>
      </c>
      <c r="V226" s="44"/>
      <c r="W226" s="44">
        <v>0</v>
      </c>
      <c r="X226" s="44"/>
      <c r="Y226" s="44">
        <v>0</v>
      </c>
      <c r="Z226" s="44"/>
      <c r="AA226" s="44">
        <f t="shared" si="9"/>
        <v>13415462</v>
      </c>
      <c r="AB226" s="44"/>
      <c r="AC226" s="44">
        <f t="shared" si="10"/>
        <v>21248217</v>
      </c>
    </row>
    <row r="227" spans="1:29" s="44" customFormat="1" ht="12.75" customHeight="1">
      <c r="A227" s="44" t="s">
        <v>256</v>
      </c>
      <c r="C227" s="44" t="s">
        <v>43</v>
      </c>
      <c r="E227" s="44">
        <v>3693331</v>
      </c>
      <c r="G227" s="44">
        <v>1632317</v>
      </c>
      <c r="I227" s="44">
        <v>194607</v>
      </c>
      <c r="K227" s="44">
        <v>8847280</v>
      </c>
      <c r="M227" s="44">
        <v>13626518</v>
      </c>
      <c r="O227" s="44">
        <v>3742723</v>
      </c>
      <c r="Q227" s="44">
        <v>4182228</v>
      </c>
      <c r="S227" s="44">
        <v>2562328</v>
      </c>
      <c r="U227" s="44">
        <v>486370</v>
      </c>
      <c r="W227" s="44">
        <v>-895110</v>
      </c>
      <c r="Y227" s="44">
        <v>0</v>
      </c>
      <c r="AA227" s="44">
        <f>SUM(K227:Y227)</f>
        <v>32552337</v>
      </c>
      <c r="AC227" s="44">
        <f>SUM(E227:Y227)</f>
        <v>38072592</v>
      </c>
    </row>
    <row r="228" spans="1:29" s="47" customFormat="1" ht="12.75" customHeight="1">
      <c r="A228" s="47" t="s">
        <v>257</v>
      </c>
      <c r="C228" s="47" t="s">
        <v>258</v>
      </c>
      <c r="E228" s="44">
        <v>60066</v>
      </c>
      <c r="F228" s="44"/>
      <c r="G228" s="44">
        <v>352570</v>
      </c>
      <c r="H228" s="44"/>
      <c r="I228" s="44">
        <v>793501</v>
      </c>
      <c r="J228" s="44"/>
      <c r="K228" s="44">
        <v>383942</v>
      </c>
      <c r="L228" s="44"/>
      <c r="M228" s="44">
        <v>2008777</v>
      </c>
      <c r="N228" s="44"/>
      <c r="O228" s="44">
        <v>0</v>
      </c>
      <c r="P228" s="44"/>
      <c r="Q228" s="44">
        <v>671054</v>
      </c>
      <c r="R228" s="44"/>
      <c r="S228" s="44">
        <v>44359</v>
      </c>
      <c r="T228" s="44"/>
      <c r="U228" s="44">
        <f>658288+87832+145338</f>
        <v>891458</v>
      </c>
      <c r="V228" s="44"/>
      <c r="W228" s="44">
        <v>241080</v>
      </c>
      <c r="X228" s="44"/>
      <c r="Y228" s="44">
        <v>0</v>
      </c>
      <c r="Z228" s="44"/>
      <c r="AA228" s="44">
        <f t="shared" si="9"/>
        <v>4240670</v>
      </c>
      <c r="AB228" s="44"/>
      <c r="AC228" s="44">
        <f>SUM(E228:Y228)</f>
        <v>5446807</v>
      </c>
    </row>
    <row r="229" spans="1:29" s="47" customFormat="1" ht="12.75" customHeight="1">
      <c r="A229" s="47" t="s">
        <v>259</v>
      </c>
      <c r="C229" s="47" t="s">
        <v>260</v>
      </c>
      <c r="E229" s="44">
        <v>2078327</v>
      </c>
      <c r="F229" s="44"/>
      <c r="G229" s="44">
        <v>809262</v>
      </c>
      <c r="H229" s="44"/>
      <c r="I229" s="44">
        <v>1625461</v>
      </c>
      <c r="J229" s="44"/>
      <c r="K229" s="44">
        <v>565912</v>
      </c>
      <c r="L229" s="44"/>
      <c r="M229" s="44">
        <v>5275958</v>
      </c>
      <c r="N229" s="44"/>
      <c r="O229" s="44">
        <v>147948</v>
      </c>
      <c r="P229" s="44"/>
      <c r="Q229" s="44">
        <v>772126</v>
      </c>
      <c r="R229" s="44"/>
      <c r="S229" s="44">
        <v>232352</v>
      </c>
      <c r="T229" s="44"/>
      <c r="U229" s="44">
        <f>304738-25638</f>
        <v>279100</v>
      </c>
      <c r="V229" s="44"/>
      <c r="W229" s="44">
        <v>234000</v>
      </c>
      <c r="X229" s="44"/>
      <c r="Y229" s="44">
        <v>0</v>
      </c>
      <c r="Z229" s="44"/>
      <c r="AA229" s="44">
        <f t="shared" ref="AA229:AA255" si="11">SUM(K229:Y229)</f>
        <v>7507396</v>
      </c>
      <c r="AB229" s="44"/>
      <c r="AC229" s="44">
        <f t="shared" si="10"/>
        <v>12020446</v>
      </c>
    </row>
    <row r="230" spans="1:29" s="47" customFormat="1" ht="12.75" customHeight="1">
      <c r="A230" s="47" t="s">
        <v>261</v>
      </c>
      <c r="C230" s="47" t="s">
        <v>66</v>
      </c>
      <c r="E230" s="44">
        <v>5163528</v>
      </c>
      <c r="F230" s="44"/>
      <c r="G230" s="44">
        <v>919062</v>
      </c>
      <c r="H230" s="44"/>
      <c r="I230" s="44">
        <v>750497</v>
      </c>
      <c r="J230" s="44"/>
      <c r="K230" s="44">
        <v>2077147</v>
      </c>
      <c r="L230" s="44"/>
      <c r="M230" s="44">
        <v>11391659</v>
      </c>
      <c r="N230" s="44"/>
      <c r="O230" s="44">
        <v>0</v>
      </c>
      <c r="P230" s="44"/>
      <c r="Q230" s="44">
        <v>1977904</v>
      </c>
      <c r="R230" s="44"/>
      <c r="S230" s="44">
        <v>1211323</v>
      </c>
      <c r="T230" s="44"/>
      <c r="U230" s="44">
        <v>154641</v>
      </c>
      <c r="V230" s="44"/>
      <c r="W230" s="44">
        <v>-1192831</v>
      </c>
      <c r="X230" s="44"/>
      <c r="Y230" s="44">
        <v>0</v>
      </c>
      <c r="Z230" s="44"/>
      <c r="AA230" s="44">
        <f t="shared" si="11"/>
        <v>15619843</v>
      </c>
      <c r="AB230" s="44"/>
      <c r="AC230" s="44">
        <f t="shared" si="10"/>
        <v>22452930</v>
      </c>
    </row>
    <row r="231" spans="1:29" s="47" customFormat="1" ht="12.75" hidden="1" customHeight="1">
      <c r="A231" s="47" t="s">
        <v>262</v>
      </c>
      <c r="C231" s="47" t="s">
        <v>132</v>
      </c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>
        <f t="shared" si="11"/>
        <v>0</v>
      </c>
      <c r="AB231" s="44"/>
      <c r="AC231" s="44">
        <f t="shared" si="10"/>
        <v>0</v>
      </c>
    </row>
    <row r="232" spans="1:29" s="47" customFormat="1" ht="12.75" customHeight="1">
      <c r="A232" s="47" t="s">
        <v>263</v>
      </c>
      <c r="C232" s="47" t="s">
        <v>53</v>
      </c>
      <c r="E232" s="44">
        <v>3447670</v>
      </c>
      <c r="F232" s="44"/>
      <c r="G232" s="44">
        <v>1111364</v>
      </c>
      <c r="H232" s="44"/>
      <c r="I232" s="44">
        <v>1799589</v>
      </c>
      <c r="J232" s="44"/>
      <c r="K232" s="44">
        <v>1110503</v>
      </c>
      <c r="L232" s="44"/>
      <c r="M232" s="44">
        <v>7332441</v>
      </c>
      <c r="N232" s="44"/>
      <c r="O232" s="44">
        <f>453955+1731358</f>
        <v>2185313</v>
      </c>
      <c r="P232" s="44"/>
      <c r="Q232" s="44">
        <v>3381413</v>
      </c>
      <c r="R232" s="44"/>
      <c r="S232" s="44">
        <v>542854</v>
      </c>
      <c r="T232" s="44"/>
      <c r="U232" s="44">
        <v>36636</v>
      </c>
      <c r="V232" s="44"/>
      <c r="W232" s="44">
        <v>0</v>
      </c>
      <c r="X232" s="44"/>
      <c r="Y232" s="44">
        <v>0</v>
      </c>
      <c r="Z232" s="44"/>
      <c r="AA232" s="44">
        <f t="shared" si="11"/>
        <v>14589160</v>
      </c>
      <c r="AB232" s="44"/>
      <c r="AC232" s="44">
        <f t="shared" si="10"/>
        <v>20947783</v>
      </c>
    </row>
    <row r="233" spans="1:29" s="47" customFormat="1" ht="12.75" customHeight="1">
      <c r="A233" s="47" t="s">
        <v>264</v>
      </c>
      <c r="C233" s="47" t="s">
        <v>239</v>
      </c>
      <c r="E233" s="44">
        <v>639377</v>
      </c>
      <c r="F233" s="44"/>
      <c r="G233" s="44">
        <v>966757</v>
      </c>
      <c r="H233" s="44"/>
      <c r="I233" s="44">
        <v>285219</v>
      </c>
      <c r="J233" s="44"/>
      <c r="K233" s="44">
        <f>376258+100267</f>
        <v>476525</v>
      </c>
      <c r="L233" s="44"/>
      <c r="M233" s="44">
        <v>2419511</v>
      </c>
      <c r="N233" s="44"/>
      <c r="O233" s="44">
        <v>666801</v>
      </c>
      <c r="P233" s="44"/>
      <c r="Q233" s="44">
        <v>736776</v>
      </c>
      <c r="R233" s="44"/>
      <c r="S233" s="44">
        <v>522389</v>
      </c>
      <c r="T233" s="44"/>
      <c r="U233" s="44">
        <f>59095+47323+67136</f>
        <v>173554</v>
      </c>
      <c r="V233" s="44"/>
      <c r="W233" s="44">
        <v>-546051</v>
      </c>
      <c r="X233" s="44"/>
      <c r="Y233" s="44">
        <v>-2082</v>
      </c>
      <c r="Z233" s="44"/>
      <c r="AA233" s="44">
        <f>SUM(K233:Y233)</f>
        <v>4447423</v>
      </c>
      <c r="AB233" s="44"/>
      <c r="AC233" s="44">
        <f>SUM(E233:Y233)</f>
        <v>6338776</v>
      </c>
    </row>
    <row r="234" spans="1:29" s="47" customFormat="1" ht="12.75" customHeight="1">
      <c r="A234" s="47" t="s">
        <v>111</v>
      </c>
      <c r="C234" s="47" t="s">
        <v>80</v>
      </c>
      <c r="E234" s="44">
        <v>4091566</v>
      </c>
      <c r="F234" s="44"/>
      <c r="G234" s="44">
        <v>5498328</v>
      </c>
      <c r="H234" s="44"/>
      <c r="I234" s="44">
        <v>1899760</v>
      </c>
      <c r="J234" s="44"/>
      <c r="K234" s="44">
        <f>1448672+151750+151750</f>
        <v>1752172</v>
      </c>
      <c r="L234" s="44"/>
      <c r="M234" s="44">
        <v>17636767</v>
      </c>
      <c r="N234" s="44"/>
      <c r="O234" s="44">
        <v>0</v>
      </c>
      <c r="P234" s="44"/>
      <c r="Q234" s="44">
        <v>2747129</v>
      </c>
      <c r="R234" s="44"/>
      <c r="S234" s="44">
        <v>706228</v>
      </c>
      <c r="T234" s="44"/>
      <c r="U234" s="44">
        <v>3103613</v>
      </c>
      <c r="V234" s="44"/>
      <c r="W234" s="44">
        <v>-602574</v>
      </c>
      <c r="X234" s="44"/>
      <c r="Y234" s="44">
        <v>0</v>
      </c>
      <c r="Z234" s="44"/>
      <c r="AA234" s="44">
        <f t="shared" si="11"/>
        <v>25343335</v>
      </c>
      <c r="AB234" s="44"/>
      <c r="AC234" s="44">
        <f t="shared" si="10"/>
        <v>36832989</v>
      </c>
    </row>
    <row r="235" spans="1:29" s="47" customFormat="1" ht="12.75" customHeight="1">
      <c r="A235" s="47" t="s">
        <v>265</v>
      </c>
      <c r="C235" s="47" t="s">
        <v>27</v>
      </c>
      <c r="E235" s="44">
        <v>979980</v>
      </c>
      <c r="F235" s="44"/>
      <c r="G235" s="44">
        <v>707808</v>
      </c>
      <c r="H235" s="44"/>
      <c r="I235" s="44">
        <v>654493</v>
      </c>
      <c r="J235" s="44"/>
      <c r="K235" s="44">
        <f>1053510+662896+711090</f>
        <v>2427496</v>
      </c>
      <c r="L235" s="44"/>
      <c r="M235" s="44">
        <v>11735849</v>
      </c>
      <c r="N235" s="44"/>
      <c r="O235" s="44">
        <v>0</v>
      </c>
      <c r="P235" s="44"/>
      <c r="Q235" s="44">
        <v>1418423</v>
      </c>
      <c r="R235" s="44"/>
      <c r="S235" s="44">
        <v>40642</v>
      </c>
      <c r="T235" s="44"/>
      <c r="U235" s="44">
        <v>140434</v>
      </c>
      <c r="V235" s="44"/>
      <c r="W235" s="44">
        <v>0</v>
      </c>
      <c r="X235" s="44"/>
      <c r="Y235" s="44">
        <v>0</v>
      </c>
      <c r="Z235" s="44"/>
      <c r="AA235" s="44">
        <f t="shared" si="11"/>
        <v>15762844</v>
      </c>
      <c r="AB235" s="44"/>
      <c r="AC235" s="44">
        <f t="shared" si="10"/>
        <v>18105125</v>
      </c>
    </row>
    <row r="236" spans="1:29" s="47" customFormat="1" ht="12.75" customHeight="1">
      <c r="A236" s="47" t="s">
        <v>40</v>
      </c>
      <c r="C236" s="47" t="s">
        <v>451</v>
      </c>
      <c r="E236" s="44">
        <v>1756677</v>
      </c>
      <c r="F236" s="44"/>
      <c r="G236" s="44">
        <v>497784</v>
      </c>
      <c r="H236" s="44"/>
      <c r="I236" s="44">
        <v>578654</v>
      </c>
      <c r="J236" s="44"/>
      <c r="K236" s="44">
        <v>1466193</v>
      </c>
      <c r="L236" s="44"/>
      <c r="M236" s="44">
        <v>5198880</v>
      </c>
      <c r="N236" s="44"/>
      <c r="O236" s="44">
        <v>693194</v>
      </c>
      <c r="P236" s="44"/>
      <c r="Q236" s="44">
        <v>72505</v>
      </c>
      <c r="R236" s="44"/>
      <c r="S236" s="44">
        <v>270395</v>
      </c>
      <c r="T236" s="44"/>
      <c r="U236" s="44">
        <f>1926581</f>
        <v>1926581</v>
      </c>
      <c r="V236" s="44">
        <v>211671</v>
      </c>
      <c r="W236" s="44">
        <v>-109362</v>
      </c>
      <c r="X236" s="44"/>
      <c r="Y236" s="44">
        <v>0</v>
      </c>
      <c r="Z236" s="44"/>
      <c r="AA236" s="44">
        <f t="shared" si="11"/>
        <v>9730057</v>
      </c>
      <c r="AB236" s="44"/>
      <c r="AC236" s="44">
        <f t="shared" si="10"/>
        <v>12563172</v>
      </c>
    </row>
    <row r="237" spans="1:29" s="47" customFormat="1" ht="12.75" customHeight="1">
      <c r="A237" s="47" t="s">
        <v>266</v>
      </c>
      <c r="C237" s="47" t="s">
        <v>267</v>
      </c>
      <c r="E237" s="44">
        <v>506605</v>
      </c>
      <c r="F237" s="44"/>
      <c r="G237" s="44">
        <v>389523</v>
      </c>
      <c r="H237" s="44"/>
      <c r="I237" s="44">
        <v>0</v>
      </c>
      <c r="J237" s="44"/>
      <c r="K237" s="44">
        <v>257085</v>
      </c>
      <c r="L237" s="44"/>
      <c r="M237" s="44">
        <v>3366145</v>
      </c>
      <c r="N237" s="44"/>
      <c r="O237" s="44">
        <v>0</v>
      </c>
      <c r="P237" s="44"/>
      <c r="Q237" s="44">
        <v>605482</v>
      </c>
      <c r="R237" s="44"/>
      <c r="S237" s="44">
        <v>100328</v>
      </c>
      <c r="T237" s="44"/>
      <c r="U237" s="44">
        <v>148467</v>
      </c>
      <c r="V237" s="44"/>
      <c r="W237" s="44">
        <v>-62260</v>
      </c>
      <c r="X237" s="44"/>
      <c r="Y237" s="44">
        <v>0</v>
      </c>
      <c r="Z237" s="44"/>
      <c r="AA237" s="44">
        <f t="shared" si="11"/>
        <v>4415247</v>
      </c>
      <c r="AB237" s="44"/>
      <c r="AC237" s="44">
        <f t="shared" si="10"/>
        <v>5311375</v>
      </c>
    </row>
    <row r="238" spans="1:29" s="47" customFormat="1" ht="12.75" customHeight="1">
      <c r="A238" s="47" t="s">
        <v>268</v>
      </c>
      <c r="C238" s="47" t="s">
        <v>269</v>
      </c>
      <c r="E238" s="44">
        <v>228653</v>
      </c>
      <c r="F238" s="44"/>
      <c r="G238" s="44">
        <v>258360</v>
      </c>
      <c r="H238" s="44"/>
      <c r="I238" s="44">
        <v>337774</v>
      </c>
      <c r="J238" s="44"/>
      <c r="K238" s="44">
        <v>138514</v>
      </c>
      <c r="L238" s="44"/>
      <c r="M238" s="44">
        <v>1951630</v>
      </c>
      <c r="N238" s="44"/>
      <c r="O238" s="44">
        <v>553205</v>
      </c>
      <c r="P238" s="44"/>
      <c r="Q238" s="44">
        <v>604024</v>
      </c>
      <c r="R238" s="44"/>
      <c r="S238" s="44">
        <v>8181</v>
      </c>
      <c r="T238" s="44"/>
      <c r="U238" s="44">
        <v>122509</v>
      </c>
      <c r="V238" s="44"/>
      <c r="W238" s="44">
        <v>0</v>
      </c>
      <c r="X238" s="44"/>
      <c r="Y238" s="44">
        <v>0</v>
      </c>
      <c r="Z238" s="44"/>
      <c r="AA238" s="44">
        <f t="shared" si="11"/>
        <v>3378063</v>
      </c>
      <c r="AB238" s="44"/>
      <c r="AC238" s="44">
        <f t="shared" si="10"/>
        <v>4202850</v>
      </c>
    </row>
    <row r="239" spans="1:29" s="47" customFormat="1" ht="12.75" hidden="1" customHeight="1">
      <c r="A239" s="47" t="s">
        <v>270</v>
      </c>
      <c r="C239" s="47" t="s">
        <v>136</v>
      </c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>
        <f>SUM(K239:Y239)</f>
        <v>0</v>
      </c>
      <c r="AB239" s="44"/>
      <c r="AC239" s="44">
        <f>SUM(E239:Y239)</f>
        <v>0</v>
      </c>
    </row>
    <row r="240" spans="1:29" s="47" customFormat="1" ht="12.75" customHeight="1">
      <c r="A240" s="47" t="s">
        <v>271</v>
      </c>
      <c r="C240" s="47" t="s">
        <v>66</v>
      </c>
      <c r="E240" s="44">
        <v>1655601</v>
      </c>
      <c r="F240" s="44"/>
      <c r="G240" s="44">
        <v>76230</v>
      </c>
      <c r="H240" s="44"/>
      <c r="I240" s="44">
        <v>494469</v>
      </c>
      <c r="J240" s="44"/>
      <c r="K240" s="44">
        <f>1261985+104746</f>
        <v>1366731</v>
      </c>
      <c r="L240" s="44"/>
      <c r="M240" s="44">
        <v>6975186</v>
      </c>
      <c r="N240" s="44"/>
      <c r="O240" s="44">
        <v>0</v>
      </c>
      <c r="P240" s="44"/>
      <c r="Q240" s="44">
        <v>678433</v>
      </c>
      <c r="R240" s="44"/>
      <c r="S240" s="44">
        <v>70368</v>
      </c>
      <c r="T240" s="44"/>
      <c r="U240" s="44">
        <v>387211</v>
      </c>
      <c r="V240" s="44"/>
      <c r="W240" s="44">
        <v>-10000</v>
      </c>
      <c r="X240" s="44"/>
      <c r="Y240" s="44">
        <v>0</v>
      </c>
      <c r="Z240" s="44"/>
      <c r="AA240" s="44">
        <f t="shared" si="11"/>
        <v>9467929</v>
      </c>
      <c r="AB240" s="44"/>
      <c r="AC240" s="44">
        <f t="shared" si="10"/>
        <v>11694229</v>
      </c>
    </row>
    <row r="241" spans="1:29" s="47" customFormat="1" ht="12.75" customHeight="1">
      <c r="A241" s="47" t="s">
        <v>272</v>
      </c>
      <c r="C241" s="47" t="s">
        <v>43</v>
      </c>
      <c r="E241" s="44">
        <v>5032467</v>
      </c>
      <c r="F241" s="44"/>
      <c r="G241" s="44">
        <v>5600521</v>
      </c>
      <c r="H241" s="44"/>
      <c r="I241" s="44">
        <v>164846</v>
      </c>
      <c r="J241" s="44"/>
      <c r="K241" s="44">
        <f>3063892+6981668+135795</f>
        <v>10181355</v>
      </c>
      <c r="L241" s="44"/>
      <c r="M241" s="44">
        <f>18730035+4377305</f>
        <v>23107340</v>
      </c>
      <c r="N241" s="44"/>
      <c r="O241" s="44">
        <v>491884</v>
      </c>
      <c r="P241" s="44"/>
      <c r="Q241" s="44">
        <v>5214556</v>
      </c>
      <c r="R241" s="44"/>
      <c r="S241" s="44">
        <v>3803114</v>
      </c>
      <c r="T241" s="44"/>
      <c r="U241" s="44">
        <f>2269090+175774</f>
        <v>2444864</v>
      </c>
      <c r="V241" s="44"/>
      <c r="W241" s="44">
        <v>-9623</v>
      </c>
      <c r="X241" s="44"/>
      <c r="Y241" s="44">
        <v>0</v>
      </c>
      <c r="Z241" s="44"/>
      <c r="AA241" s="44">
        <f t="shared" si="11"/>
        <v>45233490</v>
      </c>
      <c r="AB241" s="44"/>
      <c r="AC241" s="44">
        <f t="shared" si="10"/>
        <v>56031324</v>
      </c>
    </row>
    <row r="242" spans="1:29" s="47" customFormat="1" ht="12.75" customHeight="1">
      <c r="A242" s="47" t="s">
        <v>273</v>
      </c>
      <c r="C242" s="47" t="s">
        <v>27</v>
      </c>
      <c r="E242" s="44">
        <v>5257791</v>
      </c>
      <c r="F242" s="44"/>
      <c r="G242" s="44">
        <v>1999769</v>
      </c>
      <c r="H242" s="44"/>
      <c r="I242" s="44">
        <v>861837</v>
      </c>
      <c r="J242" s="44"/>
      <c r="K242" s="44">
        <f>9389659+370644+370644+1111933+857615</f>
        <v>12100495</v>
      </c>
      <c r="L242" s="44"/>
      <c r="M242" s="44">
        <f>12462547+250588+1002399+5110393</f>
        <v>18825927</v>
      </c>
      <c r="N242" s="44"/>
      <c r="O242" s="44">
        <v>548983</v>
      </c>
      <c r="P242" s="44"/>
      <c r="Q242" s="44">
        <v>4282803</v>
      </c>
      <c r="R242" s="44"/>
      <c r="S242" s="44">
        <v>3240417</v>
      </c>
      <c r="T242" s="44"/>
      <c r="U242" s="44">
        <f>687269+545169</f>
        <v>1232438</v>
      </c>
      <c r="V242" s="44"/>
      <c r="W242" s="44">
        <v>-8308</v>
      </c>
      <c r="X242" s="44"/>
      <c r="Y242" s="44">
        <v>0</v>
      </c>
      <c r="Z242" s="44"/>
      <c r="AA242" s="44">
        <f t="shared" si="11"/>
        <v>40222755</v>
      </c>
      <c r="AB242" s="44"/>
      <c r="AC242" s="44">
        <f t="shared" si="10"/>
        <v>48342152</v>
      </c>
    </row>
    <row r="243" spans="1:29" s="47" customFormat="1" ht="12.75" customHeight="1">
      <c r="A243" s="47" t="s">
        <v>274</v>
      </c>
      <c r="C243" s="47" t="s">
        <v>43</v>
      </c>
      <c r="E243" s="44">
        <v>1247662</v>
      </c>
      <c r="F243" s="44"/>
      <c r="G243" s="44">
        <v>1485704</v>
      </c>
      <c r="H243" s="44"/>
      <c r="I243" s="44">
        <v>0</v>
      </c>
      <c r="J243" s="44"/>
      <c r="K243" s="44">
        <v>481330</v>
      </c>
      <c r="L243" s="44"/>
      <c r="M243" s="44">
        <v>14173287</v>
      </c>
      <c r="N243" s="44"/>
      <c r="O243" s="44">
        <f>102080+413221</f>
        <v>515301</v>
      </c>
      <c r="P243" s="44"/>
      <c r="Q243" s="44">
        <v>1695625</v>
      </c>
      <c r="R243" s="44"/>
      <c r="S243" s="44">
        <v>280603</v>
      </c>
      <c r="T243" s="44"/>
      <c r="U243" s="44">
        <v>499874</v>
      </c>
      <c r="V243" s="44"/>
      <c r="W243" s="44">
        <v>0</v>
      </c>
      <c r="X243" s="44"/>
      <c r="Y243" s="44">
        <v>0</v>
      </c>
      <c r="Z243" s="44"/>
      <c r="AA243" s="44">
        <f t="shared" si="11"/>
        <v>17646020</v>
      </c>
      <c r="AB243" s="44"/>
      <c r="AC243" s="44">
        <f t="shared" si="10"/>
        <v>20379386</v>
      </c>
    </row>
    <row r="244" spans="1:29" s="47" customFormat="1" ht="12.75" customHeight="1">
      <c r="A244" s="47" t="s">
        <v>275</v>
      </c>
      <c r="C244" s="47" t="s">
        <v>92</v>
      </c>
      <c r="E244" s="44">
        <v>1316372</v>
      </c>
      <c r="F244" s="44"/>
      <c r="G244" s="44">
        <v>1162231</v>
      </c>
      <c r="H244" s="44"/>
      <c r="I244" s="44">
        <v>925965</v>
      </c>
      <c r="J244" s="44"/>
      <c r="K244" s="44">
        <v>2899268</v>
      </c>
      <c r="L244" s="44"/>
      <c r="M244" s="44">
        <v>9274143</v>
      </c>
      <c r="N244" s="44"/>
      <c r="O244" s="44">
        <v>192438</v>
      </c>
      <c r="P244" s="44"/>
      <c r="Q244" s="44">
        <v>2486141</v>
      </c>
      <c r="R244" s="44"/>
      <c r="S244" s="44">
        <v>275792</v>
      </c>
      <c r="T244" s="44"/>
      <c r="U244" s="44">
        <v>457977</v>
      </c>
      <c r="V244" s="44"/>
      <c r="W244" s="44">
        <v>0</v>
      </c>
      <c r="X244" s="44"/>
      <c r="Y244" s="44">
        <v>0</v>
      </c>
      <c r="Z244" s="44"/>
      <c r="AA244" s="44">
        <f t="shared" si="11"/>
        <v>15585759</v>
      </c>
      <c r="AB244" s="44"/>
      <c r="AC244" s="44">
        <f t="shared" si="10"/>
        <v>18990327</v>
      </c>
    </row>
    <row r="245" spans="1:29" s="47" customFormat="1" ht="12.75" customHeight="1">
      <c r="A245" s="47" t="s">
        <v>276</v>
      </c>
      <c r="C245" s="47" t="s">
        <v>38</v>
      </c>
      <c r="E245" s="44">
        <v>703003</v>
      </c>
      <c r="F245" s="44"/>
      <c r="G245" s="44">
        <v>341194</v>
      </c>
      <c r="H245" s="44"/>
      <c r="I245" s="44">
        <v>232250</v>
      </c>
      <c r="J245" s="44"/>
      <c r="K245" s="44">
        <f>290340+57157+28467+35265</f>
        <v>411229</v>
      </c>
      <c r="L245" s="44"/>
      <c r="M245" s="44">
        <f>1814300+267992+558488</f>
        <v>2640780</v>
      </c>
      <c r="N245" s="44"/>
      <c r="O245" s="44">
        <v>0</v>
      </c>
      <c r="P245" s="44"/>
      <c r="Q245" s="44">
        <v>629479</v>
      </c>
      <c r="R245" s="44"/>
      <c r="S245" s="44">
        <v>253900</v>
      </c>
      <c r="T245" s="44"/>
      <c r="U245" s="44">
        <v>32080</v>
      </c>
      <c r="V245" s="44"/>
      <c r="W245" s="44">
        <v>30000</v>
      </c>
      <c r="X245" s="44"/>
      <c r="Y245" s="44">
        <v>0</v>
      </c>
      <c r="Z245" s="44"/>
      <c r="AA245" s="44">
        <f t="shared" si="11"/>
        <v>3997468</v>
      </c>
      <c r="AB245" s="44"/>
      <c r="AC245" s="44">
        <f t="shared" si="10"/>
        <v>5273915</v>
      </c>
    </row>
    <row r="246" spans="1:29" s="47" customFormat="1" ht="12.75" customHeight="1">
      <c r="A246" s="47" t="s">
        <v>277</v>
      </c>
      <c r="C246" s="47" t="s">
        <v>92</v>
      </c>
      <c r="E246" s="44">
        <v>4797851</v>
      </c>
      <c r="F246" s="44"/>
      <c r="G246" s="44">
        <v>233398</v>
      </c>
      <c r="H246" s="44"/>
      <c r="I246" s="44">
        <v>287167</v>
      </c>
      <c r="J246" s="44"/>
      <c r="K246" s="44">
        <f>1706745+1562488+1162242+112882</f>
        <v>4544357</v>
      </c>
      <c r="L246" s="44"/>
      <c r="M246" s="44">
        <f>15943959+647333</f>
        <v>16591292</v>
      </c>
      <c r="N246" s="44"/>
      <c r="O246" s="44">
        <v>0</v>
      </c>
      <c r="P246" s="44"/>
      <c r="Q246" s="44">
        <v>5342717</v>
      </c>
      <c r="R246" s="44"/>
      <c r="S246" s="44">
        <v>733253</v>
      </c>
      <c r="T246" s="44"/>
      <c r="U246" s="44">
        <f>91103+15174</f>
        <v>106277</v>
      </c>
      <c r="V246" s="44"/>
      <c r="W246" s="44">
        <v>-295000</v>
      </c>
      <c r="X246" s="44"/>
      <c r="Y246" s="44">
        <v>0</v>
      </c>
      <c r="Z246" s="44"/>
      <c r="AA246" s="44">
        <f t="shared" si="11"/>
        <v>27022896</v>
      </c>
      <c r="AB246" s="44"/>
      <c r="AC246" s="44">
        <f t="shared" si="10"/>
        <v>32341312</v>
      </c>
    </row>
    <row r="247" spans="1:29" s="47" customFormat="1" ht="12.75" customHeight="1">
      <c r="A247" s="47" t="s">
        <v>278</v>
      </c>
      <c r="C247" s="47" t="s">
        <v>92</v>
      </c>
      <c r="E247" s="44">
        <v>1812395</v>
      </c>
      <c r="F247" s="44"/>
      <c r="G247" s="44">
        <v>739505</v>
      </c>
      <c r="H247" s="44"/>
      <c r="I247" s="44">
        <v>251881</v>
      </c>
      <c r="J247" s="44"/>
      <c r="K247" s="44">
        <f>617053+129997+82975+498852+644144</f>
        <v>1973021</v>
      </c>
      <c r="L247" s="44"/>
      <c r="M247" s="44">
        <v>3774716</v>
      </c>
      <c r="N247" s="44"/>
      <c r="O247" s="44">
        <f>48431+105326</f>
        <v>153757</v>
      </c>
      <c r="P247" s="44"/>
      <c r="Q247" s="44">
        <v>902086</v>
      </c>
      <c r="R247" s="44"/>
      <c r="S247" s="44">
        <v>174974</v>
      </c>
      <c r="T247" s="44"/>
      <c r="U247" s="44">
        <v>97692</v>
      </c>
      <c r="V247" s="44"/>
      <c r="W247" s="44">
        <v>-101502</v>
      </c>
      <c r="X247" s="44"/>
      <c r="Y247" s="44">
        <v>0</v>
      </c>
      <c r="Z247" s="44"/>
      <c r="AA247" s="44">
        <f t="shared" si="11"/>
        <v>6974744</v>
      </c>
      <c r="AB247" s="44"/>
      <c r="AC247" s="44">
        <f t="shared" si="10"/>
        <v>9778525</v>
      </c>
    </row>
    <row r="248" spans="1:29" s="47" customFormat="1" ht="12.75" customHeight="1">
      <c r="A248" s="47" t="s">
        <v>279</v>
      </c>
      <c r="C248" s="47" t="s">
        <v>92</v>
      </c>
      <c r="E248" s="44">
        <v>943975</v>
      </c>
      <c r="F248" s="44"/>
      <c r="G248" s="44">
        <v>128529</v>
      </c>
      <c r="H248" s="44"/>
      <c r="I248" s="44">
        <v>128731</v>
      </c>
      <c r="J248" s="44"/>
      <c r="K248" s="44">
        <v>4580787</v>
      </c>
      <c r="L248" s="44"/>
      <c r="M248" s="44">
        <v>2236859</v>
      </c>
      <c r="N248" s="44"/>
      <c r="O248" s="44">
        <v>0</v>
      </c>
      <c r="P248" s="44"/>
      <c r="Q248" s="44">
        <v>3875097</v>
      </c>
      <c r="R248" s="44"/>
      <c r="S248" s="44">
        <v>284755</v>
      </c>
      <c r="T248" s="44"/>
      <c r="U248" s="44">
        <v>52062</v>
      </c>
      <c r="V248" s="44"/>
      <c r="W248" s="44">
        <v>0</v>
      </c>
      <c r="X248" s="44"/>
      <c r="Y248" s="44">
        <v>0</v>
      </c>
      <c r="Z248" s="44"/>
      <c r="AA248" s="44">
        <f t="shared" si="11"/>
        <v>11029560</v>
      </c>
      <c r="AB248" s="44"/>
      <c r="AC248" s="44">
        <f t="shared" si="10"/>
        <v>12230795</v>
      </c>
    </row>
    <row r="249" spans="1:29" s="47" customFormat="1" ht="12.75" customHeight="1">
      <c r="A249" s="47" t="s">
        <v>280</v>
      </c>
      <c r="C249" s="47" t="s">
        <v>281</v>
      </c>
      <c r="E249" s="44">
        <v>2906186</v>
      </c>
      <c r="F249" s="44"/>
      <c r="G249" s="44">
        <v>1959049</v>
      </c>
      <c r="H249" s="44"/>
      <c r="I249" s="44">
        <v>165047</v>
      </c>
      <c r="J249" s="44"/>
      <c r="K249" s="44">
        <f>300822+184572+1136052+542619</f>
        <v>2164065</v>
      </c>
      <c r="L249" s="44"/>
      <c r="M249" s="44">
        <f>5338178+1334544</f>
        <v>6672722</v>
      </c>
      <c r="N249" s="44"/>
      <c r="O249" s="44">
        <v>0</v>
      </c>
      <c r="P249" s="44"/>
      <c r="Q249" s="44">
        <v>1323801</v>
      </c>
      <c r="R249" s="44"/>
      <c r="S249" s="44">
        <v>168013</v>
      </c>
      <c r="T249" s="44"/>
      <c r="U249" s="44">
        <v>1114617</v>
      </c>
      <c r="V249" s="44"/>
      <c r="W249" s="44">
        <v>263229</v>
      </c>
      <c r="X249" s="44"/>
      <c r="Y249" s="44">
        <v>0</v>
      </c>
      <c r="Z249" s="44"/>
      <c r="AA249" s="44">
        <f t="shared" si="11"/>
        <v>11706447</v>
      </c>
      <c r="AB249" s="44"/>
      <c r="AC249" s="44">
        <f t="shared" si="10"/>
        <v>16736729</v>
      </c>
    </row>
    <row r="250" spans="1:29" s="47" customFormat="1" ht="12.75" customHeight="1">
      <c r="A250" s="47" t="s">
        <v>282</v>
      </c>
      <c r="C250" s="47" t="s">
        <v>199</v>
      </c>
      <c r="E250" s="44">
        <v>1628119</v>
      </c>
      <c r="F250" s="44"/>
      <c r="G250" s="44">
        <v>1909735</v>
      </c>
      <c r="H250" s="44"/>
      <c r="I250" s="44">
        <v>358071</v>
      </c>
      <c r="J250" s="44"/>
      <c r="K250" s="44">
        <v>2343512</v>
      </c>
      <c r="L250" s="44"/>
      <c r="M250" s="44">
        <v>8526252</v>
      </c>
      <c r="N250" s="44"/>
      <c r="O250" s="44">
        <f>1575947+174686</f>
        <v>1750633</v>
      </c>
      <c r="P250" s="44"/>
      <c r="Q250" s="44">
        <v>1704720</v>
      </c>
      <c r="R250" s="44"/>
      <c r="S250" s="44">
        <v>1301444</v>
      </c>
      <c r="T250" s="44"/>
      <c r="U250" s="44">
        <v>465296</v>
      </c>
      <c r="V250" s="44"/>
      <c r="W250" s="44">
        <v>0</v>
      </c>
      <c r="X250" s="44"/>
      <c r="Y250" s="44">
        <v>0</v>
      </c>
      <c r="Z250" s="44"/>
      <c r="AA250" s="44">
        <f t="shared" si="11"/>
        <v>16091857</v>
      </c>
      <c r="AB250" s="44"/>
      <c r="AC250" s="44">
        <f t="shared" si="10"/>
        <v>19987782</v>
      </c>
    </row>
    <row r="251" spans="1:29" s="47" customFormat="1" ht="12.75" customHeight="1">
      <c r="A251" s="47" t="s">
        <v>283</v>
      </c>
      <c r="C251" s="47" t="s">
        <v>43</v>
      </c>
      <c r="E251" s="44">
        <v>3611600</v>
      </c>
      <c r="F251" s="44"/>
      <c r="G251" s="44">
        <v>962134</v>
      </c>
      <c r="H251" s="44"/>
      <c r="I251" s="44">
        <v>0</v>
      </c>
      <c r="J251" s="44"/>
      <c r="K251" s="44">
        <v>2807159</v>
      </c>
      <c r="L251" s="44"/>
      <c r="M251" s="44">
        <v>16578660</v>
      </c>
      <c r="N251" s="44"/>
      <c r="O251" s="44">
        <v>0</v>
      </c>
      <c r="P251" s="44"/>
      <c r="Q251" s="44">
        <v>1900774</v>
      </c>
      <c r="R251" s="44"/>
      <c r="S251" s="44">
        <v>524192</v>
      </c>
      <c r="T251" s="44"/>
      <c r="U251" s="44">
        <v>607257</v>
      </c>
      <c r="V251" s="44"/>
      <c r="W251" s="44">
        <v>0</v>
      </c>
      <c r="X251" s="44"/>
      <c r="Y251" s="44">
        <v>0</v>
      </c>
      <c r="Z251" s="44"/>
      <c r="AA251" s="44">
        <f t="shared" si="11"/>
        <v>22418042</v>
      </c>
      <c r="AB251" s="44"/>
      <c r="AC251" s="44">
        <f t="shared" si="10"/>
        <v>26991776</v>
      </c>
    </row>
    <row r="252" spans="1:29" s="47" customFormat="1" ht="12.75" customHeight="1">
      <c r="A252" s="47" t="s">
        <v>284</v>
      </c>
      <c r="C252" s="47" t="s">
        <v>45</v>
      </c>
      <c r="E252" s="44">
        <v>1284337</v>
      </c>
      <c r="F252" s="44"/>
      <c r="G252" s="44">
        <v>523622</v>
      </c>
      <c r="H252" s="44"/>
      <c r="I252" s="44">
        <v>670800</v>
      </c>
      <c r="J252" s="44"/>
      <c r="K252" s="44">
        <v>2611321</v>
      </c>
      <c r="L252" s="44"/>
      <c r="M252" s="44">
        <v>4301728</v>
      </c>
      <c r="N252" s="44"/>
      <c r="O252" s="44">
        <v>0</v>
      </c>
      <c r="P252" s="44"/>
      <c r="Q252" s="44">
        <v>1448284</v>
      </c>
      <c r="R252" s="44"/>
      <c r="S252" s="44">
        <v>281125</v>
      </c>
      <c r="T252" s="44"/>
      <c r="U252" s="44">
        <v>120456</v>
      </c>
      <c r="V252" s="44"/>
      <c r="W252" s="44">
        <v>106136</v>
      </c>
      <c r="X252" s="44"/>
      <c r="Y252" s="44">
        <v>0</v>
      </c>
      <c r="Z252" s="44"/>
      <c r="AA252" s="44">
        <f t="shared" si="11"/>
        <v>8869050</v>
      </c>
      <c r="AB252" s="44"/>
      <c r="AC252" s="44">
        <f t="shared" si="10"/>
        <v>11347809</v>
      </c>
    </row>
    <row r="253" spans="1:29" s="47" customFormat="1" ht="12.75" customHeight="1">
      <c r="A253" s="47" t="s">
        <v>285</v>
      </c>
      <c r="C253" s="47" t="s">
        <v>30</v>
      </c>
      <c r="E253" s="44">
        <v>3886976</v>
      </c>
      <c r="F253" s="44"/>
      <c r="G253" s="44">
        <v>442322</v>
      </c>
      <c r="H253" s="44"/>
      <c r="I253" s="44">
        <v>993095</v>
      </c>
      <c r="J253" s="44"/>
      <c r="K253" s="44">
        <v>0</v>
      </c>
      <c r="L253" s="44"/>
      <c r="M253" s="44">
        <v>8848826</v>
      </c>
      <c r="N253" s="44"/>
      <c r="O253" s="44">
        <f>2106148+1414539</f>
        <v>3520687</v>
      </c>
      <c r="P253" s="44"/>
      <c r="Q253" s="44">
        <v>1677721</v>
      </c>
      <c r="R253" s="44"/>
      <c r="S253" s="44">
        <v>294596</v>
      </c>
      <c r="T253" s="44"/>
      <c r="U253" s="44">
        <v>341238</v>
      </c>
      <c r="V253" s="44"/>
      <c r="W253" s="44">
        <v>-10000</v>
      </c>
      <c r="X253" s="44"/>
      <c r="Y253" s="44">
        <v>0</v>
      </c>
      <c r="Z253" s="44"/>
      <c r="AA253" s="44">
        <f t="shared" si="11"/>
        <v>14673068</v>
      </c>
      <c r="AB253" s="44"/>
      <c r="AC253" s="44">
        <f t="shared" si="10"/>
        <v>19995461</v>
      </c>
    </row>
    <row r="254" spans="1:29" s="47" customFormat="1" ht="12.75" customHeight="1">
      <c r="A254" s="47" t="s">
        <v>286</v>
      </c>
      <c r="C254" s="47" t="s">
        <v>61</v>
      </c>
      <c r="E254" s="44">
        <v>9284246</v>
      </c>
      <c r="F254" s="44"/>
      <c r="G254" s="44">
        <v>10801918</v>
      </c>
      <c r="H254" s="44"/>
      <c r="I254" s="44">
        <v>1305034</v>
      </c>
      <c r="J254" s="44"/>
      <c r="K254" s="44">
        <v>2355765</v>
      </c>
      <c r="L254" s="44"/>
      <c r="M254" s="44">
        <f>24618942+7314829+9760667+5095589</f>
        <v>46790027</v>
      </c>
      <c r="N254" s="44"/>
      <c r="O254" s="44">
        <v>318241</v>
      </c>
      <c r="P254" s="44"/>
      <c r="Q254" s="44">
        <v>5422611</v>
      </c>
      <c r="R254" s="44"/>
      <c r="S254" s="44">
        <v>112922</v>
      </c>
      <c r="T254" s="44"/>
      <c r="U254" s="44">
        <v>4978027</v>
      </c>
      <c r="V254" s="44"/>
      <c r="W254" s="44">
        <v>651493</v>
      </c>
      <c r="X254" s="44"/>
      <c r="Y254" s="44">
        <v>0</v>
      </c>
      <c r="Z254" s="44"/>
      <c r="AA254" s="44">
        <f t="shared" si="11"/>
        <v>60629086</v>
      </c>
      <c r="AB254" s="44"/>
      <c r="AC254" s="44">
        <f t="shared" si="10"/>
        <v>82020284</v>
      </c>
    </row>
    <row r="255" spans="1:29" s="47" customFormat="1" ht="12.75" customHeight="1">
      <c r="A255" s="47" t="s">
        <v>287</v>
      </c>
      <c r="C255" s="47" t="s">
        <v>288</v>
      </c>
      <c r="E255" s="44">
        <v>3141935</v>
      </c>
      <c r="F255" s="44"/>
      <c r="G255" s="44">
        <v>1719970</v>
      </c>
      <c r="H255" s="44"/>
      <c r="I255" s="44">
        <v>192674</v>
      </c>
      <c r="J255" s="44"/>
      <c r="K255" s="44">
        <f>1118311+221240+424045</f>
        <v>1763596</v>
      </c>
      <c r="L255" s="44"/>
      <c r="M255" s="44">
        <f>8201289+3661254+1461668+1437873</f>
        <v>14762084</v>
      </c>
      <c r="N255" s="44"/>
      <c r="O255" s="44">
        <v>0</v>
      </c>
      <c r="P255" s="44"/>
      <c r="Q255" s="44">
        <v>2307815</v>
      </c>
      <c r="R255" s="44"/>
      <c r="S255" s="44">
        <v>371325</v>
      </c>
      <c r="T255" s="44"/>
      <c r="U255" s="44">
        <f>134544+442769</f>
        <v>577313</v>
      </c>
      <c r="V255" s="44"/>
      <c r="W255" s="44">
        <v>0</v>
      </c>
      <c r="X255" s="44"/>
      <c r="Y255" s="44">
        <v>0</v>
      </c>
      <c r="Z255" s="44"/>
      <c r="AA255" s="44">
        <f t="shared" si="11"/>
        <v>19782133</v>
      </c>
      <c r="AB255" s="44"/>
      <c r="AC255" s="44">
        <f t="shared" si="10"/>
        <v>24836712</v>
      </c>
    </row>
    <row r="256" spans="1:29" s="47" customFormat="1" ht="12.75" customHeight="1">
      <c r="A256" s="47" t="s">
        <v>471</v>
      </c>
      <c r="C256" s="49"/>
      <c r="D256" s="49"/>
    </row>
    <row r="257" spans="1:4" s="47" customFormat="1" ht="12.75" customHeight="1">
      <c r="A257" s="49"/>
      <c r="C257" s="49"/>
      <c r="D257" s="49"/>
    </row>
    <row r="258" spans="1:4" s="47" customFormat="1" ht="12.75" customHeight="1"/>
    <row r="259" spans="1:4" s="47" customFormat="1" ht="12.75" customHeight="1"/>
    <row r="260" spans="1:4" s="47" customFormat="1" ht="12.75" customHeight="1"/>
    <row r="261" spans="1:4" s="47" customFormat="1" ht="12.75" customHeight="1"/>
    <row r="262" spans="1:4" s="47" customFormat="1" ht="12.75" customHeight="1"/>
    <row r="263" spans="1:4" s="47" customFormat="1" ht="12.75" customHeight="1"/>
    <row r="264" spans="1:4" s="47" customFormat="1" ht="12.75" customHeight="1"/>
    <row r="265" spans="1:4" s="47" customFormat="1" ht="12.75" customHeight="1"/>
    <row r="266" spans="1:4" s="47" customFormat="1" ht="12.75" customHeight="1"/>
  </sheetData>
  <mergeCells count="1">
    <mergeCell ref="K5:U5"/>
  </mergeCells>
  <phoneticPr fontId="4" type="noConversion"/>
  <printOptions horizontalCentered="1"/>
  <pageMargins left="0.75" right="0.75" top="0.5" bottom="0.5" header="0" footer="0.25"/>
  <pageSetup scale="81" firstPageNumber="12" pageOrder="overThenDown" orientation="portrait" useFirstPageNumber="1" r:id="rId1"/>
  <headerFooter alignWithMargins="0">
    <oddFooter>&amp;C&amp;"Times New Roman,Regular"&amp;11&amp;P</oddFooter>
  </headerFooter>
  <rowBreaks count="3" manualBreakCount="3">
    <brk id="69" max="28" man="1"/>
    <brk id="130" max="28" man="1"/>
    <brk id="195" max="28" man="1"/>
  </rowBreaks>
  <colBreaks count="1" manualBreakCount="1">
    <brk id="14" min="9" max="257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H261"/>
  <sheetViews>
    <sheetView view="pageBreakPreview" zoomScale="160" zoomScaleNormal="100" zoomScaleSheetLayoutView="160" workbookViewId="0">
      <pane xSplit="3" ySplit="8" topLeftCell="P51" activePane="bottomRight" state="frozen"/>
      <selection pane="topRight" activeCell="D1" sqref="D1"/>
      <selection pane="bottomLeft" activeCell="A10" sqref="A10"/>
      <selection pane="bottomRight" activeCell="AA69" sqref="AA69"/>
    </sheetView>
  </sheetViews>
  <sheetFormatPr defaultColWidth="9.109375" defaultRowHeight="12.75" customHeight="1"/>
  <cols>
    <col min="1" max="1" width="15.33203125" style="10" customWidth="1"/>
    <col min="2" max="2" width="1.6640625" customWidth="1"/>
    <col min="3" max="3" width="11" style="10" customWidth="1"/>
    <col min="4" max="4" width="1.6640625" style="10" customWidth="1"/>
    <col min="5" max="5" width="11.6640625" style="10" customWidth="1"/>
    <col min="6" max="6" width="1.6640625" style="10" customWidth="1"/>
    <col min="7" max="7" width="11.6640625" style="10" customWidth="1"/>
    <col min="8" max="8" width="1.6640625" style="10" customWidth="1"/>
    <col min="9" max="9" width="11.6640625" style="10" customWidth="1"/>
    <col min="10" max="10" width="1.6640625" style="10" customWidth="1"/>
    <col min="11" max="11" width="11.6640625" style="10" customWidth="1"/>
    <col min="12" max="12" width="1.6640625" style="10" customWidth="1"/>
    <col min="13" max="13" width="11.6640625" style="10" customWidth="1"/>
    <col min="14" max="14" width="1.6640625" style="10" customWidth="1"/>
    <col min="15" max="15" width="11.6640625" style="10" customWidth="1"/>
    <col min="16" max="16" width="1.6640625" style="10" customWidth="1"/>
    <col min="17" max="17" width="11.6640625" style="10" customWidth="1"/>
    <col min="18" max="18" width="1.6640625" style="10" customWidth="1"/>
    <col min="19" max="19" width="13.44140625" style="10" customWidth="1"/>
    <col min="20" max="20" width="1.6640625" style="10" customWidth="1"/>
    <col min="21" max="21" width="11.6640625" style="10" customWidth="1"/>
    <col min="22" max="22" width="1.6640625" style="10" customWidth="1"/>
    <col min="23" max="23" width="11.6640625" style="10" customWidth="1"/>
    <col min="24" max="24" width="1.6640625" style="10" customWidth="1"/>
    <col min="25" max="25" width="12.33203125" style="10" bestFit="1" customWidth="1"/>
    <col min="26" max="26" width="1.6640625" style="10" customWidth="1"/>
    <col min="27" max="27" width="11.5546875" style="10" customWidth="1"/>
    <col min="28" max="28" width="1.6640625" style="10" customWidth="1"/>
    <col min="29" max="29" width="11.88671875" style="47" customWidth="1"/>
    <col min="30" max="30" width="12" style="10" bestFit="1" customWidth="1"/>
    <col min="31" max="31" width="10.5546875" style="10" bestFit="1" customWidth="1"/>
    <col min="32" max="16384" width="9.109375" style="10"/>
  </cols>
  <sheetData>
    <row r="1" spans="1:29" ht="12.75" customHeight="1">
      <c r="A1" s="9" t="s">
        <v>385</v>
      </c>
    </row>
    <row r="2" spans="1:29" ht="12.75" customHeight="1">
      <c r="A2" s="9" t="s">
        <v>501</v>
      </c>
    </row>
    <row r="3" spans="1:29" ht="12.75" customHeight="1">
      <c r="A3" s="9" t="s">
        <v>289</v>
      </c>
    </row>
    <row r="4" spans="1:29" ht="12.75" customHeight="1">
      <c r="A4" s="10" t="s">
        <v>484</v>
      </c>
    </row>
    <row r="5" spans="1:29" ht="12.75" customHeight="1">
      <c r="A5" s="9"/>
      <c r="E5" s="159" t="s">
        <v>420</v>
      </c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72"/>
      <c r="R5" s="72"/>
      <c r="S5" s="72"/>
      <c r="T5" s="72"/>
      <c r="U5" s="72"/>
      <c r="V5" s="56"/>
      <c r="W5" s="56"/>
    </row>
    <row r="6" spans="1:29" ht="12.75" customHeight="1">
      <c r="E6" s="12" t="s">
        <v>396</v>
      </c>
      <c r="V6" s="19"/>
      <c r="Y6" s="12" t="s">
        <v>2</v>
      </c>
      <c r="Z6" s="12"/>
      <c r="AA6" s="12" t="s">
        <v>427</v>
      </c>
    </row>
    <row r="7" spans="1:29" ht="12.75" customHeight="1">
      <c r="A7" s="11"/>
      <c r="C7" s="11"/>
      <c r="E7" s="12" t="s">
        <v>398</v>
      </c>
      <c r="F7" s="12"/>
      <c r="G7" s="12" t="s">
        <v>305</v>
      </c>
      <c r="H7" s="12"/>
      <c r="I7" s="12" t="s">
        <v>306</v>
      </c>
      <c r="J7" s="12"/>
      <c r="K7" s="12" t="s">
        <v>333</v>
      </c>
      <c r="L7" s="12"/>
      <c r="M7" s="12"/>
      <c r="N7" s="12"/>
      <c r="O7" s="12" t="s">
        <v>307</v>
      </c>
      <c r="P7" s="12"/>
      <c r="Q7" s="12" t="s">
        <v>296</v>
      </c>
      <c r="R7" s="12"/>
      <c r="S7" s="12"/>
      <c r="T7" s="12"/>
      <c r="U7" s="12" t="s">
        <v>308</v>
      </c>
      <c r="V7" s="12"/>
      <c r="W7" s="12" t="s">
        <v>6</v>
      </c>
      <c r="X7" s="12"/>
      <c r="Y7" s="12" t="s">
        <v>452</v>
      </c>
      <c r="Z7" s="12"/>
      <c r="AA7" s="12" t="s">
        <v>459</v>
      </c>
      <c r="AC7" s="97" t="s">
        <v>428</v>
      </c>
    </row>
    <row r="8" spans="1:29" s="47" customFormat="1" ht="12.75" customHeight="1">
      <c r="A8" s="100" t="s">
        <v>8</v>
      </c>
      <c r="B8" s="51"/>
      <c r="C8" s="100" t="s">
        <v>9</v>
      </c>
      <c r="E8" s="16" t="s">
        <v>397</v>
      </c>
      <c r="F8" s="18"/>
      <c r="G8" s="16" t="s">
        <v>309</v>
      </c>
      <c r="H8" s="18"/>
      <c r="I8" s="16" t="s">
        <v>310</v>
      </c>
      <c r="J8" s="18"/>
      <c r="K8" s="16" t="s">
        <v>311</v>
      </c>
      <c r="L8" s="18"/>
      <c r="M8" s="16" t="s">
        <v>312</v>
      </c>
      <c r="N8" s="18"/>
      <c r="O8" s="16" t="s">
        <v>313</v>
      </c>
      <c r="P8" s="18"/>
      <c r="Q8" s="16" t="s">
        <v>314</v>
      </c>
      <c r="R8" s="18"/>
      <c r="S8" s="16" t="s">
        <v>294</v>
      </c>
      <c r="T8" s="18"/>
      <c r="U8" s="16" t="s">
        <v>340</v>
      </c>
      <c r="V8" s="18"/>
      <c r="W8" s="16" t="s">
        <v>374</v>
      </c>
      <c r="X8" s="18"/>
      <c r="Y8" s="16" t="s">
        <v>453</v>
      </c>
      <c r="Z8" s="97"/>
      <c r="AA8" s="16" t="s">
        <v>460</v>
      </c>
      <c r="AC8" s="102" t="s">
        <v>429</v>
      </c>
    </row>
    <row r="9" spans="1:29" s="47" customFormat="1" ht="12.75" customHeight="1">
      <c r="A9" s="26"/>
      <c r="B9" s="51"/>
      <c r="C9" s="26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1:29" s="46" customFormat="1" ht="12.75" customHeight="1">
      <c r="A10" s="46" t="s">
        <v>12</v>
      </c>
      <c r="B10" s="66"/>
      <c r="C10" s="46" t="s">
        <v>13</v>
      </c>
      <c r="E10" s="46">
        <f>117038957+73262623</f>
        <v>190301580</v>
      </c>
      <c r="G10" s="46">
        <v>16288130</v>
      </c>
      <c r="I10" s="46">
        <v>5621234</v>
      </c>
      <c r="K10" s="46">
        <v>42181020</v>
      </c>
      <c r="M10" s="46">
        <v>0</v>
      </c>
      <c r="O10" s="46">
        <v>0</v>
      </c>
      <c r="Q10" s="46">
        <v>38873128</v>
      </c>
      <c r="S10" s="46">
        <v>13654482</v>
      </c>
      <c r="U10" s="46">
        <v>28172429</v>
      </c>
      <c r="W10" s="46">
        <f t="shared" ref="W10:W72" si="0">SUM(E10:U10)</f>
        <v>335092003</v>
      </c>
      <c r="Y10" s="46">
        <v>364816135</v>
      </c>
      <c r="AA10" s="46">
        <f>+'Stmt net assets'!Y10</f>
        <v>360761013</v>
      </c>
      <c r="AC10" s="46">
        <f>+Y10+'Stmt of activities-GA rev'!AC10-'Stmt of activities-GAexp'!W10-AA10</f>
        <v>0</v>
      </c>
    </row>
    <row r="11" spans="1:29" s="44" customFormat="1" ht="12.75" customHeight="1">
      <c r="A11" s="44" t="s">
        <v>14</v>
      </c>
      <c r="B11" s="65"/>
      <c r="C11" s="44" t="s">
        <v>15</v>
      </c>
      <c r="E11" s="44">
        <v>8407092</v>
      </c>
      <c r="G11" s="44">
        <v>965155</v>
      </c>
      <c r="I11" s="44">
        <v>769611</v>
      </c>
      <c r="K11" s="44">
        <v>977974</v>
      </c>
      <c r="M11" s="44">
        <v>1787268</v>
      </c>
      <c r="O11" s="44">
        <v>62750</v>
      </c>
      <c r="Q11" s="44">
        <v>3086862</v>
      </c>
      <c r="S11" s="44">
        <v>0</v>
      </c>
      <c r="U11" s="44">
        <v>114938</v>
      </c>
      <c r="W11" s="44">
        <f t="shared" si="0"/>
        <v>16171650</v>
      </c>
      <c r="Y11" s="44">
        <v>29414808</v>
      </c>
      <c r="AA11" s="44">
        <f>+'Stmt net assets'!Y11</f>
        <v>29505267</v>
      </c>
      <c r="AC11" s="44">
        <f>+Y11+'Stmt of activities-GA rev'!AC11-'Stmt of activities-GAexp'!W11-AA11</f>
        <v>0</v>
      </c>
    </row>
    <row r="12" spans="1:29" s="47" customFormat="1" ht="12.75" customHeight="1">
      <c r="A12" s="47" t="s">
        <v>16</v>
      </c>
      <c r="B12" s="51"/>
      <c r="C12" s="47" t="s">
        <v>17</v>
      </c>
      <c r="E12" s="44">
        <v>3823222</v>
      </c>
      <c r="F12" s="44"/>
      <c r="G12" s="44">
        <v>207226</v>
      </c>
      <c r="H12" s="44"/>
      <c r="I12" s="44">
        <v>207024</v>
      </c>
      <c r="J12" s="44"/>
      <c r="K12" s="44">
        <v>320262</v>
      </c>
      <c r="L12" s="44"/>
      <c r="M12" s="44">
        <v>2553915</v>
      </c>
      <c r="N12" s="44"/>
      <c r="O12" s="44">
        <v>0</v>
      </c>
      <c r="P12" s="44"/>
      <c r="Q12" s="44">
        <v>1300320</v>
      </c>
      <c r="R12" s="44"/>
      <c r="S12" s="44">
        <v>0</v>
      </c>
      <c r="T12" s="44"/>
      <c r="U12" s="44">
        <v>148957</v>
      </c>
      <c r="V12" s="44"/>
      <c r="W12" s="44">
        <f t="shared" si="0"/>
        <v>8560926</v>
      </c>
      <c r="X12" s="44"/>
      <c r="Y12" s="44">
        <v>30878162</v>
      </c>
      <c r="Z12" s="44"/>
      <c r="AA12" s="44">
        <f>+'Stmt net assets'!Y12</f>
        <v>31345072</v>
      </c>
      <c r="AB12" s="44"/>
      <c r="AC12" s="44">
        <f>+Y12+'Stmt of activities-GA rev'!AC12-'Stmt of activities-GAexp'!W12-AA12</f>
        <v>0</v>
      </c>
    </row>
    <row r="13" spans="1:29" s="44" customFormat="1" ht="12.75" customHeight="1">
      <c r="A13" s="47" t="s">
        <v>18</v>
      </c>
      <c r="B13" s="51"/>
      <c r="C13" s="47" t="s">
        <v>18</v>
      </c>
      <c r="D13" s="47"/>
      <c r="E13" s="44">
        <v>7237405</v>
      </c>
      <c r="G13" s="44">
        <v>278645</v>
      </c>
      <c r="I13" s="44">
        <v>1181681</v>
      </c>
      <c r="K13" s="44">
        <v>607586</v>
      </c>
      <c r="M13" s="44">
        <v>3075759</v>
      </c>
      <c r="O13" s="44">
        <v>0</v>
      </c>
      <c r="Q13" s="44">
        <v>5605535</v>
      </c>
      <c r="S13" s="44">
        <v>0</v>
      </c>
      <c r="U13" s="44">
        <v>143350</v>
      </c>
      <c r="W13" s="44">
        <f t="shared" si="0"/>
        <v>18129961</v>
      </c>
      <c r="Y13" s="44">
        <v>26326394</v>
      </c>
      <c r="AA13" s="44">
        <f>+'Stmt net assets'!Y13</f>
        <v>24124234</v>
      </c>
      <c r="AC13" s="44">
        <f>+Y13+'Stmt of activities-GA rev'!AC13-'Stmt of activities-GAexp'!W13-AA13</f>
        <v>0</v>
      </c>
    </row>
    <row r="14" spans="1:29" s="47" customFormat="1" ht="12.75" customHeight="1">
      <c r="A14" s="44" t="s">
        <v>19</v>
      </c>
      <c r="B14" s="44"/>
      <c r="C14" s="44" t="s">
        <v>19</v>
      </c>
      <c r="D14" s="44"/>
      <c r="E14" s="44">
        <f>3887527+3047444</f>
        <v>6934971</v>
      </c>
      <c r="F14" s="44"/>
      <c r="G14" s="44">
        <v>370326</v>
      </c>
      <c r="H14" s="44"/>
      <c r="I14" s="44">
        <v>106271</v>
      </c>
      <c r="J14" s="44"/>
      <c r="K14" s="44">
        <v>777192</v>
      </c>
      <c r="L14" s="44"/>
      <c r="M14" s="44">
        <v>2231818</v>
      </c>
      <c r="N14" s="44"/>
      <c r="O14" s="44">
        <v>2004214</v>
      </c>
      <c r="P14" s="44"/>
      <c r="Q14" s="44">
        <f>3586747+1151790</f>
        <v>4738537</v>
      </c>
      <c r="R14" s="44"/>
      <c r="S14" s="44">
        <v>0</v>
      </c>
      <c r="T14" s="44"/>
      <c r="U14" s="44">
        <v>39292</v>
      </c>
      <c r="V14" s="44"/>
      <c r="W14" s="44">
        <f t="shared" si="0"/>
        <v>17202621</v>
      </c>
      <c r="X14" s="44"/>
      <c r="Y14" s="44">
        <v>24911861</v>
      </c>
      <c r="Z14" s="44"/>
      <c r="AA14" s="44">
        <f>+'Stmt net assets'!Y14</f>
        <v>24082070</v>
      </c>
      <c r="AB14" s="44"/>
      <c r="AC14" s="44">
        <f>+Y14+'Stmt of activities-GA rev'!AC14-'Stmt of activities-GAexp'!W14-AA14</f>
        <v>0</v>
      </c>
    </row>
    <row r="15" spans="1:29" s="47" customFormat="1" ht="12.75" customHeight="1">
      <c r="A15" s="47" t="s">
        <v>20</v>
      </c>
      <c r="B15" s="51"/>
      <c r="C15" s="47" t="s">
        <v>20</v>
      </c>
      <c r="E15" s="44">
        <f>3088090+2351871</f>
        <v>5439961</v>
      </c>
      <c r="F15" s="44"/>
      <c r="G15" s="44">
        <v>0</v>
      </c>
      <c r="H15" s="44"/>
      <c r="I15" s="44">
        <v>1502168</v>
      </c>
      <c r="J15" s="44"/>
      <c r="K15" s="44">
        <v>832936</v>
      </c>
      <c r="L15" s="44"/>
      <c r="M15" s="44">
        <v>2492745</v>
      </c>
      <c r="N15" s="44"/>
      <c r="O15" s="44">
        <v>0</v>
      </c>
      <c r="P15" s="44"/>
      <c r="Q15" s="44">
        <v>5598268</v>
      </c>
      <c r="R15" s="44"/>
      <c r="S15" s="44">
        <v>0</v>
      </c>
      <c r="T15" s="44"/>
      <c r="U15" s="44">
        <v>280064</v>
      </c>
      <c r="V15" s="44"/>
      <c r="W15" s="44">
        <f t="shared" si="0"/>
        <v>16146142</v>
      </c>
      <c r="X15" s="44"/>
      <c r="Y15" s="44">
        <v>53526642</v>
      </c>
      <c r="Z15" s="44"/>
      <c r="AA15" s="44">
        <f>+'Stmt net assets'!Y15</f>
        <v>56706822</v>
      </c>
      <c r="AB15" s="44"/>
      <c r="AC15" s="44">
        <f>+Y15+'Stmt of activities-GA rev'!AC15-'Stmt of activities-GAexp'!W15-AA15</f>
        <v>0</v>
      </c>
    </row>
    <row r="16" spans="1:29" s="47" customFormat="1" ht="12.75" customHeight="1">
      <c r="A16" s="47" t="s">
        <v>21</v>
      </c>
      <c r="B16" s="51"/>
      <c r="C16" s="47" t="s">
        <v>22</v>
      </c>
      <c r="E16" s="44">
        <v>7398220</v>
      </c>
      <c r="F16" s="44"/>
      <c r="G16" s="44">
        <v>0</v>
      </c>
      <c r="H16" s="44"/>
      <c r="I16" s="44">
        <v>1572656</v>
      </c>
      <c r="J16" s="44"/>
      <c r="K16" s="44">
        <v>1153742</v>
      </c>
      <c r="L16" s="44"/>
      <c r="M16" s="44">
        <v>2940874</v>
      </c>
      <c r="N16" s="44"/>
      <c r="O16" s="44">
        <v>0</v>
      </c>
      <c r="P16" s="44"/>
      <c r="Q16" s="44">
        <v>2730002</v>
      </c>
      <c r="R16" s="44"/>
      <c r="S16" s="44">
        <v>22266</v>
      </c>
      <c r="T16" s="44"/>
      <c r="U16" s="44">
        <v>595273</v>
      </c>
      <c r="V16" s="44"/>
      <c r="W16" s="44">
        <f t="shared" si="0"/>
        <v>16413033</v>
      </c>
      <c r="X16" s="44"/>
      <c r="Y16" s="44">
        <v>64622719</v>
      </c>
      <c r="Z16" s="44"/>
      <c r="AA16" s="44">
        <f>+'Stmt net assets'!Y16</f>
        <v>69159697</v>
      </c>
      <c r="AB16" s="44"/>
      <c r="AC16" s="44">
        <f>+Y16+'Stmt of activities-GA rev'!AC16-'Stmt of activities-GAexp'!W16-AA16</f>
        <v>0</v>
      </c>
    </row>
    <row r="17" spans="1:29" s="47" customFormat="1" ht="12.75" customHeight="1">
      <c r="A17" s="47" t="s">
        <v>23</v>
      </c>
      <c r="B17" s="51"/>
      <c r="C17" s="47" t="s">
        <v>17</v>
      </c>
      <c r="E17" s="44">
        <v>7572725</v>
      </c>
      <c r="F17" s="44"/>
      <c r="G17" s="44">
        <v>0</v>
      </c>
      <c r="H17" s="44"/>
      <c r="I17" s="44">
        <v>1217094</v>
      </c>
      <c r="J17" s="44"/>
      <c r="K17" s="44">
        <v>1680851</v>
      </c>
      <c r="L17" s="44"/>
      <c r="M17" s="44">
        <v>6152271</v>
      </c>
      <c r="N17" s="44"/>
      <c r="O17" s="44">
        <v>1306546</v>
      </c>
      <c r="P17" s="44"/>
      <c r="Q17" s="44">
        <v>2995719</v>
      </c>
      <c r="R17" s="44"/>
      <c r="S17" s="44">
        <v>0</v>
      </c>
      <c r="T17" s="44"/>
      <c r="U17" s="44">
        <v>2082338</v>
      </c>
      <c r="V17" s="44"/>
      <c r="W17" s="44">
        <f t="shared" si="0"/>
        <v>23007544</v>
      </c>
      <c r="X17" s="44"/>
      <c r="Y17" s="44">
        <v>62286663</v>
      </c>
      <c r="Z17" s="44"/>
      <c r="AA17" s="44">
        <f>+'Stmt net assets'!Y17</f>
        <v>59093688</v>
      </c>
      <c r="AB17" s="44"/>
      <c r="AC17" s="44">
        <f>+Y17+'Stmt of activities-GA rev'!AC17-'Stmt of activities-GAexp'!W17-AA17</f>
        <v>0</v>
      </c>
    </row>
    <row r="18" spans="1:29" s="47" customFormat="1" ht="12.75" customHeight="1">
      <c r="A18" s="47" t="s">
        <v>24</v>
      </c>
      <c r="B18" s="51"/>
      <c r="C18" s="47" t="s">
        <v>17</v>
      </c>
      <c r="E18" s="44">
        <v>8081408</v>
      </c>
      <c r="F18" s="44"/>
      <c r="G18" s="44">
        <v>136490</v>
      </c>
      <c r="H18" s="44"/>
      <c r="I18" s="44">
        <v>1370665</v>
      </c>
      <c r="J18" s="44"/>
      <c r="K18" s="44">
        <v>327723</v>
      </c>
      <c r="L18" s="44"/>
      <c r="M18" s="44">
        <v>6866122</v>
      </c>
      <c r="N18" s="44"/>
      <c r="O18" s="44">
        <v>68840</v>
      </c>
      <c r="P18" s="44"/>
      <c r="Q18" s="44">
        <v>3303881</v>
      </c>
      <c r="R18" s="44"/>
      <c r="S18" s="44">
        <v>0</v>
      </c>
      <c r="T18" s="44"/>
      <c r="U18" s="44">
        <v>408718</v>
      </c>
      <c r="V18" s="44"/>
      <c r="W18" s="44">
        <f t="shared" si="0"/>
        <v>20563847</v>
      </c>
      <c r="X18" s="44"/>
      <c r="Y18" s="44">
        <v>65554526</v>
      </c>
      <c r="Z18" s="44"/>
      <c r="AA18" s="44">
        <f>+'Stmt net assets'!Y18</f>
        <v>67443412</v>
      </c>
      <c r="AB18" s="44"/>
      <c r="AC18" s="44">
        <f>+Y18+'Stmt of activities-GA rev'!AC18-'Stmt of activities-GAexp'!W18-AA18</f>
        <v>0</v>
      </c>
    </row>
    <row r="19" spans="1:29" s="47" customFormat="1" ht="12.75" customHeight="1">
      <c r="A19" s="47" t="s">
        <v>25</v>
      </c>
      <c r="B19" s="51"/>
      <c r="C19" s="47" t="s">
        <v>13</v>
      </c>
      <c r="E19" s="44">
        <v>11339496</v>
      </c>
      <c r="F19" s="44"/>
      <c r="G19" s="44">
        <v>1889854</v>
      </c>
      <c r="H19" s="44"/>
      <c r="I19" s="44">
        <v>1634659</v>
      </c>
      <c r="J19" s="44"/>
      <c r="K19" s="44">
        <v>1855258</v>
      </c>
      <c r="L19" s="44"/>
      <c r="M19" s="44">
        <v>2265378</v>
      </c>
      <c r="N19" s="44"/>
      <c r="O19" s="44">
        <v>0</v>
      </c>
      <c r="P19" s="44"/>
      <c r="Q19" s="44">
        <v>4619097</v>
      </c>
      <c r="R19" s="44"/>
      <c r="S19" s="44">
        <v>0</v>
      </c>
      <c r="T19" s="44"/>
      <c r="U19" s="44">
        <v>253275</v>
      </c>
      <c r="V19" s="44"/>
      <c r="W19" s="44">
        <f t="shared" si="0"/>
        <v>23857017</v>
      </c>
      <c r="X19" s="44"/>
      <c r="Y19" s="44">
        <v>25365496</v>
      </c>
      <c r="Z19" s="44"/>
      <c r="AA19" s="44">
        <f>+'Stmt net assets'!Y19</f>
        <v>25260489</v>
      </c>
      <c r="AB19" s="44"/>
      <c r="AC19" s="44">
        <f>+Y19+'Stmt of activities-GA rev'!AC19-'Stmt of activities-GAexp'!W19-AA19</f>
        <v>0</v>
      </c>
    </row>
    <row r="20" spans="1:29" s="47" customFormat="1" ht="12.75" customHeight="1">
      <c r="A20" s="47" t="s">
        <v>26</v>
      </c>
      <c r="B20" s="51"/>
      <c r="C20" s="47" t="s">
        <v>27</v>
      </c>
      <c r="E20" s="44">
        <v>6684304</v>
      </c>
      <c r="F20" s="44"/>
      <c r="G20" s="44">
        <v>382007</v>
      </c>
      <c r="H20" s="44"/>
      <c r="I20" s="44">
        <v>1071434</v>
      </c>
      <c r="J20" s="44"/>
      <c r="K20" s="44">
        <v>855503</v>
      </c>
      <c r="L20" s="44"/>
      <c r="M20" s="44">
        <v>2338830</v>
      </c>
      <c r="N20" s="44"/>
      <c r="O20" s="44">
        <v>1778101</v>
      </c>
      <c r="P20" s="44"/>
      <c r="Q20" s="44">
        <v>3168532</v>
      </c>
      <c r="R20" s="44"/>
      <c r="S20" s="44">
        <v>2683690</v>
      </c>
      <c r="T20" s="44"/>
      <c r="U20" s="44">
        <v>572640</v>
      </c>
      <c r="V20" s="44"/>
      <c r="W20" s="44">
        <f t="shared" si="0"/>
        <v>19535041</v>
      </c>
      <c r="X20" s="44"/>
      <c r="Y20" s="44">
        <v>25880287</v>
      </c>
      <c r="Z20" s="44"/>
      <c r="AA20" s="44">
        <f>+'Stmt net assets'!Y20</f>
        <v>27666014</v>
      </c>
      <c r="AB20" s="44"/>
      <c r="AC20" s="44">
        <f>+Y20+'Stmt of activities-GA rev'!AC20-'Stmt of activities-GAexp'!W20-AA20</f>
        <v>0</v>
      </c>
    </row>
    <row r="21" spans="1:29" s="47" customFormat="1" ht="12.75" customHeight="1">
      <c r="A21" s="47" t="s">
        <v>28</v>
      </c>
      <c r="B21" s="51"/>
      <c r="C21" s="47" t="s">
        <v>27</v>
      </c>
      <c r="E21" s="44">
        <f>7546514+5606352</f>
        <v>13152866</v>
      </c>
      <c r="F21" s="44"/>
      <c r="G21" s="44">
        <v>637802</v>
      </c>
      <c r="H21" s="44"/>
      <c r="I21" s="44">
        <v>2715802</v>
      </c>
      <c r="J21" s="44"/>
      <c r="K21" s="44">
        <v>959136</v>
      </c>
      <c r="L21" s="44"/>
      <c r="M21" s="44">
        <v>0</v>
      </c>
      <c r="N21" s="44"/>
      <c r="O21" s="44">
        <v>0</v>
      </c>
      <c r="P21" s="44"/>
      <c r="Q21" s="44">
        <v>4447184</v>
      </c>
      <c r="R21" s="44"/>
      <c r="S21" s="44">
        <v>10634883</v>
      </c>
      <c r="T21" s="44"/>
      <c r="U21" s="44">
        <v>788112</v>
      </c>
      <c r="V21" s="44"/>
      <c r="W21" s="44">
        <f t="shared" si="0"/>
        <v>33335785</v>
      </c>
      <c r="X21" s="44"/>
      <c r="Y21" s="44">
        <v>110157670</v>
      </c>
      <c r="Z21" s="44"/>
      <c r="AA21" s="44">
        <f>+'Stmt net assets'!Y21</f>
        <v>112514345</v>
      </c>
      <c r="AB21" s="44"/>
      <c r="AC21" s="44">
        <f>+Y21+'Stmt of activities-GA rev'!AC21-'Stmt of activities-GAexp'!W21-AA21</f>
        <v>0</v>
      </c>
    </row>
    <row r="22" spans="1:29" s="47" customFormat="1" ht="12.75" customHeight="1">
      <c r="A22" s="47" t="s">
        <v>29</v>
      </c>
      <c r="B22" s="51"/>
      <c r="C22" s="47" t="s">
        <v>30</v>
      </c>
      <c r="E22" s="44">
        <v>7484148</v>
      </c>
      <c r="F22" s="44"/>
      <c r="G22" s="44">
        <v>135629</v>
      </c>
      <c r="H22" s="44"/>
      <c r="I22" s="44">
        <v>1342515</v>
      </c>
      <c r="J22" s="44"/>
      <c r="K22" s="44">
        <v>492708</v>
      </c>
      <c r="L22" s="44"/>
      <c r="M22" s="44">
        <v>9425194</v>
      </c>
      <c r="N22" s="44"/>
      <c r="O22" s="44">
        <v>53966</v>
      </c>
      <c r="P22" s="44"/>
      <c r="Q22" s="44">
        <v>2451135</v>
      </c>
      <c r="R22" s="44"/>
      <c r="S22" s="44">
        <v>0</v>
      </c>
      <c r="T22" s="44"/>
      <c r="U22" s="44">
        <v>485701</v>
      </c>
      <c r="V22" s="44"/>
      <c r="W22" s="44">
        <f t="shared" si="0"/>
        <v>21870996</v>
      </c>
      <c r="X22" s="44"/>
      <c r="Y22" s="44">
        <v>204159237</v>
      </c>
      <c r="Z22" s="44"/>
      <c r="AA22" s="44">
        <f>+'Stmt net assets'!Y22</f>
        <v>205315554</v>
      </c>
      <c r="AB22" s="44"/>
      <c r="AC22" s="44">
        <f>+Y22+'Stmt of activities-GA rev'!AC22-'Stmt of activities-GAexp'!W22-AA22</f>
        <v>0</v>
      </c>
    </row>
    <row r="23" spans="1:29" s="47" customFormat="1" ht="12.75" customHeight="1">
      <c r="A23" s="47" t="s">
        <v>31</v>
      </c>
      <c r="B23" s="51"/>
      <c r="C23" s="47" t="s">
        <v>27</v>
      </c>
      <c r="E23" s="44">
        <f>5446671+4097079</f>
        <v>9543750</v>
      </c>
      <c r="F23" s="44"/>
      <c r="G23" s="44">
        <v>221252</v>
      </c>
      <c r="H23" s="44"/>
      <c r="I23" s="44">
        <v>1503009</v>
      </c>
      <c r="J23" s="44"/>
      <c r="K23" s="44">
        <v>749067</v>
      </c>
      <c r="L23" s="44"/>
      <c r="M23" s="44">
        <v>4786782</v>
      </c>
      <c r="N23" s="44"/>
      <c r="O23" s="44">
        <v>1027983</v>
      </c>
      <c r="P23" s="44"/>
      <c r="Q23" s="44">
        <v>5323310</v>
      </c>
      <c r="R23" s="44"/>
      <c r="S23" s="44">
        <v>0</v>
      </c>
      <c r="T23" s="44"/>
      <c r="U23" s="44">
        <v>592927</v>
      </c>
      <c r="V23" s="44"/>
      <c r="W23" s="44">
        <f t="shared" si="0"/>
        <v>23748080</v>
      </c>
      <c r="X23" s="44"/>
      <c r="Y23" s="44">
        <v>44876502</v>
      </c>
      <c r="Z23" s="44"/>
      <c r="AA23" s="44">
        <f>+'Stmt net assets'!Y23</f>
        <v>42451468</v>
      </c>
      <c r="AB23" s="44"/>
      <c r="AC23" s="44">
        <f>+Y23+'Stmt of activities-GA rev'!AC23-'Stmt of activities-GAexp'!W23-AA23</f>
        <v>0</v>
      </c>
    </row>
    <row r="24" spans="1:29" s="47" customFormat="1" ht="12.75" customHeight="1">
      <c r="A24" s="47" t="s">
        <v>32</v>
      </c>
      <c r="B24" s="51"/>
      <c r="C24" s="47" t="s">
        <v>27</v>
      </c>
      <c r="E24" s="44">
        <v>11227236</v>
      </c>
      <c r="F24" s="44"/>
      <c r="G24" s="44">
        <v>412760</v>
      </c>
      <c r="H24" s="44"/>
      <c r="I24" s="44">
        <v>1691137</v>
      </c>
      <c r="J24" s="44"/>
      <c r="K24" s="44">
        <v>399975</v>
      </c>
      <c r="L24" s="44"/>
      <c r="M24" s="44">
        <v>1902672</v>
      </c>
      <c r="N24" s="44"/>
      <c r="O24" s="44">
        <v>784933</v>
      </c>
      <c r="P24" s="44"/>
      <c r="Q24" s="44">
        <v>4149258</v>
      </c>
      <c r="R24" s="44"/>
      <c r="S24" s="44">
        <v>0</v>
      </c>
      <c r="T24" s="44"/>
      <c r="U24" s="44">
        <v>274677</v>
      </c>
      <c r="V24" s="44"/>
      <c r="W24" s="44">
        <f t="shared" si="0"/>
        <v>20842648</v>
      </c>
      <c r="X24" s="44"/>
      <c r="Y24" s="44">
        <v>21287688</v>
      </c>
      <c r="Z24" s="44"/>
      <c r="AA24" s="44">
        <f>+'[1]Stmt net assets'!Y23</f>
        <v>22663557</v>
      </c>
      <c r="AB24" s="44"/>
      <c r="AC24" s="44">
        <f>+Y24+'Stmt of activities-GA rev'!AC24-'Stmt of activities-GAexp'!W24-AA24</f>
        <v>0</v>
      </c>
    </row>
    <row r="25" spans="1:29" s="47" customFormat="1" ht="12.75" customHeight="1">
      <c r="A25" s="47" t="s">
        <v>34</v>
      </c>
      <c r="B25" s="51"/>
      <c r="C25" s="47" t="s">
        <v>30</v>
      </c>
      <c r="E25" s="44">
        <v>2416513</v>
      </c>
      <c r="F25" s="44"/>
      <c r="G25" s="44">
        <v>0</v>
      </c>
      <c r="H25" s="44"/>
      <c r="I25" s="44">
        <v>14978</v>
      </c>
      <c r="J25" s="44"/>
      <c r="K25" s="44">
        <v>44865</v>
      </c>
      <c r="L25" s="44"/>
      <c r="M25" s="44">
        <v>494826</v>
      </c>
      <c r="N25" s="44"/>
      <c r="O25" s="44">
        <v>0</v>
      </c>
      <c r="P25" s="44"/>
      <c r="Q25" s="44">
        <v>467050</v>
      </c>
      <c r="R25" s="44"/>
      <c r="S25" s="44">
        <v>0</v>
      </c>
      <c r="T25" s="44"/>
      <c r="U25" s="44">
        <v>0</v>
      </c>
      <c r="V25" s="44"/>
      <c r="W25" s="44">
        <f t="shared" si="0"/>
        <v>3438232</v>
      </c>
      <c r="X25" s="44"/>
      <c r="Y25" s="44">
        <v>7464600</v>
      </c>
      <c r="Z25" s="44"/>
      <c r="AA25" s="44">
        <f>+'[1]Stmt net assets'!Y24</f>
        <v>7822853</v>
      </c>
      <c r="AB25" s="44"/>
      <c r="AC25" s="44">
        <f>+Y25+'Stmt of activities-GA rev'!AC25-'Stmt of activities-GAexp'!W25-AA25</f>
        <v>0</v>
      </c>
    </row>
    <row r="26" spans="1:29" s="47" customFormat="1" ht="12.75" customHeight="1">
      <c r="A26" s="47" t="s">
        <v>35</v>
      </c>
      <c r="B26" s="51"/>
      <c r="C26" s="47" t="s">
        <v>36</v>
      </c>
      <c r="E26" s="44">
        <v>3883184</v>
      </c>
      <c r="F26" s="44"/>
      <c r="G26" s="44">
        <v>170337</v>
      </c>
      <c r="H26" s="44"/>
      <c r="I26" s="44">
        <v>627403</v>
      </c>
      <c r="J26" s="44"/>
      <c r="K26" s="44">
        <v>366775</v>
      </c>
      <c r="L26" s="44"/>
      <c r="M26" s="44">
        <v>1559293</v>
      </c>
      <c r="N26" s="44"/>
      <c r="O26" s="44">
        <v>439561</v>
      </c>
      <c r="P26" s="44"/>
      <c r="Q26" s="44">
        <v>2323552</v>
      </c>
      <c r="R26" s="44"/>
      <c r="S26" s="44">
        <v>0</v>
      </c>
      <c r="T26" s="44"/>
      <c r="U26" s="44">
        <v>33409</v>
      </c>
      <c r="V26" s="44"/>
      <c r="W26" s="44">
        <f t="shared" si="0"/>
        <v>9403514</v>
      </c>
      <c r="X26" s="44"/>
      <c r="Y26" s="44">
        <v>29596722</v>
      </c>
      <c r="Z26" s="44"/>
      <c r="AA26" s="44">
        <f>+'[1]Stmt net assets'!Y25</f>
        <v>30149086</v>
      </c>
      <c r="AB26" s="44"/>
      <c r="AC26" s="44">
        <f>+Y26+'Stmt of activities-GA rev'!AC26-'Stmt of activities-GAexp'!W26-AA26</f>
        <v>0</v>
      </c>
    </row>
    <row r="27" spans="1:29" s="47" customFormat="1" ht="12.75" customHeight="1">
      <c r="A27" s="47" t="s">
        <v>37</v>
      </c>
      <c r="B27" s="51"/>
      <c r="C27" s="47" t="s">
        <v>38</v>
      </c>
      <c r="E27" s="44">
        <v>2589783</v>
      </c>
      <c r="F27" s="44"/>
      <c r="G27" s="44">
        <v>104900</v>
      </c>
      <c r="H27" s="44"/>
      <c r="I27" s="44">
        <v>501067</v>
      </c>
      <c r="J27" s="44"/>
      <c r="K27" s="44">
        <v>241483</v>
      </c>
      <c r="L27" s="44"/>
      <c r="M27" s="44">
        <v>900023</v>
      </c>
      <c r="N27" s="44"/>
      <c r="O27" s="44">
        <v>0</v>
      </c>
      <c r="P27" s="44"/>
      <c r="Q27" s="44">
        <f>2035692+257536</f>
        <v>2293228</v>
      </c>
      <c r="R27" s="44"/>
      <c r="S27" s="44">
        <v>0</v>
      </c>
      <c r="T27" s="44"/>
      <c r="U27" s="44">
        <v>80451</v>
      </c>
      <c r="V27" s="44"/>
      <c r="W27" s="44">
        <f t="shared" si="0"/>
        <v>6710935</v>
      </c>
      <c r="X27" s="44"/>
      <c r="Y27" s="44">
        <v>12726852</v>
      </c>
      <c r="Z27" s="44"/>
      <c r="AA27" s="44">
        <f>+'[1]Stmt net assets'!Y26</f>
        <v>13038059</v>
      </c>
      <c r="AB27" s="44"/>
      <c r="AC27" s="44">
        <f>+Y27+'Stmt of activities-GA rev'!AC27-'Stmt of activities-GAexp'!W27-AA27</f>
        <v>0</v>
      </c>
    </row>
    <row r="28" spans="1:29" s="47" customFormat="1" ht="12.75" customHeight="1">
      <c r="A28" s="47" t="s">
        <v>39</v>
      </c>
      <c r="B28" s="51"/>
      <c r="C28" s="47" t="s">
        <v>40</v>
      </c>
      <c r="E28" s="44">
        <f>997865+222408</f>
        <v>1220273</v>
      </c>
      <c r="F28" s="44"/>
      <c r="G28" s="44">
        <v>41242</v>
      </c>
      <c r="H28" s="44"/>
      <c r="I28" s="44">
        <f>48392+127310+97807</f>
        <v>273509</v>
      </c>
      <c r="J28" s="44"/>
      <c r="K28" s="44">
        <v>220613</v>
      </c>
      <c r="L28" s="44"/>
      <c r="M28" s="44">
        <v>1186497</v>
      </c>
      <c r="N28" s="44"/>
      <c r="O28" s="44">
        <v>0</v>
      </c>
      <c r="P28" s="44"/>
      <c r="Q28" s="44">
        <v>648613</v>
      </c>
      <c r="R28" s="44"/>
      <c r="S28" s="44">
        <v>0</v>
      </c>
      <c r="T28" s="44"/>
      <c r="U28" s="44">
        <v>60614</v>
      </c>
      <c r="V28" s="44"/>
      <c r="W28" s="44">
        <f t="shared" si="0"/>
        <v>3651361</v>
      </c>
      <c r="X28" s="44"/>
      <c r="Y28" s="44">
        <v>15592696</v>
      </c>
      <c r="Z28" s="44"/>
      <c r="AA28" s="44">
        <f>+'[1]Stmt net assets'!Y27</f>
        <v>15139332</v>
      </c>
      <c r="AB28" s="44"/>
      <c r="AC28" s="44">
        <f>+Y28+'Stmt of activities-GA rev'!AC28-'Stmt of activities-GAexp'!W28-AA28</f>
        <v>0</v>
      </c>
    </row>
    <row r="29" spans="1:29" s="47" customFormat="1" ht="12.75" customHeight="1">
      <c r="A29" s="47" t="s">
        <v>41</v>
      </c>
      <c r="B29" s="51"/>
      <c r="C29" s="47" t="s">
        <v>27</v>
      </c>
      <c r="E29" s="44">
        <v>6756475</v>
      </c>
      <c r="F29" s="44"/>
      <c r="G29" s="44">
        <v>122080</v>
      </c>
      <c r="H29" s="44"/>
      <c r="I29" s="44">
        <v>3207018</v>
      </c>
      <c r="J29" s="44"/>
      <c r="K29" s="44">
        <v>502423</v>
      </c>
      <c r="L29" s="44"/>
      <c r="M29" s="44">
        <v>1905730</v>
      </c>
      <c r="N29" s="44"/>
      <c r="O29" s="44">
        <v>0</v>
      </c>
      <c r="P29" s="44"/>
      <c r="Q29" s="44">
        <v>6075079</v>
      </c>
      <c r="R29" s="44"/>
      <c r="S29" s="44">
        <v>1265014</v>
      </c>
      <c r="T29" s="44"/>
      <c r="U29" s="44">
        <v>563320</v>
      </c>
      <c r="V29" s="44"/>
      <c r="W29" s="44">
        <f t="shared" si="0"/>
        <v>20397139</v>
      </c>
      <c r="X29" s="44"/>
      <c r="Y29" s="44">
        <v>57300057</v>
      </c>
      <c r="Z29" s="44"/>
      <c r="AA29" s="44">
        <f>+'[1]Stmt net assets'!Y28</f>
        <v>61063954</v>
      </c>
      <c r="AB29" s="44"/>
      <c r="AC29" s="44">
        <f>+Y29+'Stmt of activities-GA rev'!AC29-'Stmt of activities-GAexp'!W29-AA29</f>
        <v>0</v>
      </c>
    </row>
    <row r="30" spans="1:29" s="47" customFormat="1" ht="12.75" customHeight="1">
      <c r="A30" s="47" t="s">
        <v>42</v>
      </c>
      <c r="B30" s="51"/>
      <c r="C30" s="47" t="s">
        <v>43</v>
      </c>
      <c r="E30" s="44">
        <v>4841094</v>
      </c>
      <c r="F30" s="44"/>
      <c r="G30" s="44">
        <v>79897</v>
      </c>
      <c r="H30" s="44"/>
      <c r="I30" s="44">
        <v>1648849</v>
      </c>
      <c r="J30" s="44"/>
      <c r="K30" s="44">
        <v>624096</v>
      </c>
      <c r="L30" s="44"/>
      <c r="M30" s="44">
        <v>1777299</v>
      </c>
      <c r="N30" s="44"/>
      <c r="O30" s="44">
        <v>0</v>
      </c>
      <c r="P30" s="44"/>
      <c r="Q30" s="44">
        <v>3586682</v>
      </c>
      <c r="R30" s="44"/>
      <c r="S30" s="44">
        <v>0</v>
      </c>
      <c r="T30" s="44"/>
      <c r="U30" s="44">
        <v>269653</v>
      </c>
      <c r="V30" s="44"/>
      <c r="W30" s="44">
        <f t="shared" si="0"/>
        <v>12827570</v>
      </c>
      <c r="X30" s="44"/>
      <c r="Y30" s="44">
        <v>17030377</v>
      </c>
      <c r="Z30" s="44"/>
      <c r="AA30" s="44">
        <f>+'[1]Stmt net assets'!Y29</f>
        <v>17114043</v>
      </c>
      <c r="AB30" s="44"/>
      <c r="AC30" s="44">
        <f>+Y30+'Stmt of activities-GA rev'!AC30-'Stmt of activities-GAexp'!W30-AA30</f>
        <v>0</v>
      </c>
    </row>
    <row r="31" spans="1:29" s="47" customFormat="1" ht="12.75" customHeight="1">
      <c r="A31" s="47" t="s">
        <v>44</v>
      </c>
      <c r="B31" s="51"/>
      <c r="C31" s="47" t="s">
        <v>45</v>
      </c>
      <c r="E31" s="44">
        <v>10806190</v>
      </c>
      <c r="F31" s="44"/>
      <c r="G31" s="44">
        <v>0</v>
      </c>
      <c r="H31" s="44"/>
      <c r="I31" s="44">
        <v>5418869</v>
      </c>
      <c r="J31" s="44"/>
      <c r="K31" s="44">
        <v>809377</v>
      </c>
      <c r="L31" s="44"/>
      <c r="M31" s="44">
        <v>1829478</v>
      </c>
      <c r="N31" s="44"/>
      <c r="O31" s="44">
        <v>1864013</v>
      </c>
      <c r="P31" s="44"/>
      <c r="Q31" s="44">
        <v>7886490</v>
      </c>
      <c r="R31" s="44"/>
      <c r="S31" s="44">
        <v>0</v>
      </c>
      <c r="T31" s="44"/>
      <c r="U31" s="44">
        <v>2299658</v>
      </c>
      <c r="V31" s="44"/>
      <c r="W31" s="44">
        <f t="shared" si="0"/>
        <v>30914075</v>
      </c>
      <c r="X31" s="44"/>
      <c r="Y31" s="44">
        <v>61313627</v>
      </c>
      <c r="Z31" s="44"/>
      <c r="AA31" s="44">
        <f>+'[1]Stmt net assets'!Y30</f>
        <v>70070950</v>
      </c>
      <c r="AB31" s="44"/>
      <c r="AC31" s="44">
        <f>+Y31+'Stmt of activities-GA rev'!AC31-'Stmt of activities-GAexp'!W31-AA31</f>
        <v>0</v>
      </c>
    </row>
    <row r="32" spans="1:29" s="47" customFormat="1" ht="12.75" customHeight="1">
      <c r="A32" s="47" t="s">
        <v>46</v>
      </c>
      <c r="B32" s="51"/>
      <c r="C32" s="47" t="s">
        <v>47</v>
      </c>
      <c r="E32" s="44">
        <f>5405172+5796073</f>
        <v>11201245</v>
      </c>
      <c r="F32" s="44"/>
      <c r="G32" s="44">
        <v>82845</v>
      </c>
      <c r="H32" s="44"/>
      <c r="I32" s="44">
        <v>1911118</v>
      </c>
      <c r="J32" s="44"/>
      <c r="K32" s="44">
        <v>1251101</v>
      </c>
      <c r="L32" s="44"/>
      <c r="M32" s="44">
        <v>6289365</v>
      </c>
      <c r="N32" s="44"/>
      <c r="O32" s="44">
        <v>2665433</v>
      </c>
      <c r="P32" s="44"/>
      <c r="Q32" s="44">
        <f>1958929+3453307</f>
        <v>5412236</v>
      </c>
      <c r="R32" s="44"/>
      <c r="S32" s="44">
        <f>43682</f>
        <v>43682</v>
      </c>
      <c r="T32" s="44"/>
      <c r="U32" s="44">
        <v>885935</v>
      </c>
      <c r="V32" s="44"/>
      <c r="W32" s="44">
        <f t="shared" si="0"/>
        <v>29742960</v>
      </c>
      <c r="X32" s="44"/>
      <c r="Y32" s="44">
        <v>46160054</v>
      </c>
      <c r="Z32" s="44"/>
      <c r="AA32" s="44">
        <f>+'[1]Stmt net assets'!Y31</f>
        <v>44497395</v>
      </c>
      <c r="AB32" s="44"/>
      <c r="AC32" s="44">
        <f>+Y32+'Stmt of activities-GA rev'!AC32-'Stmt of activities-GAexp'!W32-AA32</f>
        <v>0</v>
      </c>
    </row>
    <row r="33" spans="1:29" s="47" customFormat="1" ht="12.75" customHeight="1">
      <c r="A33" s="47" t="s">
        <v>48</v>
      </c>
      <c r="C33" s="47" t="s">
        <v>27</v>
      </c>
      <c r="E33" s="44">
        <f>4276131+2241102</f>
        <v>6517233</v>
      </c>
      <c r="F33" s="44"/>
      <c r="G33" s="44">
        <v>126790</v>
      </c>
      <c r="H33" s="44"/>
      <c r="I33" s="44">
        <v>2498487</v>
      </c>
      <c r="J33" s="44"/>
      <c r="K33" s="44">
        <v>1177227</v>
      </c>
      <c r="L33" s="44"/>
      <c r="M33" s="44">
        <v>4499947</v>
      </c>
      <c r="N33" s="44"/>
      <c r="O33" s="44">
        <v>2081050</v>
      </c>
      <c r="P33" s="44"/>
      <c r="Q33" s="44">
        <f>6102755+123977</f>
        <v>6226732</v>
      </c>
      <c r="R33" s="44"/>
      <c r="S33" s="44">
        <v>0</v>
      </c>
      <c r="T33" s="44"/>
      <c r="U33" s="44">
        <v>773876</v>
      </c>
      <c r="V33" s="44"/>
      <c r="W33" s="44">
        <f t="shared" si="0"/>
        <v>23901342</v>
      </c>
      <c r="X33" s="44"/>
      <c r="Y33" s="44">
        <v>80762418</v>
      </c>
      <c r="Z33" s="44"/>
      <c r="AA33" s="44">
        <f>+'[1]Stmt net assets'!Y32</f>
        <v>81391413</v>
      </c>
      <c r="AB33" s="44"/>
      <c r="AC33" s="44">
        <f>+Y33+'Stmt of activities-GA rev'!AC33-'Stmt of activities-GAexp'!W33-AA33</f>
        <v>0</v>
      </c>
    </row>
    <row r="34" spans="1:29" s="47" customFormat="1" ht="12.75" customHeight="1">
      <c r="A34" s="47" t="s">
        <v>49</v>
      </c>
      <c r="B34" s="51"/>
      <c r="C34" s="47" t="s">
        <v>27</v>
      </c>
      <c r="E34" s="44">
        <v>7321241</v>
      </c>
      <c r="F34" s="44"/>
      <c r="G34" s="44">
        <v>380157</v>
      </c>
      <c r="H34" s="44"/>
      <c r="I34" s="44">
        <v>1248626</v>
      </c>
      <c r="J34" s="44"/>
      <c r="K34" s="44">
        <v>337203</v>
      </c>
      <c r="L34" s="44"/>
      <c r="M34" s="44">
        <v>3792527</v>
      </c>
      <c r="N34" s="44"/>
      <c r="O34" s="44">
        <v>889976</v>
      </c>
      <c r="P34" s="44"/>
      <c r="Q34" s="44">
        <v>6479671</v>
      </c>
      <c r="R34" s="44"/>
      <c r="S34" s="44">
        <v>0</v>
      </c>
      <c r="T34" s="44"/>
      <c r="U34" s="44">
        <v>837338</v>
      </c>
      <c r="V34" s="44"/>
      <c r="W34" s="44">
        <f t="shared" si="0"/>
        <v>21286739</v>
      </c>
      <c r="X34" s="44"/>
      <c r="Y34" s="44">
        <v>34535653</v>
      </c>
      <c r="Z34" s="44"/>
      <c r="AA34" s="44">
        <f>+'[1]Stmt net assets'!Y33</f>
        <v>33972307</v>
      </c>
      <c r="AB34" s="44"/>
      <c r="AC34" s="44">
        <f>+Y34+'Stmt of activities-GA rev'!AC34-'Stmt of activities-GAexp'!W34-AA34</f>
        <v>0</v>
      </c>
    </row>
    <row r="35" spans="1:29" s="47" customFormat="1" ht="12.75" customHeight="1">
      <c r="A35" s="47" t="s">
        <v>50</v>
      </c>
      <c r="B35" s="51"/>
      <c r="C35" s="47" t="s">
        <v>27</v>
      </c>
      <c r="E35" s="44">
        <f>6433444+4891759</f>
        <v>11325203</v>
      </c>
      <c r="F35" s="44"/>
      <c r="G35" s="44">
        <v>483130</v>
      </c>
      <c r="H35" s="44"/>
      <c r="I35" s="44">
        <v>2866895</v>
      </c>
      <c r="J35" s="44"/>
      <c r="K35" s="44">
        <v>2701221</v>
      </c>
      <c r="L35" s="44"/>
      <c r="M35" s="44">
        <v>2766466</v>
      </c>
      <c r="N35" s="44"/>
      <c r="O35" s="44">
        <v>4351316</v>
      </c>
      <c r="P35" s="44"/>
      <c r="Q35" s="44">
        <v>5319134</v>
      </c>
      <c r="R35" s="44"/>
      <c r="S35" s="44">
        <v>0</v>
      </c>
      <c r="T35" s="44"/>
      <c r="U35" s="44">
        <v>54951</v>
      </c>
      <c r="V35" s="44"/>
      <c r="W35" s="44">
        <f t="shared" si="0"/>
        <v>29868316</v>
      </c>
      <c r="X35" s="44"/>
      <c r="Y35" s="44">
        <v>79788431</v>
      </c>
      <c r="Z35" s="44"/>
      <c r="AA35" s="44">
        <f>+'[1]Stmt net assets'!Y34</f>
        <v>83274457</v>
      </c>
      <c r="AB35" s="44"/>
      <c r="AC35" s="44">
        <f>+Y35+'Stmt of activities-GA rev'!AC35-'Stmt of activities-GAexp'!W35-AA35</f>
        <v>0</v>
      </c>
    </row>
    <row r="36" spans="1:29" s="47" customFormat="1" ht="12.75" customHeight="1">
      <c r="A36" s="47" t="s">
        <v>51</v>
      </c>
      <c r="B36" s="51"/>
      <c r="C36" s="47" t="s">
        <v>27</v>
      </c>
      <c r="E36" s="44">
        <v>8911641</v>
      </c>
      <c r="F36" s="44"/>
      <c r="G36" s="44">
        <v>0</v>
      </c>
      <c r="H36" s="44"/>
      <c r="I36" s="44">
        <v>2555514</v>
      </c>
      <c r="J36" s="44"/>
      <c r="K36" s="44">
        <v>1997594</v>
      </c>
      <c r="L36" s="44"/>
      <c r="M36" s="44">
        <v>1448920</v>
      </c>
      <c r="N36" s="44"/>
      <c r="O36" s="44">
        <v>3119080</v>
      </c>
      <c r="P36" s="44"/>
      <c r="Q36" s="44">
        <v>2096146</v>
      </c>
      <c r="R36" s="44"/>
      <c r="S36" s="44">
        <v>0</v>
      </c>
      <c r="T36" s="44"/>
      <c r="U36" s="44">
        <v>448354</v>
      </c>
      <c r="V36" s="44"/>
      <c r="W36" s="44">
        <f t="shared" si="0"/>
        <v>20577249</v>
      </c>
      <c r="X36" s="44"/>
      <c r="Y36" s="44">
        <v>23581281</v>
      </c>
      <c r="Z36" s="44"/>
      <c r="AA36" s="44">
        <f>+'[1]Stmt net assets'!Y35</f>
        <v>22773865</v>
      </c>
      <c r="AB36" s="44"/>
      <c r="AC36" s="44">
        <f>+Y36+'Stmt of activities-GA rev'!AC36-'Stmt of activities-GAexp'!W36-AA36</f>
        <v>0</v>
      </c>
    </row>
    <row r="37" spans="1:29" s="47" customFormat="1" ht="12.75" customHeight="1">
      <c r="A37" s="47" t="s">
        <v>462</v>
      </c>
      <c r="B37" s="51"/>
      <c r="C37" s="47" t="s">
        <v>66</v>
      </c>
      <c r="E37" s="44">
        <v>1917605</v>
      </c>
      <c r="F37" s="44"/>
      <c r="G37" s="44">
        <v>0</v>
      </c>
      <c r="H37" s="44"/>
      <c r="I37" s="44">
        <v>165670</v>
      </c>
      <c r="J37" s="44"/>
      <c r="K37" s="44">
        <v>75000</v>
      </c>
      <c r="L37" s="44"/>
      <c r="M37" s="44">
        <v>851891</v>
      </c>
      <c r="N37" s="44"/>
      <c r="O37" s="44">
        <v>0</v>
      </c>
      <c r="P37" s="44"/>
      <c r="Q37" s="44">
        <v>810538</v>
      </c>
      <c r="R37" s="44"/>
      <c r="S37" s="44">
        <v>0</v>
      </c>
      <c r="T37" s="44"/>
      <c r="U37" s="44">
        <v>154820</v>
      </c>
      <c r="V37" s="44"/>
      <c r="W37" s="44">
        <f t="shared" si="0"/>
        <v>3975524</v>
      </c>
      <c r="X37" s="44"/>
      <c r="Y37" s="44">
        <v>9960847</v>
      </c>
      <c r="Z37" s="44"/>
      <c r="AA37" s="44">
        <f>+'[1]Stmt net assets'!Y36</f>
        <v>10561828</v>
      </c>
      <c r="AB37" s="44"/>
      <c r="AC37" s="44">
        <f>+Y37+'Stmt of activities-GA rev'!AC37-'Stmt of activities-GAexp'!W37-AA37</f>
        <v>0</v>
      </c>
    </row>
    <row r="38" spans="1:29" s="47" customFormat="1" ht="12.75" customHeight="1">
      <c r="A38" s="47" t="s">
        <v>52</v>
      </c>
      <c r="B38" s="51"/>
      <c r="C38" s="47" t="s">
        <v>53</v>
      </c>
      <c r="E38" s="44">
        <v>10163304</v>
      </c>
      <c r="F38" s="44"/>
      <c r="G38" s="44">
        <v>28509</v>
      </c>
      <c r="H38" s="44"/>
      <c r="I38" s="44">
        <v>2383488</v>
      </c>
      <c r="J38" s="44"/>
      <c r="K38" s="44">
        <v>2265572</v>
      </c>
      <c r="L38" s="44"/>
      <c r="M38" s="44">
        <v>3933812</v>
      </c>
      <c r="N38" s="44"/>
      <c r="O38" s="44">
        <v>0</v>
      </c>
      <c r="P38" s="44"/>
      <c r="Q38" s="44">
        <v>3335640</v>
      </c>
      <c r="R38" s="44"/>
      <c r="S38" s="44">
        <v>0</v>
      </c>
      <c r="T38" s="44"/>
      <c r="U38" s="44">
        <v>445032</v>
      </c>
      <c r="V38" s="44"/>
      <c r="W38" s="44">
        <f t="shared" si="0"/>
        <v>22555357</v>
      </c>
      <c r="X38" s="44"/>
      <c r="Y38" s="44">
        <v>52622429</v>
      </c>
      <c r="Z38" s="44"/>
      <c r="AA38" s="44">
        <f>+'[1]Stmt net assets'!Y37</f>
        <v>49659576</v>
      </c>
      <c r="AB38" s="44"/>
      <c r="AC38" s="44">
        <f>+Y38+'Stmt of activities-GA rev'!AC38-'Stmt of activities-GAexp'!W38-AA38</f>
        <v>0</v>
      </c>
    </row>
    <row r="39" spans="1:29" s="47" customFormat="1" ht="12.75" customHeight="1">
      <c r="A39" s="47" t="s">
        <v>54</v>
      </c>
      <c r="B39" s="51"/>
      <c r="C39" s="47" t="s">
        <v>55</v>
      </c>
      <c r="E39" s="44">
        <v>2352814</v>
      </c>
      <c r="F39" s="44"/>
      <c r="G39" s="44">
        <v>101218</v>
      </c>
      <c r="H39" s="44"/>
      <c r="I39" s="44">
        <v>1061952</v>
      </c>
      <c r="J39" s="44"/>
      <c r="K39" s="44">
        <v>100768</v>
      </c>
      <c r="L39" s="44"/>
      <c r="M39" s="44">
        <v>1243252</v>
      </c>
      <c r="N39" s="44"/>
      <c r="O39" s="44">
        <v>0</v>
      </c>
      <c r="P39" s="44"/>
      <c r="Q39" s="44">
        <v>3258205</v>
      </c>
      <c r="R39" s="44"/>
      <c r="S39" s="44">
        <v>0</v>
      </c>
      <c r="T39" s="44"/>
      <c r="U39" s="44">
        <v>100935</v>
      </c>
      <c r="V39" s="44"/>
      <c r="W39" s="44">
        <f t="shared" si="0"/>
        <v>8219144</v>
      </c>
      <c r="X39" s="44"/>
      <c r="Y39" s="44">
        <v>32560384</v>
      </c>
      <c r="Z39" s="44"/>
      <c r="AA39" s="44">
        <f>+'[1]Stmt net assets'!Y38</f>
        <v>35242838</v>
      </c>
      <c r="AB39" s="44"/>
      <c r="AC39" s="44">
        <f>+Y39+'Stmt of activities-GA rev'!AC39-'Stmt of activities-GAexp'!W39-AA39</f>
        <v>0</v>
      </c>
    </row>
    <row r="40" spans="1:29" s="47" customFormat="1" ht="12.75" customHeight="1">
      <c r="A40" s="47" t="s">
        <v>56</v>
      </c>
      <c r="B40" s="51"/>
      <c r="C40" s="47" t="s">
        <v>57</v>
      </c>
      <c r="E40" s="44">
        <f>2066932+1512239+131519</f>
        <v>3710690</v>
      </c>
      <c r="F40" s="44"/>
      <c r="G40" s="44">
        <v>239386</v>
      </c>
      <c r="H40" s="44"/>
      <c r="I40" s="44">
        <v>88896</v>
      </c>
      <c r="J40" s="44"/>
      <c r="K40" s="44">
        <v>188403</v>
      </c>
      <c r="L40" s="44"/>
      <c r="M40" s="44">
        <v>2344657</v>
      </c>
      <c r="N40" s="44"/>
      <c r="O40" s="44">
        <v>0</v>
      </c>
      <c r="P40" s="44"/>
      <c r="Q40" s="44">
        <v>1912220</v>
      </c>
      <c r="R40" s="44"/>
      <c r="S40" s="44">
        <v>0</v>
      </c>
      <c r="T40" s="44"/>
      <c r="U40" s="44">
        <v>29330</v>
      </c>
      <c r="V40" s="44"/>
      <c r="W40" s="44">
        <f t="shared" si="0"/>
        <v>8513582</v>
      </c>
      <c r="X40" s="44"/>
      <c r="Y40" s="44">
        <v>20342650</v>
      </c>
      <c r="Z40" s="44"/>
      <c r="AA40" s="44">
        <f>+'[1]Stmt net assets'!Y39</f>
        <v>20233899</v>
      </c>
      <c r="AB40" s="44"/>
      <c r="AC40" s="44">
        <f>+Y40+'Stmt of activities-GA rev'!AC40-'Stmt of activities-GAexp'!W40-AA40</f>
        <v>0</v>
      </c>
    </row>
    <row r="41" spans="1:29" s="47" customFormat="1" ht="12.75" customHeight="1">
      <c r="A41" s="47" t="s">
        <v>58</v>
      </c>
      <c r="B41" s="51"/>
      <c r="C41" s="47" t="s">
        <v>59</v>
      </c>
      <c r="E41" s="44">
        <v>4427178</v>
      </c>
      <c r="F41" s="44"/>
      <c r="G41" s="44">
        <v>263021</v>
      </c>
      <c r="H41" s="44"/>
      <c r="I41" s="44">
        <v>849410</v>
      </c>
      <c r="J41" s="44"/>
      <c r="K41" s="44">
        <v>651679</v>
      </c>
      <c r="L41" s="44"/>
      <c r="M41" s="44">
        <v>1447842</v>
      </c>
      <c r="N41" s="44"/>
      <c r="O41" s="44">
        <v>0</v>
      </c>
      <c r="P41" s="44"/>
      <c r="Q41" s="44">
        <v>3036533</v>
      </c>
      <c r="R41" s="44"/>
      <c r="S41" s="44">
        <v>0</v>
      </c>
      <c r="T41" s="44"/>
      <c r="U41" s="44">
        <v>51552</v>
      </c>
      <c r="V41" s="44"/>
      <c r="W41" s="44">
        <f t="shared" si="0"/>
        <v>10727215</v>
      </c>
      <c r="X41" s="44"/>
      <c r="Y41" s="44">
        <v>18311485</v>
      </c>
      <c r="Z41" s="44"/>
      <c r="AA41" s="44">
        <f>+'[1]Stmt net assets'!Y40</f>
        <v>21898175</v>
      </c>
      <c r="AB41" s="44"/>
      <c r="AC41" s="44">
        <f>+Y41+'Stmt of activities-GA rev'!AC41-'Stmt of activities-GAexp'!W41-AA41</f>
        <v>0</v>
      </c>
    </row>
    <row r="42" spans="1:29" s="47" customFormat="1" ht="12.75" customHeight="1">
      <c r="A42" s="47" t="s">
        <v>476</v>
      </c>
      <c r="B42" s="51"/>
      <c r="C42" s="47" t="s">
        <v>15</v>
      </c>
      <c r="E42" s="44">
        <v>1421490</v>
      </c>
      <c r="F42" s="44"/>
      <c r="G42" s="44">
        <v>0</v>
      </c>
      <c r="H42" s="44"/>
      <c r="I42" s="44">
        <v>62259</v>
      </c>
      <c r="J42" s="44"/>
      <c r="K42" s="44">
        <v>0</v>
      </c>
      <c r="L42" s="44"/>
      <c r="M42" s="44">
        <v>431528</v>
      </c>
      <c r="N42" s="44"/>
      <c r="O42" s="44">
        <v>0</v>
      </c>
      <c r="P42" s="44"/>
      <c r="Q42" s="44">
        <v>637420</v>
      </c>
      <c r="R42" s="44"/>
      <c r="S42" s="44">
        <v>0</v>
      </c>
      <c r="T42" s="44"/>
      <c r="U42" s="44">
        <v>93956</v>
      </c>
      <c r="V42" s="44"/>
      <c r="W42" s="44">
        <f>SUM(E42:U42)</f>
        <v>2646653</v>
      </c>
      <c r="X42" s="44"/>
      <c r="Y42" s="44">
        <v>9853120</v>
      </c>
      <c r="Z42" s="44"/>
      <c r="AA42" s="44">
        <f>+'[1]Stmt net assets'!Y41</f>
        <v>10453801</v>
      </c>
      <c r="AB42" s="44"/>
      <c r="AC42" s="44">
        <f>+Y42+'Stmt of activities-GA rev'!AC42-'Stmt of activities-GAexp'!W42-AA42</f>
        <v>0</v>
      </c>
    </row>
    <row r="43" spans="1:29" s="47" customFormat="1" ht="12.75" customHeight="1">
      <c r="A43" s="47" t="s">
        <v>60</v>
      </c>
      <c r="B43" s="51"/>
      <c r="C43" s="47" t="s">
        <v>61</v>
      </c>
      <c r="E43" s="44">
        <v>2346205</v>
      </c>
      <c r="F43" s="44"/>
      <c r="G43" s="44">
        <v>56935</v>
      </c>
      <c r="H43" s="44"/>
      <c r="I43" s="44">
        <v>106804</v>
      </c>
      <c r="J43" s="44"/>
      <c r="K43" s="44">
        <v>89809</v>
      </c>
      <c r="L43" s="44"/>
      <c r="M43" s="44">
        <v>1094544</v>
      </c>
      <c r="N43" s="44"/>
      <c r="O43" s="44">
        <v>0</v>
      </c>
      <c r="P43" s="44"/>
      <c r="Q43" s="44">
        <v>837153</v>
      </c>
      <c r="R43" s="44"/>
      <c r="S43" s="44">
        <v>0</v>
      </c>
      <c r="T43" s="44"/>
      <c r="U43" s="44">
        <v>85326</v>
      </c>
      <c r="V43" s="44"/>
      <c r="W43" s="44">
        <f t="shared" si="0"/>
        <v>4616776</v>
      </c>
      <c r="X43" s="44"/>
      <c r="Y43" s="44">
        <v>16271068</v>
      </c>
      <c r="Z43" s="44"/>
      <c r="AA43" s="44">
        <f>+'[1]Stmt net assets'!Y42</f>
        <v>15701772</v>
      </c>
      <c r="AB43" s="44"/>
      <c r="AC43" s="44">
        <f>+Y43+'Stmt of activities-GA rev'!AC43-'Stmt of activities-GAexp'!W43-AA43</f>
        <v>0</v>
      </c>
    </row>
    <row r="44" spans="1:29" s="47" customFormat="1" ht="12.75" customHeight="1">
      <c r="A44" s="47" t="s">
        <v>62</v>
      </c>
      <c r="B44" s="51"/>
      <c r="C44" s="47" t="s">
        <v>15</v>
      </c>
      <c r="E44" s="44">
        <v>39952807</v>
      </c>
      <c r="F44" s="44"/>
      <c r="G44" s="44">
        <v>6232337</v>
      </c>
      <c r="H44" s="44"/>
      <c r="I44" s="44">
        <v>2986053</v>
      </c>
      <c r="J44" s="44"/>
      <c r="K44" s="44">
        <v>6011649</v>
      </c>
      <c r="L44" s="44"/>
      <c r="M44" s="44">
        <v>11010239</v>
      </c>
      <c r="N44" s="44"/>
      <c r="O44" s="44">
        <v>0</v>
      </c>
      <c r="P44" s="44"/>
      <c r="Q44" s="44">
        <v>20051404</v>
      </c>
      <c r="R44" s="44"/>
      <c r="S44" s="44">
        <v>0</v>
      </c>
      <c r="T44" s="44"/>
      <c r="U44" s="44">
        <v>1154014</v>
      </c>
      <c r="V44" s="44"/>
      <c r="W44" s="44">
        <f t="shared" si="0"/>
        <v>87398503</v>
      </c>
      <c r="X44" s="44"/>
      <c r="Y44" s="44">
        <v>130388823</v>
      </c>
      <c r="Z44" s="44"/>
      <c r="AA44" s="44">
        <f>+'[1]Stmt net assets'!Y43</f>
        <v>129706746</v>
      </c>
      <c r="AB44" s="44"/>
      <c r="AC44" s="44">
        <f>+Y44+'Stmt of activities-GA rev'!AC44-'Stmt of activities-GAexp'!W44-AA44</f>
        <v>0</v>
      </c>
    </row>
    <row r="45" spans="1:29" s="47" customFormat="1" ht="12.75" customHeight="1">
      <c r="A45" s="47" t="s">
        <v>485</v>
      </c>
      <c r="B45" s="51"/>
      <c r="C45" s="47" t="s">
        <v>111</v>
      </c>
      <c r="E45" s="44">
        <v>792437</v>
      </c>
      <c r="F45" s="44"/>
      <c r="G45" s="44">
        <v>0</v>
      </c>
      <c r="H45" s="44"/>
      <c r="I45" s="44">
        <v>16173</v>
      </c>
      <c r="J45" s="44"/>
      <c r="K45" s="44">
        <v>184014</v>
      </c>
      <c r="L45" s="44"/>
      <c r="M45" s="44">
        <v>416043</v>
      </c>
      <c r="N45" s="44"/>
      <c r="O45" s="44">
        <v>0</v>
      </c>
      <c r="P45" s="44"/>
      <c r="Q45" s="44">
        <v>1009935</v>
      </c>
      <c r="R45" s="44"/>
      <c r="S45" s="44">
        <v>0</v>
      </c>
      <c r="T45" s="44"/>
      <c r="U45" s="44">
        <v>122330</v>
      </c>
      <c r="V45" s="44"/>
      <c r="W45" s="44">
        <f>SUM(E45:U45)</f>
        <v>2540932</v>
      </c>
      <c r="X45" s="44"/>
      <c r="Y45" s="44">
        <v>3316996</v>
      </c>
      <c r="Z45" s="44"/>
      <c r="AA45" s="44">
        <f>+'[1]Stmt net assets'!Y44</f>
        <v>3103166</v>
      </c>
      <c r="AB45" s="44"/>
      <c r="AC45" s="44">
        <f>+Y45+'Stmt of activities-GA rev'!AC45-'Stmt of activities-GAexp'!W45-AA45</f>
        <v>0</v>
      </c>
    </row>
    <row r="46" spans="1:29" s="47" customFormat="1" ht="12.75" customHeight="1">
      <c r="A46" s="47" t="s">
        <v>63</v>
      </c>
      <c r="B46" s="51"/>
      <c r="C46" s="47" t="s">
        <v>64</v>
      </c>
      <c r="E46" s="44">
        <v>3181857</v>
      </c>
      <c r="F46" s="44"/>
      <c r="G46" s="44">
        <v>74268</v>
      </c>
      <c r="H46" s="44"/>
      <c r="I46" s="44">
        <v>737630</v>
      </c>
      <c r="J46" s="44"/>
      <c r="K46" s="44">
        <v>63654</v>
      </c>
      <c r="L46" s="44"/>
      <c r="M46" s="44">
        <v>1618354</v>
      </c>
      <c r="N46" s="44"/>
      <c r="O46" s="44">
        <v>197265</v>
      </c>
      <c r="P46" s="44"/>
      <c r="Q46" s="44">
        <v>1839632</v>
      </c>
      <c r="R46" s="44"/>
      <c r="S46" s="44">
        <v>985995</v>
      </c>
      <c r="T46" s="44"/>
      <c r="U46" s="44">
        <v>120276</v>
      </c>
      <c r="V46" s="44"/>
      <c r="W46" s="44">
        <f t="shared" si="0"/>
        <v>8818931</v>
      </c>
      <c r="X46" s="44"/>
      <c r="Y46" s="44">
        <v>24684223</v>
      </c>
      <c r="Z46" s="44"/>
      <c r="AA46" s="44">
        <f>+'[1]Stmt net assets'!Y45</f>
        <v>23586034</v>
      </c>
      <c r="AB46" s="44"/>
      <c r="AC46" s="44">
        <f>+Y46+'Stmt of activities-GA rev'!AC46-'Stmt of activities-GAexp'!W46-AA46</f>
        <v>0</v>
      </c>
    </row>
    <row r="47" spans="1:29" s="47" customFormat="1" ht="12.75" customHeight="1">
      <c r="A47" s="47" t="s">
        <v>65</v>
      </c>
      <c r="B47" s="51"/>
      <c r="C47" s="47" t="s">
        <v>66</v>
      </c>
      <c r="E47" s="44">
        <v>6696189</v>
      </c>
      <c r="F47" s="44"/>
      <c r="G47" s="44">
        <v>0</v>
      </c>
      <c r="H47" s="44"/>
      <c r="I47" s="44">
        <v>346219</v>
      </c>
      <c r="J47" s="44"/>
      <c r="K47" s="44">
        <v>279440</v>
      </c>
      <c r="L47" s="44"/>
      <c r="M47" s="44">
        <v>3755978</v>
      </c>
      <c r="N47" s="44"/>
      <c r="O47" s="44">
        <v>0</v>
      </c>
      <c r="P47" s="44"/>
      <c r="Q47" s="44">
        <v>5058930</v>
      </c>
      <c r="R47" s="44"/>
      <c r="S47" s="44">
        <v>0</v>
      </c>
      <c r="T47" s="44"/>
      <c r="U47" s="44">
        <v>1166734</v>
      </c>
      <c r="V47" s="44"/>
      <c r="W47" s="44">
        <f t="shared" si="0"/>
        <v>17303490</v>
      </c>
      <c r="X47" s="44"/>
      <c r="Y47" s="44">
        <v>53942668</v>
      </c>
      <c r="Z47" s="44"/>
      <c r="AA47" s="44">
        <f>+'[1]Stmt net assets'!Y46</f>
        <v>55679738</v>
      </c>
      <c r="AB47" s="44"/>
      <c r="AC47" s="44">
        <f>+Y47+'Stmt of activities-GA rev'!AC47-'Stmt of activities-GAexp'!W47-AA47</f>
        <v>0</v>
      </c>
    </row>
    <row r="48" spans="1:29" s="47" customFormat="1" ht="12.75" customHeight="1">
      <c r="A48" s="47" t="s">
        <v>67</v>
      </c>
      <c r="B48" s="51"/>
      <c r="C48" s="47" t="s">
        <v>375</v>
      </c>
      <c r="E48" s="44">
        <v>2628732</v>
      </c>
      <c r="F48" s="44"/>
      <c r="G48" s="44">
        <v>70297</v>
      </c>
      <c r="H48" s="44"/>
      <c r="I48" s="44">
        <v>278432</v>
      </c>
      <c r="J48" s="44"/>
      <c r="K48" s="44">
        <v>235935</v>
      </c>
      <c r="L48" s="44"/>
      <c r="M48" s="44">
        <v>1341850</v>
      </c>
      <c r="N48" s="44"/>
      <c r="O48" s="44">
        <v>15304</v>
      </c>
      <c r="P48" s="44"/>
      <c r="Q48" s="44">
        <v>3258487</v>
      </c>
      <c r="R48" s="44"/>
      <c r="S48" s="44">
        <v>0</v>
      </c>
      <c r="T48" s="44"/>
      <c r="U48" s="44">
        <v>53450</v>
      </c>
      <c r="V48" s="44"/>
      <c r="W48" s="44">
        <f t="shared" si="0"/>
        <v>7882487</v>
      </c>
      <c r="X48" s="44"/>
      <c r="Y48" s="44">
        <v>39044495</v>
      </c>
      <c r="Z48" s="44"/>
      <c r="AA48" s="44">
        <f>+'[1]Stmt net assets'!Y47</f>
        <v>40859539</v>
      </c>
      <c r="AB48" s="44"/>
      <c r="AC48" s="44">
        <f>+Y48+'Stmt of activities-GA rev'!AC48-'Stmt of activities-GAexp'!W48-AA48</f>
        <v>0</v>
      </c>
    </row>
    <row r="49" spans="1:29" s="47" customFormat="1" ht="12.75" customHeight="1">
      <c r="A49" s="47" t="s">
        <v>68</v>
      </c>
      <c r="B49" s="51"/>
      <c r="C49" s="47" t="s">
        <v>45</v>
      </c>
      <c r="E49" s="44">
        <v>2060589</v>
      </c>
      <c r="F49" s="44"/>
      <c r="G49" s="44">
        <v>21142</v>
      </c>
      <c r="H49" s="44"/>
      <c r="I49" s="44">
        <v>102871</v>
      </c>
      <c r="J49" s="44"/>
      <c r="K49" s="44">
        <v>58580</v>
      </c>
      <c r="L49" s="44"/>
      <c r="M49" s="44">
        <v>580129</v>
      </c>
      <c r="N49" s="44"/>
      <c r="O49" s="44">
        <v>0</v>
      </c>
      <c r="P49" s="44"/>
      <c r="Q49" s="44">
        <v>1369789</v>
      </c>
      <c r="R49" s="44"/>
      <c r="S49" s="44">
        <v>448683</v>
      </c>
      <c r="T49" s="44"/>
      <c r="U49" s="44">
        <v>5354</v>
      </c>
      <c r="V49" s="44"/>
      <c r="W49" s="44">
        <f t="shared" si="0"/>
        <v>4647137</v>
      </c>
      <c r="X49" s="44"/>
      <c r="Y49" s="44">
        <v>4277414</v>
      </c>
      <c r="Z49" s="44"/>
      <c r="AA49" s="44">
        <f>+'[1]Stmt net assets'!Y48</f>
        <v>4517285</v>
      </c>
      <c r="AB49" s="44"/>
      <c r="AC49" s="44">
        <f>+Y49+'Stmt of activities-GA rev'!AC49-'Stmt of activities-GAexp'!W49-AA49</f>
        <v>0</v>
      </c>
    </row>
    <row r="50" spans="1:29" s="47" customFormat="1" ht="12.75" customHeight="1">
      <c r="A50" s="47" t="s">
        <v>69</v>
      </c>
      <c r="B50" s="51"/>
      <c r="C50" s="47" t="s">
        <v>70</v>
      </c>
      <c r="E50" s="44">
        <f>5406935+5206800</f>
        <v>10613735</v>
      </c>
      <c r="F50" s="44"/>
      <c r="G50" s="44">
        <v>0</v>
      </c>
      <c r="H50" s="44"/>
      <c r="I50" s="44">
        <v>927550</v>
      </c>
      <c r="J50" s="44"/>
      <c r="K50" s="44">
        <v>677158</v>
      </c>
      <c r="L50" s="44"/>
      <c r="M50" s="44">
        <v>6191675</v>
      </c>
      <c r="N50" s="44"/>
      <c r="O50" s="44">
        <v>934806</v>
      </c>
      <c r="P50" s="44"/>
      <c r="Q50" s="44">
        <v>5269764</v>
      </c>
      <c r="R50" s="44"/>
      <c r="S50" s="44">
        <v>0</v>
      </c>
      <c r="T50" s="44"/>
      <c r="U50" s="44">
        <v>124333</v>
      </c>
      <c r="V50" s="44"/>
      <c r="W50" s="44">
        <f t="shared" si="0"/>
        <v>24739021</v>
      </c>
      <c r="X50" s="44"/>
      <c r="Y50" s="44">
        <v>44391873</v>
      </c>
      <c r="Z50" s="44"/>
      <c r="AA50" s="44">
        <f>+'[1]Stmt net assets'!Y49</f>
        <v>43850327</v>
      </c>
      <c r="AB50" s="44"/>
      <c r="AC50" s="44">
        <f>+Y50+'Stmt of activities-GA rev'!AC50-'Stmt of activities-GAexp'!W50-AA50</f>
        <v>0</v>
      </c>
    </row>
    <row r="51" spans="1:29" s="47" customFormat="1" ht="12.75" customHeight="1">
      <c r="A51" s="47" t="s">
        <v>71</v>
      </c>
      <c r="B51" s="51"/>
      <c r="C51" s="47" t="s">
        <v>45</v>
      </c>
      <c r="E51" s="44">
        <v>248508</v>
      </c>
      <c r="F51" s="44"/>
      <c r="G51" s="44">
        <v>46486</v>
      </c>
      <c r="H51" s="44"/>
      <c r="I51" s="44">
        <v>45189</v>
      </c>
      <c r="J51" s="44"/>
      <c r="K51" s="44">
        <v>48839</v>
      </c>
      <c r="L51" s="44"/>
      <c r="M51" s="44">
        <f>37845+45389</f>
        <v>83234</v>
      </c>
      <c r="N51" s="44"/>
      <c r="O51" s="44">
        <v>0</v>
      </c>
      <c r="P51" s="44"/>
      <c r="Q51" s="44">
        <v>140395</v>
      </c>
      <c r="R51" s="44"/>
      <c r="S51" s="44">
        <v>61020</v>
      </c>
      <c r="T51" s="44"/>
      <c r="U51" s="44">
        <v>23307</v>
      </c>
      <c r="V51" s="44"/>
      <c r="W51" s="44">
        <f t="shared" si="0"/>
        <v>696978</v>
      </c>
      <c r="X51" s="44"/>
      <c r="Y51" s="44">
        <v>862658</v>
      </c>
      <c r="Z51" s="44"/>
      <c r="AA51" s="44">
        <f>+'[1]Stmt net assets'!Y50</f>
        <v>860262</v>
      </c>
      <c r="AB51" s="44"/>
      <c r="AC51" s="44">
        <f>+Y51+'Stmt of activities-GA rev'!AC51-'Stmt of activities-GAexp'!W51-AA51</f>
        <v>0</v>
      </c>
    </row>
    <row r="52" spans="1:29" s="47" customFormat="1" ht="12.75" customHeight="1">
      <c r="A52" s="47" t="s">
        <v>463</v>
      </c>
      <c r="B52" s="51"/>
      <c r="C52" s="47" t="s">
        <v>464</v>
      </c>
      <c r="E52" s="44">
        <f>2795076+1861651+180030</f>
        <v>4836757</v>
      </c>
      <c r="F52" s="44"/>
      <c r="G52" s="44">
        <v>171750</v>
      </c>
      <c r="H52" s="44"/>
      <c r="I52" s="44">
        <f>422017+73698+27173</f>
        <v>522888</v>
      </c>
      <c r="J52" s="44"/>
      <c r="K52" s="44">
        <f>328452+169436</f>
        <v>497888</v>
      </c>
      <c r="L52" s="44"/>
      <c r="M52" s="44">
        <v>2380802</v>
      </c>
      <c r="N52" s="44"/>
      <c r="O52" s="44">
        <v>3100</v>
      </c>
      <c r="P52" s="44"/>
      <c r="Q52" s="44">
        <v>2572791</v>
      </c>
      <c r="R52" s="44"/>
      <c r="S52" s="44">
        <v>0</v>
      </c>
      <c r="T52" s="44"/>
      <c r="U52" s="44">
        <v>310234</v>
      </c>
      <c r="V52" s="44"/>
      <c r="W52" s="44">
        <f t="shared" si="0"/>
        <v>11296210</v>
      </c>
      <c r="X52" s="44"/>
      <c r="Y52" s="44">
        <v>25587846</v>
      </c>
      <c r="Z52" s="44"/>
      <c r="AA52" s="44">
        <f>+'[1]Stmt net assets'!Y51</f>
        <v>26483403</v>
      </c>
      <c r="AB52" s="44"/>
      <c r="AC52" s="44">
        <f>+Y52+'Stmt of activities-GA rev'!AC52-'Stmt of activities-GAexp'!W52-AA52</f>
        <v>0</v>
      </c>
    </row>
    <row r="53" spans="1:29" s="47" customFormat="1" ht="12.75" customHeight="1">
      <c r="A53" s="47" t="s">
        <v>72</v>
      </c>
      <c r="B53" s="51"/>
      <c r="C53" s="47" t="s">
        <v>66</v>
      </c>
      <c r="E53" s="44">
        <v>3181958</v>
      </c>
      <c r="F53" s="44"/>
      <c r="G53" s="44">
        <v>4591</v>
      </c>
      <c r="H53" s="44"/>
      <c r="I53" s="44">
        <v>0</v>
      </c>
      <c r="J53" s="44"/>
      <c r="K53" s="44">
        <v>0</v>
      </c>
      <c r="L53" s="44"/>
      <c r="M53" s="44">
        <v>1292387</v>
      </c>
      <c r="N53" s="44"/>
      <c r="O53" s="44">
        <v>0</v>
      </c>
      <c r="P53" s="44"/>
      <c r="Q53" s="44">
        <v>1665425</v>
      </c>
      <c r="R53" s="44"/>
      <c r="S53" s="44">
        <v>0</v>
      </c>
      <c r="T53" s="44"/>
      <c r="U53" s="44">
        <v>230230</v>
      </c>
      <c r="V53" s="44"/>
      <c r="W53" s="44">
        <f t="shared" si="0"/>
        <v>6374591</v>
      </c>
      <c r="X53" s="44"/>
      <c r="Y53" s="44">
        <v>8854986</v>
      </c>
      <c r="Z53" s="44"/>
      <c r="AA53" s="44">
        <f>+'[1]Stmt net assets'!Y52</f>
        <v>9315945</v>
      </c>
      <c r="AB53" s="44"/>
      <c r="AC53" s="44">
        <f>+Y53+'Stmt of activities-GA rev'!AC53-'Stmt of activities-GAexp'!W53-AA53</f>
        <v>0</v>
      </c>
    </row>
    <row r="54" spans="1:29" s="47" customFormat="1" ht="12.75" customHeight="1">
      <c r="A54" s="47" t="s">
        <v>73</v>
      </c>
      <c r="C54" s="47" t="s">
        <v>27</v>
      </c>
      <c r="E54" s="44">
        <f>87154000+329922000</f>
        <v>417076000</v>
      </c>
      <c r="F54" s="44"/>
      <c r="G54" s="44">
        <v>20351000</v>
      </c>
      <c r="H54" s="44"/>
      <c r="I54" s="44">
        <v>61628000</v>
      </c>
      <c r="J54" s="44"/>
      <c r="K54" s="44">
        <f>44550000+53944000</f>
        <v>98494000</v>
      </c>
      <c r="L54" s="44"/>
      <c r="M54" s="44">
        <v>0</v>
      </c>
      <c r="N54" s="44"/>
      <c r="O54" s="44">
        <v>0</v>
      </c>
      <c r="P54" s="44"/>
      <c r="Q54" s="44">
        <v>91309000</v>
      </c>
      <c r="R54" s="44"/>
      <c r="S54" s="44">
        <f>15831000+12495000</f>
        <v>28326000</v>
      </c>
      <c r="T54" s="44"/>
      <c r="U54" s="44">
        <v>32896000</v>
      </c>
      <c r="V54" s="44"/>
      <c r="W54" s="44">
        <f t="shared" si="0"/>
        <v>750080000</v>
      </c>
      <c r="X54" s="44"/>
      <c r="Y54" s="44">
        <v>639939000</v>
      </c>
      <c r="Z54" s="44"/>
      <c r="AA54" s="44">
        <f>+'[2]Stmt net assets'!Y53</f>
        <v>636500000</v>
      </c>
      <c r="AB54" s="44"/>
      <c r="AC54" s="44">
        <f>+Y54+'Stmt of activities-GA rev'!AC54-'Stmt of activities-GAexp'!W54-AA54</f>
        <v>0</v>
      </c>
    </row>
    <row r="55" spans="1:29" s="47" customFormat="1" ht="12.75" hidden="1" customHeight="1">
      <c r="A55" s="47" t="s">
        <v>74</v>
      </c>
      <c r="B55" s="51"/>
      <c r="C55" s="47" t="s">
        <v>27</v>
      </c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>
        <f t="shared" si="0"/>
        <v>0</v>
      </c>
      <c r="X55" s="44"/>
      <c r="Y55" s="44"/>
      <c r="Z55" s="44"/>
      <c r="AA55" s="44">
        <f>+'[2]Stmt net assets'!Y54</f>
        <v>64552901</v>
      </c>
      <c r="AB55" s="44"/>
      <c r="AC55" s="44">
        <f>+Y55+'Stmt of activities-GA rev'!AC55-'Stmt of activities-GAexp'!W55-AA55</f>
        <v>-64552901</v>
      </c>
    </row>
    <row r="56" spans="1:29" s="47" customFormat="1" ht="12.75" customHeight="1">
      <c r="A56" s="47" t="s">
        <v>75</v>
      </c>
      <c r="B56" s="51"/>
      <c r="C56" s="47" t="s">
        <v>76</v>
      </c>
      <c r="E56" s="44">
        <v>2521458</v>
      </c>
      <c r="F56" s="44"/>
      <c r="G56" s="44">
        <v>659147</v>
      </c>
      <c r="H56" s="44"/>
      <c r="I56" s="44">
        <v>249587</v>
      </c>
      <c r="J56" s="44"/>
      <c r="K56" s="44">
        <v>621603</v>
      </c>
      <c r="L56" s="44"/>
      <c r="M56" s="44">
        <v>723295</v>
      </c>
      <c r="N56" s="44"/>
      <c r="O56" s="44">
        <v>0</v>
      </c>
      <c r="P56" s="44"/>
      <c r="Q56" s="44">
        <v>1119435</v>
      </c>
      <c r="R56" s="44"/>
      <c r="S56" s="44">
        <v>0</v>
      </c>
      <c r="T56" s="44"/>
      <c r="U56" s="44">
        <v>230579</v>
      </c>
      <c r="V56" s="44"/>
      <c r="W56" s="44">
        <f t="shared" si="0"/>
        <v>6125104</v>
      </c>
      <c r="X56" s="44"/>
      <c r="Y56" s="44">
        <v>15311256</v>
      </c>
      <c r="Z56" s="44"/>
      <c r="AA56" s="44">
        <f>+'[2]Stmt net assets'!Y55</f>
        <v>14708035</v>
      </c>
      <c r="AB56" s="44"/>
      <c r="AC56" s="44">
        <f>+Y56+'Stmt of activities-GA rev'!AC56-'Stmt of activities-GAexp'!W56-AA56</f>
        <v>0</v>
      </c>
    </row>
    <row r="57" spans="1:29" s="47" customFormat="1" ht="12.75" customHeight="1">
      <c r="A57" s="47" t="s">
        <v>77</v>
      </c>
      <c r="B57" s="51"/>
      <c r="C57" s="47" t="s">
        <v>43</v>
      </c>
      <c r="E57" s="44">
        <f>158841000+496838000</f>
        <v>655679000</v>
      </c>
      <c r="F57" s="44"/>
      <c r="G57" s="44">
        <v>45528000</v>
      </c>
      <c r="H57" s="44"/>
      <c r="I57" s="44">
        <v>108159000</v>
      </c>
      <c r="J57" s="44"/>
      <c r="K57" s="44">
        <v>74913000</v>
      </c>
      <c r="L57" s="44"/>
      <c r="M57" s="44">
        <v>0</v>
      </c>
      <c r="N57" s="44"/>
      <c r="O57" s="44">
        <v>0</v>
      </c>
      <c r="P57" s="44"/>
      <c r="Q57" s="44">
        <v>121522000</v>
      </c>
      <c r="R57" s="44"/>
      <c r="S57" s="44">
        <v>0</v>
      </c>
      <c r="T57" s="44"/>
      <c r="U57" s="44">
        <v>43352000</v>
      </c>
      <c r="V57" s="44"/>
      <c r="W57" s="44">
        <f t="shared" si="0"/>
        <v>1049153000</v>
      </c>
      <c r="X57" s="44"/>
      <c r="Y57" s="44">
        <v>1245665000</v>
      </c>
      <c r="Z57" s="44"/>
      <c r="AA57" s="44">
        <f>+'[2]Stmt net assets'!Y56</f>
        <v>1201368000</v>
      </c>
      <c r="AB57" s="44"/>
      <c r="AC57" s="44">
        <f>+Y57+'Stmt of activities-GA rev'!AC57-'Stmt of activities-GAexp'!W57-AA57</f>
        <v>0</v>
      </c>
    </row>
    <row r="58" spans="1:29" s="47" customFormat="1" ht="12.75" customHeight="1">
      <c r="A58" s="47" t="s">
        <v>94</v>
      </c>
      <c r="B58" s="51"/>
      <c r="C58" s="47" t="s">
        <v>94</v>
      </c>
      <c r="E58" s="44">
        <v>1569769</v>
      </c>
      <c r="F58" s="44"/>
      <c r="G58" s="44">
        <v>186883</v>
      </c>
      <c r="H58" s="44"/>
      <c r="I58" s="44">
        <v>461531</v>
      </c>
      <c r="J58" s="44"/>
      <c r="K58" s="44">
        <v>0</v>
      </c>
      <c r="L58" s="44"/>
      <c r="M58" s="44">
        <v>462133</v>
      </c>
      <c r="N58" s="44"/>
      <c r="O58" s="44">
        <v>0</v>
      </c>
      <c r="P58" s="44"/>
      <c r="Q58" s="44">
        <v>960124</v>
      </c>
      <c r="R58" s="44"/>
      <c r="S58" s="44">
        <v>0</v>
      </c>
      <c r="T58" s="44"/>
      <c r="U58" s="44">
        <v>11099</v>
      </c>
      <c r="V58" s="44"/>
      <c r="W58" s="44">
        <f>SUM(E58:U58)</f>
        <v>3651539</v>
      </c>
      <c r="X58" s="44"/>
      <c r="Y58" s="44">
        <v>6282840</v>
      </c>
      <c r="Z58" s="44"/>
      <c r="AA58" s="44">
        <f>+'[2]Stmt net assets'!Y57</f>
        <v>7842686</v>
      </c>
      <c r="AB58" s="44"/>
      <c r="AC58" s="44">
        <f>+Y58+'Stmt of activities-GA rev'!AC58-'Stmt of activities-GAexp'!W58-AA58</f>
        <v>0</v>
      </c>
    </row>
    <row r="59" spans="1:29" s="47" customFormat="1" ht="12.75" customHeight="1">
      <c r="A59" s="47" t="s">
        <v>78</v>
      </c>
      <c r="B59" s="51"/>
      <c r="C59" s="47" t="s">
        <v>19</v>
      </c>
      <c r="E59" s="44">
        <v>3888488</v>
      </c>
      <c r="F59" s="44"/>
      <c r="G59" s="44">
        <v>359428</v>
      </c>
      <c r="H59" s="44"/>
      <c r="I59" s="44">
        <v>77711</v>
      </c>
      <c r="J59" s="44"/>
      <c r="K59" s="44">
        <v>501093</v>
      </c>
      <c r="L59" s="44"/>
      <c r="M59" s="44">
        <v>2376287</v>
      </c>
      <c r="N59" s="44"/>
      <c r="O59" s="44">
        <v>43877</v>
      </c>
      <c r="P59" s="44"/>
      <c r="Q59" s="44">
        <v>1254299</v>
      </c>
      <c r="R59" s="44"/>
      <c r="S59" s="44">
        <v>0</v>
      </c>
      <c r="T59" s="44"/>
      <c r="U59" s="44">
        <v>157917</v>
      </c>
      <c r="V59" s="44"/>
      <c r="W59" s="44">
        <f>SUM(E59:U59)</f>
        <v>8659100</v>
      </c>
      <c r="X59" s="44"/>
      <c r="Y59" s="44">
        <v>20414068</v>
      </c>
      <c r="Z59" s="44"/>
      <c r="AA59" s="44">
        <f>+'[2]Stmt net assets'!Y58</f>
        <v>19349247</v>
      </c>
      <c r="AB59" s="44"/>
      <c r="AC59" s="44">
        <f>+Y59+'Stmt of activities-GA rev'!AC59-'Stmt of activities-GAexp'!W59-AA59</f>
        <v>0</v>
      </c>
    </row>
    <row r="60" spans="1:29" s="47" customFormat="1" ht="12.75" customHeight="1">
      <c r="A60" s="47" t="s">
        <v>79</v>
      </c>
      <c r="B60" s="51"/>
      <c r="C60" s="47" t="s">
        <v>80</v>
      </c>
      <c r="E60" s="44">
        <v>2318471</v>
      </c>
      <c r="F60" s="44"/>
      <c r="G60" s="44">
        <v>165970</v>
      </c>
      <c r="H60" s="44"/>
      <c r="I60" s="44">
        <v>31304</v>
      </c>
      <c r="J60" s="44"/>
      <c r="K60" s="44">
        <v>54127</v>
      </c>
      <c r="L60" s="44"/>
      <c r="M60" s="44">
        <v>282549</v>
      </c>
      <c r="N60" s="44"/>
      <c r="O60" s="44">
        <v>125226</v>
      </c>
      <c r="P60" s="44"/>
      <c r="Q60" s="44">
        <v>640013</v>
      </c>
      <c r="R60" s="44"/>
      <c r="S60" s="44">
        <v>0</v>
      </c>
      <c r="T60" s="44"/>
      <c r="U60" s="44">
        <v>0</v>
      </c>
      <c r="V60" s="44"/>
      <c r="W60" s="44">
        <f>SUM(E60:U60)</f>
        <v>3617660</v>
      </c>
      <c r="X60" s="44"/>
      <c r="Y60" s="44">
        <v>4324034</v>
      </c>
      <c r="Z60" s="44"/>
      <c r="AA60" s="44">
        <f>+'[2]Stmt net assets'!Y59</f>
        <v>5652364</v>
      </c>
      <c r="AB60" s="44"/>
      <c r="AC60" s="44">
        <f>+Y60+'Stmt of activities-GA rev'!AC60-'Stmt of activities-GAexp'!W60-AA60</f>
        <v>0</v>
      </c>
    </row>
    <row r="61" spans="1:29" s="47" customFormat="1" ht="12.75" customHeight="1">
      <c r="A61" s="47" t="s">
        <v>81</v>
      </c>
      <c r="B61" s="51"/>
      <c r="C61" s="47" t="s">
        <v>81</v>
      </c>
      <c r="E61" s="44">
        <v>3825362</v>
      </c>
      <c r="F61" s="44"/>
      <c r="G61" s="44">
        <v>1195188</v>
      </c>
      <c r="H61" s="44"/>
      <c r="I61" s="44">
        <v>198502</v>
      </c>
      <c r="J61" s="44"/>
      <c r="K61" s="44">
        <f>17180+229674</f>
        <v>246854</v>
      </c>
      <c r="L61" s="44"/>
      <c r="M61" s="44">
        <v>1087865</v>
      </c>
      <c r="N61" s="44"/>
      <c r="O61" s="44">
        <v>0</v>
      </c>
      <c r="P61" s="44"/>
      <c r="Q61" s="44">
        <v>2678179</v>
      </c>
      <c r="R61" s="44"/>
      <c r="S61" s="44">
        <v>0</v>
      </c>
      <c r="T61" s="44"/>
      <c r="U61" s="44">
        <v>25503</v>
      </c>
      <c r="V61" s="44"/>
      <c r="W61" s="44">
        <f>SUM(E61:U61)</f>
        <v>9257453</v>
      </c>
      <c r="X61" s="44"/>
      <c r="Y61" s="44">
        <v>7628665</v>
      </c>
      <c r="Z61" s="44"/>
      <c r="AA61" s="44">
        <f>+'[2]Stmt net assets'!Y60</f>
        <v>7138577</v>
      </c>
      <c r="AB61" s="44"/>
      <c r="AC61" s="44">
        <f>+Y61+'Stmt of activities-GA rev'!AC61-'Stmt of activities-GAexp'!W61-AA61</f>
        <v>0</v>
      </c>
    </row>
    <row r="62" spans="1:29" s="47" customFormat="1" ht="12.75" customHeight="1">
      <c r="A62" s="47" t="s">
        <v>465</v>
      </c>
      <c r="C62" s="47" t="s">
        <v>57</v>
      </c>
      <c r="E62" s="44">
        <v>1185452</v>
      </c>
      <c r="F62" s="44"/>
      <c r="G62" s="44">
        <v>0</v>
      </c>
      <c r="H62" s="44"/>
      <c r="I62" s="44">
        <v>154172</v>
      </c>
      <c r="J62" s="44"/>
      <c r="K62" s="44">
        <v>115503</v>
      </c>
      <c r="L62" s="44"/>
      <c r="M62" s="44">
        <v>666791</v>
      </c>
      <c r="N62" s="44"/>
      <c r="O62" s="44">
        <v>0</v>
      </c>
      <c r="P62" s="44"/>
      <c r="Q62" s="44">
        <v>329123</v>
      </c>
      <c r="R62" s="44"/>
      <c r="S62" s="44">
        <v>0</v>
      </c>
      <c r="T62" s="44"/>
      <c r="U62" s="44">
        <v>13736</v>
      </c>
      <c r="V62" s="44"/>
      <c r="W62" s="44">
        <f>SUM(E62:U62)</f>
        <v>2464777</v>
      </c>
      <c r="X62" s="44"/>
      <c r="Y62" s="44">
        <v>6622595</v>
      </c>
      <c r="Z62" s="44"/>
      <c r="AA62" s="44">
        <f>+'[2]Stmt net assets'!Y61</f>
        <v>6946880</v>
      </c>
      <c r="AB62" s="44"/>
      <c r="AC62" s="44">
        <f>+Y62+'Stmt of activities-GA rev'!AC62-'Stmt of activities-GAexp'!W62-AA62</f>
        <v>0</v>
      </c>
    </row>
    <row r="63" spans="1:29" s="47" customFormat="1" ht="12.75" customHeight="1">
      <c r="A63" s="47" t="s">
        <v>82</v>
      </c>
      <c r="B63" s="51"/>
      <c r="C63" s="47" t="s">
        <v>13</v>
      </c>
      <c r="E63" s="44">
        <v>20885650</v>
      </c>
      <c r="F63" s="44"/>
      <c r="G63" s="44">
        <v>0</v>
      </c>
      <c r="H63" s="44"/>
      <c r="I63" s="44">
        <v>2811353</v>
      </c>
      <c r="J63" s="44"/>
      <c r="K63" s="44">
        <v>1927929</v>
      </c>
      <c r="L63" s="44"/>
      <c r="M63" s="44">
        <v>8417596</v>
      </c>
      <c r="N63" s="44"/>
      <c r="O63" s="44">
        <v>0</v>
      </c>
      <c r="P63" s="44"/>
      <c r="Q63" s="44">
        <v>11286008</v>
      </c>
      <c r="R63" s="44"/>
      <c r="S63" s="44">
        <v>0</v>
      </c>
      <c r="T63" s="44"/>
      <c r="U63" s="44">
        <v>673816</v>
      </c>
      <c r="V63" s="44"/>
      <c r="W63" s="44">
        <f t="shared" si="0"/>
        <v>46002352</v>
      </c>
      <c r="X63" s="44"/>
      <c r="Y63" s="44">
        <v>95513871</v>
      </c>
      <c r="Z63" s="44"/>
      <c r="AA63" s="44">
        <f>+'[2]Stmt net assets'!Y62</f>
        <v>99473412</v>
      </c>
      <c r="AB63" s="44"/>
      <c r="AC63" s="44">
        <f>+Y63+'Stmt of activities-GA rev'!AC63-'Stmt of activities-GAexp'!W63-AA63</f>
        <v>0</v>
      </c>
    </row>
    <row r="64" spans="1:29" s="47" customFormat="1" ht="12.75" customHeight="1">
      <c r="A64" s="47" t="s">
        <v>83</v>
      </c>
      <c r="B64" s="51"/>
      <c r="C64" s="47" t="s">
        <v>66</v>
      </c>
      <c r="E64" s="44">
        <v>101533014</v>
      </c>
      <c r="F64" s="44"/>
      <c r="G64" s="44">
        <v>0</v>
      </c>
      <c r="H64" s="44"/>
      <c r="I64" s="44">
        <f>48698559+2583667</f>
        <v>51282226</v>
      </c>
      <c r="J64" s="44"/>
      <c r="K64" s="44">
        <f>21460067+9810580</f>
        <v>31270647</v>
      </c>
      <c r="L64" s="44"/>
      <c r="M64" s="44">
        <v>0</v>
      </c>
      <c r="N64" s="44"/>
      <c r="O64" s="44">
        <v>0</v>
      </c>
      <c r="P64" s="44"/>
      <c r="Q64" s="44">
        <v>5570112</v>
      </c>
      <c r="R64" s="44"/>
      <c r="S64" s="44">
        <f>683122+17442665</f>
        <v>18125787</v>
      </c>
      <c r="T64" s="44"/>
      <c r="U64" s="44">
        <v>4849682</v>
      </c>
      <c r="V64" s="44"/>
      <c r="W64" s="44">
        <f t="shared" si="0"/>
        <v>212631468</v>
      </c>
      <c r="X64" s="44"/>
      <c r="Y64" s="44">
        <v>376676216</v>
      </c>
      <c r="Z64" s="44"/>
      <c r="AA64" s="44">
        <f>+'[2]Stmt net assets'!Y63</f>
        <v>395391630</v>
      </c>
      <c r="AB64" s="44"/>
      <c r="AC64" s="44">
        <f>+Y64+'Stmt of activities-GA rev'!AC64-'Stmt of activities-GAexp'!W64-AA64</f>
        <v>0</v>
      </c>
    </row>
    <row r="65" spans="1:31" s="47" customFormat="1" ht="12.75" customHeight="1">
      <c r="A65" s="47" t="s">
        <v>84</v>
      </c>
      <c r="B65" s="51"/>
      <c r="C65" s="47" t="s">
        <v>45</v>
      </c>
      <c r="E65" s="44">
        <v>1112196</v>
      </c>
      <c r="F65" s="44"/>
      <c r="G65" s="44">
        <v>0</v>
      </c>
      <c r="H65" s="44"/>
      <c r="I65" s="44">
        <v>66752</v>
      </c>
      <c r="J65" s="44"/>
      <c r="K65" s="44">
        <v>35817</v>
      </c>
      <c r="L65" s="44"/>
      <c r="M65" s="44">
        <v>437648</v>
      </c>
      <c r="N65" s="44"/>
      <c r="O65" s="44">
        <v>0</v>
      </c>
      <c r="P65" s="44"/>
      <c r="Q65" s="44">
        <v>1105536</v>
      </c>
      <c r="R65" s="44"/>
      <c r="S65" s="44">
        <v>0</v>
      </c>
      <c r="T65" s="44"/>
      <c r="U65" s="44">
        <v>132958</v>
      </c>
      <c r="V65" s="44"/>
      <c r="W65" s="44">
        <f t="shared" si="0"/>
        <v>2890907</v>
      </c>
      <c r="X65" s="44"/>
      <c r="Y65" s="44">
        <v>2545463</v>
      </c>
      <c r="Z65" s="44"/>
      <c r="AA65" s="44">
        <f>+'[2]Stmt net assets'!Y64</f>
        <v>3145680</v>
      </c>
      <c r="AB65" s="44"/>
      <c r="AC65" s="44">
        <f>+Y65+'Stmt of activities-GA rev'!AC65-'Stmt of activities-GAexp'!W65-AA65</f>
        <v>0</v>
      </c>
    </row>
    <row r="66" spans="1:31" s="47" customFormat="1" ht="12.75" customHeight="1">
      <c r="A66" s="47" t="s">
        <v>85</v>
      </c>
      <c r="B66" s="51"/>
      <c r="C66" s="47" t="s">
        <v>85</v>
      </c>
      <c r="E66" s="44">
        <v>5715553</v>
      </c>
      <c r="F66" s="44"/>
      <c r="G66" s="44">
        <v>287814</v>
      </c>
      <c r="H66" s="44"/>
      <c r="I66" s="44">
        <v>994088</v>
      </c>
      <c r="J66" s="44"/>
      <c r="K66" s="44">
        <f>84009+586598</f>
        <v>670607</v>
      </c>
      <c r="L66" s="44"/>
      <c r="M66" s="44">
        <v>2480208</v>
      </c>
      <c r="N66" s="44"/>
      <c r="O66" s="44">
        <v>0</v>
      </c>
      <c r="P66" s="44"/>
      <c r="Q66" s="44">
        <v>2700058</v>
      </c>
      <c r="R66" s="44"/>
      <c r="S66" s="44">
        <v>4913</v>
      </c>
      <c r="T66" s="44"/>
      <c r="U66" s="44">
        <v>29296</v>
      </c>
      <c r="V66" s="44"/>
      <c r="W66" s="44">
        <f t="shared" si="0"/>
        <v>12882537</v>
      </c>
      <c r="X66" s="44"/>
      <c r="Y66" s="44">
        <v>24624308</v>
      </c>
      <c r="Z66" s="44"/>
      <c r="AA66" s="44">
        <f>+'Stmt net assets'!Y66</f>
        <v>25034344</v>
      </c>
      <c r="AB66" s="44"/>
      <c r="AC66" s="44">
        <f>+Y66+'Stmt of activities-GA rev'!AC66-'Stmt of activities-GAexp'!W66-AA66</f>
        <v>0</v>
      </c>
    </row>
    <row r="67" spans="1:31" s="47" customFormat="1" ht="12.75" customHeight="1">
      <c r="A67" s="47" t="s">
        <v>86</v>
      </c>
      <c r="B67" s="51"/>
      <c r="C67" s="47" t="s">
        <v>86</v>
      </c>
      <c r="E67" s="44">
        <v>14697617</v>
      </c>
      <c r="F67" s="44"/>
      <c r="G67" s="44">
        <v>0</v>
      </c>
      <c r="H67" s="44"/>
      <c r="I67" s="44">
        <v>1765238</v>
      </c>
      <c r="J67" s="44"/>
      <c r="K67" s="44">
        <v>445970</v>
      </c>
      <c r="L67" s="44"/>
      <c r="M67" s="44">
        <v>1314793</v>
      </c>
      <c r="N67" s="44"/>
      <c r="O67" s="44">
        <v>4022699</v>
      </c>
      <c r="P67" s="44"/>
      <c r="Q67" s="44">
        <v>5673407</v>
      </c>
      <c r="R67" s="44"/>
      <c r="S67" s="44">
        <v>1</v>
      </c>
      <c r="T67" s="44"/>
      <c r="U67" s="44">
        <v>909767</v>
      </c>
      <c r="V67" s="44"/>
      <c r="W67" s="44">
        <f t="shared" si="0"/>
        <v>28829492</v>
      </c>
      <c r="X67" s="44"/>
      <c r="Y67" s="44">
        <v>58862251</v>
      </c>
      <c r="Z67" s="44"/>
      <c r="AA67" s="44">
        <f>+'Stmt net assets'!Y67</f>
        <v>64169034</v>
      </c>
      <c r="AB67" s="44"/>
      <c r="AC67" s="44">
        <f>+Y67+'Stmt of activities-GA rev'!AC67-'Stmt of activities-GAexp'!W67-AA67</f>
        <v>0</v>
      </c>
    </row>
    <row r="68" spans="1:31" s="47" customFormat="1" ht="12.75" customHeight="1">
      <c r="A68" s="46" t="s">
        <v>87</v>
      </c>
      <c r="B68" s="46"/>
      <c r="C68" s="46" t="s">
        <v>88</v>
      </c>
      <c r="D68" s="46"/>
      <c r="E68" s="44">
        <v>2865957</v>
      </c>
      <c r="F68" s="44"/>
      <c r="G68" s="44">
        <v>158545</v>
      </c>
      <c r="H68" s="44"/>
      <c r="I68" s="44">
        <v>525107</v>
      </c>
      <c r="J68" s="44"/>
      <c r="K68" s="44">
        <v>134808</v>
      </c>
      <c r="L68" s="44"/>
      <c r="M68" s="44">
        <v>529900</v>
      </c>
      <c r="N68" s="44"/>
      <c r="O68" s="44">
        <v>0</v>
      </c>
      <c r="P68" s="44"/>
      <c r="Q68" s="44">
        <v>291941</v>
      </c>
      <c r="R68" s="44"/>
      <c r="S68" s="44">
        <v>0</v>
      </c>
      <c r="T68" s="44"/>
      <c r="U68" s="44">
        <v>0</v>
      </c>
      <c r="V68" s="44"/>
      <c r="W68" s="44">
        <f t="shared" si="0"/>
        <v>4506258</v>
      </c>
      <c r="X68" s="44"/>
      <c r="Y68" s="44">
        <v>3886030</v>
      </c>
      <c r="Z68" s="44"/>
      <c r="AA68" s="44">
        <f>+'Stmt net assets'!Y68</f>
        <v>4126546</v>
      </c>
      <c r="AB68" s="44"/>
      <c r="AC68" s="44">
        <f>+Y68+'Stmt of activities-GA rev'!AC68-'Stmt of activities-GAexp'!W68-AA68</f>
        <v>0</v>
      </c>
    </row>
    <row r="69" spans="1:31" s="47" customFormat="1" ht="12.75" customHeight="1">
      <c r="A69" s="46"/>
      <c r="B69" s="46"/>
      <c r="C69" s="46"/>
      <c r="D69" s="46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8" t="s">
        <v>484</v>
      </c>
      <c r="AB69" s="44"/>
      <c r="AC69" s="44"/>
    </row>
    <row r="70" spans="1:31" s="47" customFormat="1" ht="12.75" customHeight="1">
      <c r="A70" s="47" t="s">
        <v>395</v>
      </c>
      <c r="B70" s="51"/>
      <c r="C70" s="47" t="s">
        <v>89</v>
      </c>
      <c r="E70" s="46">
        <v>4732202</v>
      </c>
      <c r="F70" s="46"/>
      <c r="G70" s="46">
        <v>672959</v>
      </c>
      <c r="H70" s="46"/>
      <c r="I70" s="46">
        <v>1223705</v>
      </c>
      <c r="J70" s="46"/>
      <c r="K70" s="46">
        <v>195913</v>
      </c>
      <c r="L70" s="46"/>
      <c r="M70" s="46">
        <v>2019895</v>
      </c>
      <c r="N70" s="46"/>
      <c r="O70" s="46">
        <v>463671</v>
      </c>
      <c r="P70" s="46"/>
      <c r="Q70" s="46">
        <v>1378583</v>
      </c>
      <c r="R70" s="46"/>
      <c r="S70" s="46">
        <v>0</v>
      </c>
      <c r="T70" s="46"/>
      <c r="U70" s="46">
        <v>31636</v>
      </c>
      <c r="V70" s="46"/>
      <c r="W70" s="46">
        <f t="shared" si="0"/>
        <v>10718564</v>
      </c>
      <c r="X70" s="46"/>
      <c r="Y70" s="46">
        <v>17539321</v>
      </c>
      <c r="Z70" s="46"/>
      <c r="AA70" s="46">
        <f>+'Stmt net assets'!Y70</f>
        <v>18796211</v>
      </c>
      <c r="AB70" s="46"/>
      <c r="AC70" s="46">
        <f>+Y70+'Stmt of activities-GA rev'!AC70-'Stmt of activities-GAexp'!W70-AA70</f>
        <v>0</v>
      </c>
      <c r="AD70" s="46"/>
      <c r="AE70" s="46"/>
    </row>
    <row r="71" spans="1:31" s="47" customFormat="1" ht="12.75" customHeight="1">
      <c r="A71" s="47" t="s">
        <v>90</v>
      </c>
      <c r="B71" s="96"/>
      <c r="C71" s="47" t="s">
        <v>43</v>
      </c>
      <c r="E71" s="44">
        <v>11323322</v>
      </c>
      <c r="F71" s="44"/>
      <c r="G71" s="44">
        <v>341559</v>
      </c>
      <c r="H71" s="44"/>
      <c r="I71" s="44">
        <v>19143500</v>
      </c>
      <c r="J71" s="44"/>
      <c r="K71" s="44">
        <v>7125265</v>
      </c>
      <c r="L71" s="44"/>
      <c r="M71" s="44">
        <v>9781330</v>
      </c>
      <c r="N71" s="44"/>
      <c r="O71" s="44">
        <v>3110263</v>
      </c>
      <c r="P71" s="44"/>
      <c r="Q71" s="44">
        <v>24767792</v>
      </c>
      <c r="R71" s="44"/>
      <c r="S71" s="44">
        <v>0</v>
      </c>
      <c r="T71" s="44"/>
      <c r="U71" s="44">
        <v>2481823</v>
      </c>
      <c r="V71" s="44"/>
      <c r="W71" s="44">
        <f t="shared" si="0"/>
        <v>78074854</v>
      </c>
      <c r="X71" s="44"/>
      <c r="Y71" s="44">
        <v>363760447</v>
      </c>
      <c r="Z71" s="44"/>
      <c r="AA71" s="44">
        <f>+'Stmt net assets'!Y71</f>
        <v>387683137</v>
      </c>
      <c r="AB71" s="44"/>
      <c r="AC71" s="44">
        <f>+Y71+'Stmt of activities-GA rev'!AC71-'Stmt of activities-GAexp'!W71-AA71</f>
        <v>0</v>
      </c>
    </row>
    <row r="72" spans="1:31" s="47" customFormat="1" ht="12.75" customHeight="1">
      <c r="A72" s="47" t="s">
        <v>93</v>
      </c>
      <c r="B72" s="51"/>
      <c r="C72" s="47" t="s">
        <v>94</v>
      </c>
      <c r="E72" s="44">
        <v>3334679</v>
      </c>
      <c r="F72" s="44"/>
      <c r="G72" s="44">
        <v>176017</v>
      </c>
      <c r="H72" s="44"/>
      <c r="I72" s="44">
        <v>141720</v>
      </c>
      <c r="J72" s="44"/>
      <c r="K72" s="44">
        <v>370527</v>
      </c>
      <c r="L72" s="44"/>
      <c r="M72" s="44">
        <v>1468025</v>
      </c>
      <c r="N72" s="44"/>
      <c r="O72" s="44">
        <v>0</v>
      </c>
      <c r="P72" s="44"/>
      <c r="Q72" s="44">
        <v>1478639</v>
      </c>
      <c r="R72" s="44"/>
      <c r="S72" s="44">
        <v>0</v>
      </c>
      <c r="T72" s="44"/>
      <c r="U72" s="44">
        <v>86493</v>
      </c>
      <c r="V72" s="44"/>
      <c r="W72" s="44">
        <f t="shared" si="0"/>
        <v>7056100</v>
      </c>
      <c r="X72" s="44"/>
      <c r="Y72" s="44">
        <v>5534743</v>
      </c>
      <c r="Z72" s="44"/>
      <c r="AA72" s="44">
        <f>+'Stmt net assets'!Y72</f>
        <v>6409541</v>
      </c>
      <c r="AB72" s="44"/>
      <c r="AC72" s="44">
        <f>+Y72+'Stmt of activities-GA rev'!AC72-'Stmt of activities-GAexp'!W72-AA72</f>
        <v>0</v>
      </c>
    </row>
    <row r="73" spans="1:31" s="47" customFormat="1" ht="12.75" customHeight="1">
      <c r="A73" s="47" t="s">
        <v>488</v>
      </c>
      <c r="B73" s="51"/>
      <c r="C73" s="47" t="s">
        <v>27</v>
      </c>
      <c r="E73" s="44">
        <v>9847815</v>
      </c>
      <c r="F73" s="44"/>
      <c r="G73" s="44">
        <v>0</v>
      </c>
      <c r="H73" s="44"/>
      <c r="I73" s="44">
        <v>241157</v>
      </c>
      <c r="J73" s="44"/>
      <c r="K73" s="44">
        <v>2126807</v>
      </c>
      <c r="L73" s="44"/>
      <c r="M73" s="44">
        <v>1705449</v>
      </c>
      <c r="N73" s="44"/>
      <c r="O73" s="44">
        <v>1008222</v>
      </c>
      <c r="P73" s="44"/>
      <c r="Q73" s="44">
        <v>6945379</v>
      </c>
      <c r="R73" s="44"/>
      <c r="S73" s="44">
        <v>0</v>
      </c>
      <c r="T73" s="44"/>
      <c r="U73" s="44">
        <v>128599</v>
      </c>
      <c r="V73" s="44"/>
      <c r="W73" s="44">
        <f>SUM(E73:U73)</f>
        <v>22003428</v>
      </c>
      <c r="X73" s="44"/>
      <c r="Y73" s="44">
        <v>16677879</v>
      </c>
      <c r="Z73" s="44"/>
      <c r="AA73" s="44">
        <f>+'Stmt net assets'!Y73</f>
        <v>14952803</v>
      </c>
      <c r="AB73" s="44"/>
      <c r="AC73" s="44">
        <f>+Y73+'Stmt of activities-GA rev'!AC73-'Stmt of activities-GAexp'!W73-AA73</f>
        <v>0</v>
      </c>
    </row>
    <row r="74" spans="1:31" s="46" customFormat="1" ht="12.75" customHeight="1">
      <c r="A74" s="46" t="s">
        <v>95</v>
      </c>
      <c r="B74" s="66"/>
      <c r="C74" s="46" t="s">
        <v>94</v>
      </c>
      <c r="E74" s="44">
        <v>1154962</v>
      </c>
      <c r="F74" s="44"/>
      <c r="G74" s="44">
        <v>91748</v>
      </c>
      <c r="H74" s="44"/>
      <c r="I74" s="44">
        <v>250003</v>
      </c>
      <c r="J74" s="44"/>
      <c r="K74" s="44">
        <v>225378</v>
      </c>
      <c r="L74" s="44"/>
      <c r="M74" s="44">
        <v>398711</v>
      </c>
      <c r="N74" s="44"/>
      <c r="O74" s="44">
        <v>0</v>
      </c>
      <c r="P74" s="44"/>
      <c r="Q74" s="44">
        <v>647383</v>
      </c>
      <c r="R74" s="44"/>
      <c r="S74" s="44">
        <v>0</v>
      </c>
      <c r="T74" s="44"/>
      <c r="U74" s="44">
        <v>21425</v>
      </c>
      <c r="V74" s="44"/>
      <c r="W74" s="44">
        <f t="shared" ref="W74:W80" si="1">SUM(E74:U74)</f>
        <v>2789610</v>
      </c>
      <c r="X74" s="44"/>
      <c r="Y74" s="44">
        <v>4305183</v>
      </c>
      <c r="Z74" s="44"/>
      <c r="AA74" s="44">
        <f>+'Stmt net assets'!Y74</f>
        <v>5522689</v>
      </c>
      <c r="AB74" s="44"/>
      <c r="AC74" s="44">
        <f>+Y74+'Stmt of activities-GA rev'!AC74-'Stmt of activities-GAexp'!W74-AA74</f>
        <v>0</v>
      </c>
    </row>
    <row r="75" spans="1:31" s="47" customFormat="1" ht="12.75" customHeight="1">
      <c r="A75" s="47" t="s">
        <v>91</v>
      </c>
      <c r="B75" s="51"/>
      <c r="C75" s="47" t="s">
        <v>92</v>
      </c>
      <c r="E75" s="44">
        <v>7707825</v>
      </c>
      <c r="F75" s="44"/>
      <c r="G75" s="44">
        <v>194637</v>
      </c>
      <c r="H75" s="44"/>
      <c r="I75" s="44">
        <v>1226545</v>
      </c>
      <c r="J75" s="44"/>
      <c r="K75" s="44">
        <v>313036</v>
      </c>
      <c r="L75" s="44"/>
      <c r="M75" s="44">
        <v>2450453</v>
      </c>
      <c r="N75" s="44"/>
      <c r="O75" s="44">
        <v>1837320</v>
      </c>
      <c r="P75" s="44"/>
      <c r="Q75" s="44">
        <v>3700046</v>
      </c>
      <c r="R75" s="44"/>
      <c r="S75" s="44">
        <v>0</v>
      </c>
      <c r="T75" s="44"/>
      <c r="U75" s="44">
        <v>1379167</v>
      </c>
      <c r="V75" s="44"/>
      <c r="W75" s="44">
        <f t="shared" si="1"/>
        <v>18809029</v>
      </c>
      <c r="X75" s="44"/>
      <c r="Y75" s="44">
        <v>28013675</v>
      </c>
      <c r="Z75" s="44"/>
      <c r="AA75" s="44">
        <f>+'Stmt net assets'!Y75</f>
        <v>28968851</v>
      </c>
      <c r="AB75" s="44"/>
      <c r="AC75" s="44">
        <f>+Y75+'Stmt of activities-GA rev'!AC75-'Stmt of activities-GAexp'!W75-AA75</f>
        <v>0</v>
      </c>
    </row>
    <row r="76" spans="1:31" s="47" customFormat="1" ht="12.75" customHeight="1">
      <c r="A76" s="47" t="s">
        <v>96</v>
      </c>
      <c r="B76" s="51"/>
      <c r="C76" s="47" t="s">
        <v>97</v>
      </c>
      <c r="E76" s="44">
        <v>2777561</v>
      </c>
      <c r="F76" s="44"/>
      <c r="G76" s="44">
        <v>277929</v>
      </c>
      <c r="H76" s="44"/>
      <c r="I76" s="44">
        <v>173279</v>
      </c>
      <c r="J76" s="44"/>
      <c r="K76" s="44">
        <v>326122</v>
      </c>
      <c r="L76" s="44"/>
      <c r="M76" s="44">
        <v>1415615</v>
      </c>
      <c r="N76" s="44"/>
      <c r="O76" s="44">
        <v>0</v>
      </c>
      <c r="P76" s="44"/>
      <c r="Q76" s="44">
        <v>2226446</v>
      </c>
      <c r="R76" s="44"/>
      <c r="S76" s="44">
        <v>0</v>
      </c>
      <c r="T76" s="44"/>
      <c r="U76" s="44">
        <v>62658</v>
      </c>
      <c r="V76" s="44"/>
      <c r="W76" s="44">
        <f t="shared" si="1"/>
        <v>7259610</v>
      </c>
      <c r="X76" s="44"/>
      <c r="Y76" s="44">
        <v>11952719</v>
      </c>
      <c r="Z76" s="44"/>
      <c r="AA76" s="44">
        <f>+'Stmt net assets'!Y76</f>
        <v>12563914</v>
      </c>
      <c r="AB76" s="44"/>
      <c r="AC76" s="44">
        <f>+Y76+'Stmt of activities-GA rev'!AC76-'Stmt of activities-GAexp'!W76-AA76</f>
        <v>0</v>
      </c>
    </row>
    <row r="77" spans="1:31" s="47" customFormat="1" ht="12.75" customHeight="1">
      <c r="A77" s="47" t="s">
        <v>98</v>
      </c>
      <c r="B77" s="51"/>
      <c r="C77" s="47" t="s">
        <v>17</v>
      </c>
      <c r="E77" s="44">
        <v>23241071</v>
      </c>
      <c r="F77" s="44"/>
      <c r="G77" s="44">
        <v>2540306</v>
      </c>
      <c r="H77" s="44"/>
      <c r="I77" s="44">
        <v>2704509</v>
      </c>
      <c r="J77" s="44"/>
      <c r="K77" s="44">
        <v>1940846</v>
      </c>
      <c r="L77" s="44"/>
      <c r="M77" s="44">
        <v>3910616</v>
      </c>
      <c r="N77" s="44"/>
      <c r="O77" s="44">
        <v>0</v>
      </c>
      <c r="P77" s="44"/>
      <c r="Q77" s="44">
        <v>10026557</v>
      </c>
      <c r="R77" s="44"/>
      <c r="S77" s="44">
        <v>0</v>
      </c>
      <c r="T77" s="44"/>
      <c r="U77" s="44">
        <v>1798904</v>
      </c>
      <c r="V77" s="44"/>
      <c r="W77" s="44">
        <f t="shared" si="1"/>
        <v>46162809</v>
      </c>
      <c r="X77" s="44"/>
      <c r="Y77" s="44">
        <v>54368616</v>
      </c>
      <c r="Z77" s="44"/>
      <c r="AA77" s="44">
        <f>+'Stmt net assets'!Y77</f>
        <v>62881246</v>
      </c>
      <c r="AB77" s="44"/>
      <c r="AC77" s="44">
        <f>+Y77+'Stmt of activities-GA rev'!AC77-'Stmt of activities-GAexp'!W77-AA77</f>
        <v>0</v>
      </c>
    </row>
    <row r="78" spans="1:31" s="47" customFormat="1" ht="12.75" customHeight="1">
      <c r="A78" s="47" t="s">
        <v>99</v>
      </c>
      <c r="B78" s="51"/>
      <c r="C78" s="47" t="s">
        <v>66</v>
      </c>
      <c r="E78" s="44">
        <v>4402200</v>
      </c>
      <c r="F78" s="44"/>
      <c r="G78" s="44">
        <v>18757</v>
      </c>
      <c r="H78" s="44"/>
      <c r="I78" s="44">
        <v>222033</v>
      </c>
      <c r="J78" s="44"/>
      <c r="K78" s="44">
        <v>745402</v>
      </c>
      <c r="L78" s="44"/>
      <c r="M78" s="44">
        <v>3929055</v>
      </c>
      <c r="N78" s="44"/>
      <c r="O78" s="44">
        <v>0</v>
      </c>
      <c r="P78" s="44"/>
      <c r="Q78" s="44">
        <v>1605945</v>
      </c>
      <c r="R78" s="44"/>
      <c r="S78" s="44">
        <v>0</v>
      </c>
      <c r="T78" s="44"/>
      <c r="U78" s="44">
        <v>0</v>
      </c>
      <c r="V78" s="44"/>
      <c r="W78" s="44">
        <f t="shared" si="1"/>
        <v>10923392</v>
      </c>
      <c r="X78" s="44"/>
      <c r="Y78" s="44">
        <v>50947019</v>
      </c>
      <c r="Z78" s="44"/>
      <c r="AA78" s="44">
        <f>+'Stmt net assets'!Y78</f>
        <v>51972678</v>
      </c>
      <c r="AB78" s="44"/>
      <c r="AC78" s="44">
        <f>+Y78+'Stmt of activities-GA rev'!AC78-'Stmt of activities-GAexp'!W78-AA78</f>
        <v>0</v>
      </c>
    </row>
    <row r="79" spans="1:31" s="47" customFormat="1" ht="12.75" customHeight="1">
      <c r="A79" s="47" t="s">
        <v>100</v>
      </c>
      <c r="B79" s="51"/>
      <c r="C79" s="47" t="s">
        <v>27</v>
      </c>
      <c r="E79" s="44">
        <v>23450574</v>
      </c>
      <c r="F79" s="44"/>
      <c r="G79" s="44">
        <v>260044</v>
      </c>
      <c r="H79" s="44"/>
      <c r="I79" s="44">
        <v>2424410</v>
      </c>
      <c r="J79" s="44"/>
      <c r="K79" s="44">
        <v>3202844</v>
      </c>
      <c r="L79" s="44"/>
      <c r="M79" s="44">
        <v>6333067</v>
      </c>
      <c r="N79" s="44"/>
      <c r="O79" s="44">
        <v>2506683</v>
      </c>
      <c r="P79" s="44"/>
      <c r="Q79" s="44">
        <v>12894864</v>
      </c>
      <c r="R79" s="44"/>
      <c r="S79" s="44">
        <v>0</v>
      </c>
      <c r="T79" s="44"/>
      <c r="U79" s="44">
        <v>1505395</v>
      </c>
      <c r="V79" s="44"/>
      <c r="W79" s="44">
        <f t="shared" si="1"/>
        <v>52577881</v>
      </c>
      <c r="X79" s="44"/>
      <c r="Y79" s="44">
        <v>56227401</v>
      </c>
      <c r="Z79" s="44"/>
      <c r="AA79" s="44">
        <f>+'Stmt net assets'!Y79</f>
        <v>53775810</v>
      </c>
      <c r="AB79" s="44"/>
      <c r="AC79" s="44">
        <f>+Y79+'Stmt of activities-GA rev'!AC79-'Stmt of activities-GAexp'!W79-AA79</f>
        <v>0</v>
      </c>
    </row>
    <row r="80" spans="1:31" s="47" customFormat="1" ht="12.75" customHeight="1">
      <c r="A80" s="47" t="s">
        <v>101</v>
      </c>
      <c r="B80" s="51"/>
      <c r="C80" s="47" t="s">
        <v>30</v>
      </c>
      <c r="E80" s="44">
        <v>13011273</v>
      </c>
      <c r="F80" s="44"/>
      <c r="G80" s="44">
        <v>79371</v>
      </c>
      <c r="H80" s="44"/>
      <c r="I80" s="44">
        <v>301791</v>
      </c>
      <c r="J80" s="44"/>
      <c r="K80" s="44">
        <v>932039</v>
      </c>
      <c r="L80" s="44"/>
      <c r="M80" s="44">
        <v>1461350</v>
      </c>
      <c r="N80" s="44"/>
      <c r="O80" s="44">
        <v>0</v>
      </c>
      <c r="P80" s="44"/>
      <c r="Q80" s="44">
        <v>8784812</v>
      </c>
      <c r="R80" s="44"/>
      <c r="S80" s="44">
        <v>0</v>
      </c>
      <c r="T80" s="44"/>
      <c r="U80" s="44">
        <v>577333</v>
      </c>
      <c r="V80" s="44"/>
      <c r="W80" s="44">
        <f t="shared" si="1"/>
        <v>25147969</v>
      </c>
      <c r="X80" s="44"/>
      <c r="Y80" s="44">
        <v>70416795</v>
      </c>
      <c r="Z80" s="44"/>
      <c r="AA80" s="44">
        <f>+'Stmt net assets'!Y80</f>
        <v>75407129</v>
      </c>
      <c r="AB80" s="44"/>
      <c r="AC80" s="44">
        <f>+Y80+'Stmt of activities-GA rev'!AC80-'Stmt of activities-GAexp'!W80-AA80</f>
        <v>0</v>
      </c>
    </row>
    <row r="81" spans="1:29" s="47" customFormat="1" ht="12.75" customHeight="1">
      <c r="A81" s="47" t="s">
        <v>102</v>
      </c>
      <c r="B81" s="51"/>
      <c r="C81" s="47" t="s">
        <v>103</v>
      </c>
      <c r="E81" s="44">
        <v>15725351</v>
      </c>
      <c r="F81" s="44"/>
      <c r="G81" s="44">
        <v>23457</v>
      </c>
      <c r="H81" s="44"/>
      <c r="I81" s="44">
        <v>3085978</v>
      </c>
      <c r="J81" s="44"/>
      <c r="K81" s="44">
        <v>1702850</v>
      </c>
      <c r="L81" s="44"/>
      <c r="M81" s="44">
        <v>10437041</v>
      </c>
      <c r="N81" s="44"/>
      <c r="O81" s="44">
        <v>453750</v>
      </c>
      <c r="P81" s="44"/>
      <c r="Q81" s="44">
        <v>7801044</v>
      </c>
      <c r="R81" s="44"/>
      <c r="S81" s="44">
        <v>0</v>
      </c>
      <c r="T81" s="44"/>
      <c r="U81" s="44">
        <v>862252</v>
      </c>
      <c r="V81" s="44"/>
      <c r="W81" s="44">
        <f t="shared" ref="W81:W146" si="2">SUM(E81:U81)</f>
        <v>40091723</v>
      </c>
      <c r="X81" s="44"/>
      <c r="Y81" s="44">
        <v>93588126</v>
      </c>
      <c r="Z81" s="44"/>
      <c r="AA81" s="44">
        <f>+'Stmt net assets'!Y81</f>
        <v>93456123</v>
      </c>
      <c r="AB81" s="44"/>
      <c r="AC81" s="44">
        <f>+Y81+'Stmt of activities-GA rev'!AC81-'Stmt of activities-GAexp'!W81-AA81</f>
        <v>0</v>
      </c>
    </row>
    <row r="82" spans="1:29" s="47" customFormat="1" ht="12.75" customHeight="1">
      <c r="A82" s="47" t="s">
        <v>104</v>
      </c>
      <c r="B82" s="51"/>
      <c r="C82" s="47" t="s">
        <v>13</v>
      </c>
      <c r="E82" s="44">
        <v>6632126</v>
      </c>
      <c r="F82" s="44"/>
      <c r="G82" s="44">
        <v>113303</v>
      </c>
      <c r="H82" s="44"/>
      <c r="I82" s="44">
        <v>397037</v>
      </c>
      <c r="J82" s="44"/>
      <c r="K82" s="44">
        <v>65780</v>
      </c>
      <c r="L82" s="44"/>
      <c r="M82" s="44">
        <v>3854123</v>
      </c>
      <c r="N82" s="44"/>
      <c r="O82" s="44">
        <v>1252362</v>
      </c>
      <c r="P82" s="44"/>
      <c r="Q82" s="44">
        <v>2642555</v>
      </c>
      <c r="R82" s="44"/>
      <c r="S82" s="44">
        <v>0</v>
      </c>
      <c r="T82" s="44"/>
      <c r="U82" s="44">
        <v>424184</v>
      </c>
      <c r="V82" s="44"/>
      <c r="W82" s="44">
        <f t="shared" si="2"/>
        <v>15381470</v>
      </c>
      <c r="X82" s="44"/>
      <c r="Y82" s="44">
        <v>72205268</v>
      </c>
      <c r="Z82" s="44"/>
      <c r="AA82" s="44">
        <f>+'Stmt net assets'!Y82</f>
        <v>71988815</v>
      </c>
      <c r="AB82" s="44"/>
      <c r="AC82" s="44">
        <f>+Y82+'Stmt of activities-GA rev'!AC82-'Stmt of activities-GAexp'!W82-AA82</f>
        <v>0</v>
      </c>
    </row>
    <row r="83" spans="1:29" s="47" customFormat="1" ht="12.75" customHeight="1">
      <c r="A83" s="47" t="s">
        <v>105</v>
      </c>
      <c r="B83" s="51"/>
      <c r="C83" s="47" t="s">
        <v>27</v>
      </c>
      <c r="E83" s="44">
        <v>7371357</v>
      </c>
      <c r="F83" s="44"/>
      <c r="G83" s="44">
        <v>2785</v>
      </c>
      <c r="H83" s="44"/>
      <c r="I83" s="44">
        <v>3249821</v>
      </c>
      <c r="J83" s="44"/>
      <c r="K83" s="44">
        <v>292918</v>
      </c>
      <c r="L83" s="44"/>
      <c r="M83" s="44">
        <v>1294880</v>
      </c>
      <c r="N83" s="44"/>
      <c r="O83" s="44">
        <v>1103137</v>
      </c>
      <c r="P83" s="44"/>
      <c r="Q83" s="44">
        <v>1624044</v>
      </c>
      <c r="R83" s="44"/>
      <c r="S83" s="44">
        <v>4496971</v>
      </c>
      <c r="T83" s="44"/>
      <c r="U83" s="44">
        <v>1161303</v>
      </c>
      <c r="V83" s="44"/>
      <c r="W83" s="44">
        <f t="shared" si="2"/>
        <v>20597216</v>
      </c>
      <c r="X83" s="44"/>
      <c r="Y83" s="44">
        <v>41307014</v>
      </c>
      <c r="Z83" s="44"/>
      <c r="AA83" s="44">
        <f>+'Stmt net assets'!Y83</f>
        <v>37487859</v>
      </c>
      <c r="AB83" s="44"/>
      <c r="AC83" s="44">
        <f>+Y83+'Stmt of activities-GA rev'!AC83-'Stmt of activities-GAexp'!W83-AA83</f>
        <v>0</v>
      </c>
    </row>
    <row r="84" spans="1:29" s="47" customFormat="1" ht="12.75" customHeight="1">
      <c r="A84" s="47" t="s">
        <v>106</v>
      </c>
      <c r="B84" s="51"/>
      <c r="C84" s="47" t="s">
        <v>107</v>
      </c>
      <c r="E84" s="44">
        <v>14678503</v>
      </c>
      <c r="F84" s="44"/>
      <c r="G84" s="44">
        <v>1702053</v>
      </c>
      <c r="H84" s="44"/>
      <c r="I84" s="44">
        <v>1931170</v>
      </c>
      <c r="J84" s="44"/>
      <c r="K84" s="44">
        <v>0</v>
      </c>
      <c r="L84" s="44"/>
      <c r="M84" s="44">
        <v>5437592</v>
      </c>
      <c r="N84" s="44"/>
      <c r="O84" s="44">
        <v>0</v>
      </c>
      <c r="P84" s="44"/>
      <c r="Q84" s="44">
        <v>7704101</v>
      </c>
      <c r="R84" s="44"/>
      <c r="S84" s="44">
        <v>587</v>
      </c>
      <c r="T84" s="44"/>
      <c r="U84" s="44">
        <v>505675</v>
      </c>
      <c r="V84" s="44"/>
      <c r="W84" s="44">
        <f t="shared" si="2"/>
        <v>31959681</v>
      </c>
      <c r="X84" s="44"/>
      <c r="Y84" s="44">
        <v>81556708</v>
      </c>
      <c r="Z84" s="44"/>
      <c r="AA84" s="44">
        <f>+'Stmt net assets'!Y84</f>
        <v>80660878</v>
      </c>
      <c r="AB84" s="44"/>
      <c r="AC84" s="44">
        <f>+Y84+'Stmt of activities-GA rev'!AC84-'Stmt of activities-GAexp'!W84-AA84</f>
        <v>0</v>
      </c>
    </row>
    <row r="85" spans="1:29" s="47" customFormat="1" ht="12.75" customHeight="1">
      <c r="A85" s="47" t="s">
        <v>108</v>
      </c>
      <c r="B85" s="51"/>
      <c r="C85" s="47" t="s">
        <v>45</v>
      </c>
      <c r="E85" s="44">
        <v>9501493</v>
      </c>
      <c r="F85" s="44"/>
      <c r="G85" s="44">
        <v>21775</v>
      </c>
      <c r="H85" s="44"/>
      <c r="I85" s="44">
        <v>401165</v>
      </c>
      <c r="J85" s="44"/>
      <c r="K85" s="44">
        <v>934999</v>
      </c>
      <c r="L85" s="44"/>
      <c r="M85" s="44">
        <v>0</v>
      </c>
      <c r="N85" s="44"/>
      <c r="O85" s="44">
        <v>3551056</v>
      </c>
      <c r="P85" s="44"/>
      <c r="Q85" s="44">
        <v>3763638</v>
      </c>
      <c r="R85" s="44"/>
      <c r="S85" s="44">
        <v>0</v>
      </c>
      <c r="T85" s="44"/>
      <c r="U85" s="44">
        <v>260595</v>
      </c>
      <c r="V85" s="44"/>
      <c r="W85" s="44">
        <f t="shared" si="2"/>
        <v>18434721</v>
      </c>
      <c r="X85" s="44"/>
      <c r="Y85" s="44">
        <v>44269006</v>
      </c>
      <c r="Z85" s="44"/>
      <c r="AA85" s="44">
        <f>+'Stmt net assets'!Y85</f>
        <v>44541254</v>
      </c>
      <c r="AB85" s="44"/>
      <c r="AC85" s="44">
        <f>+Y85+'Stmt of activities-GA rev'!AC85-'Stmt of activities-GAexp'!W85-AA85</f>
        <v>0</v>
      </c>
    </row>
    <row r="86" spans="1:29" s="44" customFormat="1" ht="12.75" customHeight="1">
      <c r="A86" s="44" t="s">
        <v>109</v>
      </c>
      <c r="B86" s="65"/>
      <c r="C86" s="44" t="s">
        <v>110</v>
      </c>
      <c r="E86" s="44">
        <v>5784438</v>
      </c>
      <c r="G86" s="44">
        <v>336852</v>
      </c>
      <c r="I86" s="44">
        <v>255959</v>
      </c>
      <c r="K86" s="44">
        <v>459706</v>
      </c>
      <c r="M86" s="44">
        <v>1526981</v>
      </c>
      <c r="O86" s="44">
        <v>0</v>
      </c>
      <c r="Q86" s="44">
        <v>1986599</v>
      </c>
      <c r="S86" s="44">
        <v>320</v>
      </c>
      <c r="U86" s="44">
        <v>37436</v>
      </c>
      <c r="W86" s="44">
        <f t="shared" si="2"/>
        <v>10388291</v>
      </c>
      <c r="Y86" s="44">
        <v>14535174</v>
      </c>
      <c r="AA86" s="44">
        <f>+'Stmt net assets'!Y86</f>
        <v>14776317</v>
      </c>
      <c r="AC86" s="44">
        <f>+Y86+'Stmt of activities-GA rev'!AC86-'Stmt of activities-GAexp'!W86-AA86</f>
        <v>0</v>
      </c>
    </row>
    <row r="87" spans="1:29" s="47" customFormat="1" ht="12.75" customHeight="1">
      <c r="A87" s="47" t="s">
        <v>43</v>
      </c>
      <c r="B87" s="51"/>
      <c r="C87" s="47" t="s">
        <v>111</v>
      </c>
      <c r="E87" s="44">
        <f>3250081+1509378+141811+102802</f>
        <v>5004072</v>
      </c>
      <c r="F87" s="44"/>
      <c r="G87" s="44">
        <v>59846</v>
      </c>
      <c r="H87" s="44"/>
      <c r="I87" s="44">
        <v>353315</v>
      </c>
      <c r="J87" s="44"/>
      <c r="K87" s="44">
        <v>84517</v>
      </c>
      <c r="L87" s="44"/>
      <c r="M87" s="44">
        <v>2173257</v>
      </c>
      <c r="N87" s="44"/>
      <c r="O87" s="44">
        <v>80111</v>
      </c>
      <c r="P87" s="44"/>
      <c r="Q87" s="44">
        <v>2107127</v>
      </c>
      <c r="R87" s="44"/>
      <c r="S87" s="44">
        <v>0</v>
      </c>
      <c r="T87" s="44"/>
      <c r="U87" s="44">
        <v>523872</v>
      </c>
      <c r="V87" s="44"/>
      <c r="W87" s="44">
        <f t="shared" si="2"/>
        <v>10386117</v>
      </c>
      <c r="X87" s="44"/>
      <c r="Y87" s="44">
        <v>47173274</v>
      </c>
      <c r="Z87" s="44"/>
      <c r="AA87" s="44">
        <f>+'Stmt net assets'!Y87</f>
        <v>49229991</v>
      </c>
      <c r="AB87" s="44"/>
      <c r="AC87" s="44">
        <f>+Y87+'Stmt of activities-GA rev'!AC87-'Stmt of activities-GAexp'!W87-AA87</f>
        <v>0</v>
      </c>
    </row>
    <row r="88" spans="1:29" s="47" customFormat="1" ht="12.75" customHeight="1">
      <c r="A88" s="47" t="s">
        <v>112</v>
      </c>
      <c r="B88" s="51"/>
      <c r="C88" s="47" t="s">
        <v>76</v>
      </c>
      <c r="E88" s="44">
        <v>5822742</v>
      </c>
      <c r="F88" s="44"/>
      <c r="G88" s="44">
        <v>14552</v>
      </c>
      <c r="H88" s="44"/>
      <c r="I88" s="44">
        <v>2176865</v>
      </c>
      <c r="J88" s="44"/>
      <c r="K88" s="44">
        <f>402955+396106</f>
        <v>799061</v>
      </c>
      <c r="L88" s="44"/>
      <c r="M88" s="44">
        <v>1986837</v>
      </c>
      <c r="N88" s="44"/>
      <c r="O88" s="44">
        <v>0</v>
      </c>
      <c r="P88" s="44"/>
      <c r="Q88" s="44">
        <v>2243366</v>
      </c>
      <c r="R88" s="44"/>
      <c r="S88" s="44">
        <v>1060</v>
      </c>
      <c r="T88" s="44"/>
      <c r="U88" s="44">
        <v>194396</v>
      </c>
      <c r="V88" s="44"/>
      <c r="W88" s="44">
        <f t="shared" si="2"/>
        <v>13238879</v>
      </c>
      <c r="X88" s="44"/>
      <c r="Y88" s="44">
        <v>33358167</v>
      </c>
      <c r="Z88" s="44"/>
      <c r="AA88" s="44">
        <f>+'Stmt net assets'!Y88</f>
        <v>33407539</v>
      </c>
      <c r="AB88" s="44"/>
      <c r="AC88" s="44">
        <f>+Y88+'Stmt of activities-GA rev'!AC88-'Stmt of activities-GAexp'!W88-AA88</f>
        <v>0</v>
      </c>
    </row>
    <row r="89" spans="1:29" s="47" customFormat="1" ht="12.75" customHeight="1">
      <c r="A89" s="47" t="s">
        <v>113</v>
      </c>
      <c r="B89" s="51"/>
      <c r="C89" s="47" t="s">
        <v>43</v>
      </c>
      <c r="E89" s="44">
        <v>8882162</v>
      </c>
      <c r="F89" s="44"/>
      <c r="G89" s="44">
        <v>181060</v>
      </c>
      <c r="H89" s="44"/>
      <c r="I89" s="44">
        <v>3004206</v>
      </c>
      <c r="J89" s="44"/>
      <c r="K89" s="44">
        <v>5574128</v>
      </c>
      <c r="L89" s="44"/>
      <c r="M89" s="44">
        <v>5390669</v>
      </c>
      <c r="N89" s="44"/>
      <c r="O89" s="44">
        <v>1691119</v>
      </c>
      <c r="P89" s="44"/>
      <c r="Q89" s="44">
        <v>4429023</v>
      </c>
      <c r="R89" s="44"/>
      <c r="S89" s="44">
        <v>0</v>
      </c>
      <c r="T89" s="44"/>
      <c r="U89" s="44">
        <v>963467</v>
      </c>
      <c r="V89" s="44"/>
      <c r="W89" s="44">
        <f t="shared" si="2"/>
        <v>30115834</v>
      </c>
      <c r="X89" s="44"/>
      <c r="Y89" s="44">
        <v>97861969</v>
      </c>
      <c r="Z89" s="44"/>
      <c r="AA89" s="44">
        <f>+'Stmt net assets'!Y89</f>
        <v>97198909</v>
      </c>
      <c r="AB89" s="44"/>
      <c r="AC89" s="44">
        <f>+Y89+'Stmt of activities-GA rev'!AC89-'Stmt of activities-GAexp'!W89-AA89</f>
        <v>0</v>
      </c>
    </row>
    <row r="90" spans="1:29" s="47" customFormat="1" ht="12.75" customHeight="1">
      <c r="A90" s="47" t="s">
        <v>489</v>
      </c>
      <c r="B90" s="51"/>
      <c r="C90" s="47" t="s">
        <v>57</v>
      </c>
      <c r="E90" s="44">
        <f>1667279+1630940</f>
        <v>3298219</v>
      </c>
      <c r="F90" s="44"/>
      <c r="G90" s="44">
        <v>422506</v>
      </c>
      <c r="H90" s="44"/>
      <c r="I90" s="44">
        <v>260455</v>
      </c>
      <c r="J90" s="44"/>
      <c r="K90" s="44">
        <v>257184</v>
      </c>
      <c r="L90" s="44"/>
      <c r="M90" s="44">
        <v>1623790</v>
      </c>
      <c r="N90" s="44"/>
      <c r="O90" s="44">
        <v>0</v>
      </c>
      <c r="P90" s="44"/>
      <c r="Q90" s="44">
        <v>1370129</v>
      </c>
      <c r="R90" s="44"/>
      <c r="S90" s="44">
        <v>0</v>
      </c>
      <c r="T90" s="44"/>
      <c r="U90" s="44">
        <v>187743</v>
      </c>
      <c r="V90" s="44"/>
      <c r="W90" s="44">
        <f>SUM(E90:U90)</f>
        <v>7420026</v>
      </c>
      <c r="X90" s="44"/>
      <c r="Y90" s="44">
        <v>15093987</v>
      </c>
      <c r="Z90" s="44"/>
      <c r="AA90" s="44">
        <f>+'Stmt net assets'!Y90</f>
        <v>17541992</v>
      </c>
      <c r="AB90" s="44"/>
      <c r="AC90" s="44">
        <f>+Y90+'Stmt of activities-GA rev'!AC90-'Stmt of activities-GAexp'!W90-AA90</f>
        <v>0</v>
      </c>
    </row>
    <row r="91" spans="1:29" s="47" customFormat="1" ht="12.75" customHeight="1">
      <c r="A91" s="47" t="s">
        <v>114</v>
      </c>
      <c r="B91" s="51"/>
      <c r="C91" s="47" t="s">
        <v>27</v>
      </c>
      <c r="E91" s="44">
        <v>12550892</v>
      </c>
      <c r="F91" s="44"/>
      <c r="G91" s="44">
        <v>825124</v>
      </c>
      <c r="H91" s="44"/>
      <c r="I91" s="44">
        <v>1380602</v>
      </c>
      <c r="J91" s="44"/>
      <c r="K91" s="44">
        <v>154628</v>
      </c>
      <c r="L91" s="44"/>
      <c r="M91" s="44">
        <v>3882715</v>
      </c>
      <c r="N91" s="44"/>
      <c r="O91" s="44">
        <v>2661598</v>
      </c>
      <c r="P91" s="44"/>
      <c r="Q91" s="44">
        <v>8686388</v>
      </c>
      <c r="R91" s="44"/>
      <c r="S91" s="44">
        <v>0</v>
      </c>
      <c r="T91" s="44"/>
      <c r="U91" s="44">
        <v>1607514</v>
      </c>
      <c r="V91" s="44"/>
      <c r="W91" s="44">
        <f>SUM(E91:U91)</f>
        <v>31749461</v>
      </c>
      <c r="X91" s="44"/>
      <c r="Y91" s="44">
        <v>1049285</v>
      </c>
      <c r="Z91" s="44"/>
      <c r="AA91" s="44">
        <f>+'Stmt net assets'!Y91</f>
        <v>1861520</v>
      </c>
      <c r="AB91" s="44"/>
      <c r="AC91" s="44">
        <f>+Y91+'Stmt of activities-GA rev'!AC91-'Stmt of activities-GAexp'!W91-AA91</f>
        <v>0</v>
      </c>
    </row>
    <row r="92" spans="1:29" s="47" customFormat="1" ht="12.75" customHeight="1">
      <c r="A92" s="47" t="s">
        <v>115</v>
      </c>
      <c r="B92" s="51"/>
      <c r="C92" s="47" t="s">
        <v>19</v>
      </c>
      <c r="E92" s="44">
        <v>2152310</v>
      </c>
      <c r="F92" s="44"/>
      <c r="G92" s="44">
        <v>0</v>
      </c>
      <c r="H92" s="44"/>
      <c r="I92" s="44">
        <v>200913</v>
      </c>
      <c r="J92" s="44"/>
      <c r="K92" s="44">
        <v>479972</v>
      </c>
      <c r="L92" s="44"/>
      <c r="M92" s="44">
        <v>1025999</v>
      </c>
      <c r="N92" s="44"/>
      <c r="O92" s="44">
        <v>0</v>
      </c>
      <c r="P92" s="44"/>
      <c r="Q92" s="44">
        <v>1710561</v>
      </c>
      <c r="R92" s="44"/>
      <c r="S92" s="44">
        <v>0</v>
      </c>
      <c r="T92" s="44"/>
      <c r="U92" s="44">
        <v>126128</v>
      </c>
      <c r="V92" s="44"/>
      <c r="W92" s="44">
        <f t="shared" si="2"/>
        <v>5695883</v>
      </c>
      <c r="X92" s="44"/>
      <c r="Y92" s="44">
        <v>9431101</v>
      </c>
      <c r="Z92" s="44"/>
      <c r="AA92" s="44">
        <f>+'Stmt net assets'!Y92</f>
        <v>8704301</v>
      </c>
      <c r="AB92" s="44"/>
      <c r="AC92" s="44">
        <f>+Y92+'Stmt of activities-GA rev'!AC92-'Stmt of activities-GAexp'!W92-AA92</f>
        <v>0</v>
      </c>
    </row>
    <row r="93" spans="1:29" s="47" customFormat="1" ht="12.75" customHeight="1">
      <c r="A93" s="47" t="s">
        <v>116</v>
      </c>
      <c r="B93" s="51"/>
      <c r="C93" s="47" t="s">
        <v>80</v>
      </c>
      <c r="E93" s="44">
        <v>2909824</v>
      </c>
      <c r="F93" s="44"/>
      <c r="G93" s="44">
        <v>156717</v>
      </c>
      <c r="H93" s="44"/>
      <c r="I93" s="44">
        <v>278614</v>
      </c>
      <c r="J93" s="44"/>
      <c r="K93" s="44">
        <v>728397</v>
      </c>
      <c r="L93" s="44"/>
      <c r="M93" s="44">
        <v>2263643</v>
      </c>
      <c r="N93" s="44"/>
      <c r="O93" s="44">
        <v>471884</v>
      </c>
      <c r="P93" s="44"/>
      <c r="Q93" s="44">
        <v>3633976</v>
      </c>
      <c r="R93" s="44"/>
      <c r="S93" s="44">
        <v>0</v>
      </c>
      <c r="T93" s="44"/>
      <c r="U93" s="44">
        <v>228756</v>
      </c>
      <c r="V93" s="44"/>
      <c r="W93" s="44">
        <f t="shared" si="2"/>
        <v>10671811</v>
      </c>
      <c r="X93" s="44"/>
      <c r="Y93" s="44">
        <v>32828075</v>
      </c>
      <c r="Z93" s="44"/>
      <c r="AA93" s="44">
        <f>+'Stmt net assets'!Y93</f>
        <v>31494540</v>
      </c>
      <c r="AB93" s="44"/>
      <c r="AC93" s="44">
        <f>+Y93+'Stmt of activities-GA rev'!AC93-'Stmt of activities-GAexp'!W93-AA93</f>
        <v>0</v>
      </c>
    </row>
    <row r="94" spans="1:29" s="47" customFormat="1" ht="12.75" customHeight="1">
      <c r="A94" s="47" t="s">
        <v>117</v>
      </c>
      <c r="B94" s="51"/>
      <c r="C94" s="47" t="s">
        <v>43</v>
      </c>
      <c r="E94" s="44">
        <v>4376764</v>
      </c>
      <c r="F94" s="44"/>
      <c r="G94" s="44">
        <v>36822</v>
      </c>
      <c r="H94" s="44"/>
      <c r="I94" s="44">
        <v>754525</v>
      </c>
      <c r="J94" s="44"/>
      <c r="K94" s="44">
        <v>0</v>
      </c>
      <c r="L94" s="44"/>
      <c r="M94" s="44">
        <v>1463328</v>
      </c>
      <c r="N94" s="44"/>
      <c r="O94" s="44">
        <v>107706</v>
      </c>
      <c r="P94" s="44"/>
      <c r="Q94" s="44">
        <v>2199295</v>
      </c>
      <c r="R94" s="44"/>
      <c r="S94" s="44">
        <v>0</v>
      </c>
      <c r="T94" s="44"/>
      <c r="U94" s="44">
        <v>23116</v>
      </c>
      <c r="V94" s="44"/>
      <c r="W94" s="44">
        <f t="shared" si="2"/>
        <v>8961556</v>
      </c>
      <c r="X94" s="44"/>
      <c r="Y94" s="44">
        <v>8093372</v>
      </c>
      <c r="Z94" s="44"/>
      <c r="AA94" s="44">
        <f>+'Stmt net assets'!Y94</f>
        <v>10131576</v>
      </c>
      <c r="AB94" s="44"/>
      <c r="AC94" s="44">
        <f>+Y94+'Stmt of activities-GA rev'!AC94-'Stmt of activities-GAexp'!W94-AA94</f>
        <v>0</v>
      </c>
    </row>
    <row r="95" spans="1:29" s="47" customFormat="1" ht="12.75" customHeight="1">
      <c r="A95" s="47" t="s">
        <v>118</v>
      </c>
      <c r="B95" s="51"/>
      <c r="C95" s="47" t="s">
        <v>13</v>
      </c>
      <c r="E95" s="44">
        <v>7961268</v>
      </c>
      <c r="F95" s="44"/>
      <c r="G95" s="44">
        <v>252592</v>
      </c>
      <c r="H95" s="44"/>
      <c r="I95" s="44">
        <v>386417</v>
      </c>
      <c r="J95" s="44"/>
      <c r="K95" s="44">
        <v>669947</v>
      </c>
      <c r="L95" s="44"/>
      <c r="M95" s="44">
        <v>4124608</v>
      </c>
      <c r="N95" s="44"/>
      <c r="O95" s="44">
        <v>0</v>
      </c>
      <c r="P95" s="44"/>
      <c r="Q95" s="44">
        <v>7565258</v>
      </c>
      <c r="R95" s="44"/>
      <c r="S95" s="44">
        <v>0</v>
      </c>
      <c r="T95" s="44"/>
      <c r="U95" s="44">
        <v>1881528</v>
      </c>
      <c r="V95" s="44"/>
      <c r="W95" s="44">
        <f t="shared" si="2"/>
        <v>22841618</v>
      </c>
      <c r="X95" s="44"/>
      <c r="Y95" s="44">
        <v>94994596</v>
      </c>
      <c r="Z95" s="44"/>
      <c r="AA95" s="44">
        <f>+'Stmt net assets'!Y95</f>
        <v>109864835</v>
      </c>
      <c r="AB95" s="44"/>
      <c r="AC95" s="44">
        <f>+Y95+'Stmt of activities-GA rev'!AC95-'Stmt of activities-GAexp'!W95-AA95</f>
        <v>0</v>
      </c>
    </row>
    <row r="96" spans="1:29" s="47" customFormat="1" ht="12.75" customHeight="1">
      <c r="A96" s="47" t="s">
        <v>120</v>
      </c>
      <c r="B96" s="51"/>
      <c r="C96" s="47" t="s">
        <v>121</v>
      </c>
      <c r="E96" s="44">
        <v>4874300</v>
      </c>
      <c r="F96" s="44"/>
      <c r="G96" s="44">
        <v>76936</v>
      </c>
      <c r="H96" s="44"/>
      <c r="I96" s="44">
        <v>639661</v>
      </c>
      <c r="J96" s="44"/>
      <c r="K96" s="44">
        <v>1703743</v>
      </c>
      <c r="L96" s="44"/>
      <c r="M96" s="44">
        <v>2996623</v>
      </c>
      <c r="N96" s="44"/>
      <c r="O96" s="44">
        <v>257883</v>
      </c>
      <c r="P96" s="44"/>
      <c r="Q96" s="44">
        <v>2437925</v>
      </c>
      <c r="R96" s="44"/>
      <c r="S96" s="44">
        <v>0</v>
      </c>
      <c r="T96" s="44"/>
      <c r="U96" s="44">
        <v>174402</v>
      </c>
      <c r="V96" s="44"/>
      <c r="W96" s="44">
        <f t="shared" si="2"/>
        <v>13161473</v>
      </c>
      <c r="X96" s="44"/>
      <c r="Y96" s="44">
        <v>22708571</v>
      </c>
      <c r="Z96" s="44"/>
      <c r="AA96" s="44">
        <f>+'Stmt net assets'!Y96</f>
        <v>19910127</v>
      </c>
      <c r="AB96" s="44"/>
      <c r="AC96" s="44">
        <f>+Y96+'Stmt of activities-GA rev'!AC96-'Stmt of activities-GAexp'!W96-AA96</f>
        <v>0</v>
      </c>
    </row>
    <row r="97" spans="1:29" s="47" customFormat="1" ht="12.75" customHeight="1">
      <c r="A97" s="47" t="s">
        <v>122</v>
      </c>
      <c r="B97" s="51"/>
      <c r="C97" s="47" t="s">
        <v>43</v>
      </c>
      <c r="E97" s="44">
        <v>9650994</v>
      </c>
      <c r="F97" s="44"/>
      <c r="G97" s="44">
        <v>267967</v>
      </c>
      <c r="H97" s="44"/>
      <c r="I97" s="44">
        <v>2386376</v>
      </c>
      <c r="J97" s="44"/>
      <c r="K97" s="44">
        <v>1186822</v>
      </c>
      <c r="L97" s="44"/>
      <c r="M97" s="44">
        <v>9682153</v>
      </c>
      <c r="N97" s="44"/>
      <c r="O97" s="44">
        <v>0</v>
      </c>
      <c r="P97" s="44"/>
      <c r="Q97" s="44">
        <f>9110413+24694151</f>
        <v>33804564</v>
      </c>
      <c r="R97" s="44"/>
      <c r="S97" s="44">
        <v>0</v>
      </c>
      <c r="T97" s="44"/>
      <c r="U97" s="44">
        <v>3578458</v>
      </c>
      <c r="V97" s="44"/>
      <c r="W97" s="44">
        <f t="shared" si="2"/>
        <v>60557334</v>
      </c>
      <c r="X97" s="44"/>
      <c r="Y97" s="44">
        <v>269045629</v>
      </c>
      <c r="Z97" s="44"/>
      <c r="AA97" s="44">
        <f>+'Stmt net assets'!Y97</f>
        <v>250086371</v>
      </c>
      <c r="AB97" s="44"/>
      <c r="AC97" s="44">
        <f>+Y97+'Stmt of activities-GA rev'!AC97-'Stmt of activities-GAexp'!W97-AA97</f>
        <v>0</v>
      </c>
    </row>
    <row r="98" spans="1:29" s="47" customFormat="1" ht="12.75" customHeight="1">
      <c r="A98" s="47" t="s">
        <v>45</v>
      </c>
      <c r="B98" s="51"/>
      <c r="C98" s="47" t="s">
        <v>103</v>
      </c>
      <c r="E98" s="44">
        <v>34302781</v>
      </c>
      <c r="F98" s="44"/>
      <c r="G98" s="44">
        <v>1797223</v>
      </c>
      <c r="H98" s="44"/>
      <c r="I98" s="44">
        <v>2635833</v>
      </c>
      <c r="J98" s="44"/>
      <c r="K98" s="44">
        <v>4416618</v>
      </c>
      <c r="L98" s="44"/>
      <c r="M98" s="44">
        <v>5175752</v>
      </c>
      <c r="N98" s="44"/>
      <c r="O98" s="44">
        <v>5986163</v>
      </c>
      <c r="P98" s="44"/>
      <c r="Q98" s="44">
        <v>8683408</v>
      </c>
      <c r="R98" s="44"/>
      <c r="S98" s="44">
        <v>0</v>
      </c>
      <c r="T98" s="44"/>
      <c r="U98" s="44">
        <v>1841454</v>
      </c>
      <c r="V98" s="44"/>
      <c r="W98" s="44">
        <f t="shared" si="2"/>
        <v>64839232</v>
      </c>
      <c r="X98" s="44"/>
      <c r="Y98" s="44">
        <v>72029057</v>
      </c>
      <c r="Z98" s="44"/>
      <c r="AA98" s="44">
        <f>+'Stmt net assets'!Y98</f>
        <v>73049981</v>
      </c>
      <c r="AB98" s="44"/>
      <c r="AC98" s="44">
        <f>+Y98+'Stmt of activities-GA rev'!AC98-'Stmt of activities-GAexp'!W98-AA98</f>
        <v>0</v>
      </c>
    </row>
    <row r="99" spans="1:29" s="47" customFormat="1" ht="12.75" customHeight="1">
      <c r="A99" s="47" t="s">
        <v>123</v>
      </c>
      <c r="B99" s="51"/>
      <c r="C99" s="47" t="s">
        <v>45</v>
      </c>
      <c r="E99" s="44">
        <v>4965899</v>
      </c>
      <c r="F99" s="44"/>
      <c r="G99" s="44">
        <v>313537</v>
      </c>
      <c r="H99" s="44"/>
      <c r="I99" s="44">
        <v>332381</v>
      </c>
      <c r="J99" s="44"/>
      <c r="K99" s="44">
        <v>110453</v>
      </c>
      <c r="L99" s="44"/>
      <c r="M99" s="44">
        <v>738160</v>
      </c>
      <c r="N99" s="44"/>
      <c r="O99" s="44">
        <v>0</v>
      </c>
      <c r="P99" s="44"/>
      <c r="Q99" s="44">
        <v>1011755</v>
      </c>
      <c r="R99" s="44"/>
      <c r="S99" s="44">
        <v>0</v>
      </c>
      <c r="T99" s="44"/>
      <c r="U99" s="44">
        <v>214254</v>
      </c>
      <c r="V99" s="44"/>
      <c r="W99" s="44">
        <f t="shared" si="2"/>
        <v>7686439</v>
      </c>
      <c r="X99" s="44"/>
      <c r="Y99" s="44">
        <v>12688044</v>
      </c>
      <c r="Z99" s="44"/>
      <c r="AA99" s="44">
        <f>+'Stmt net assets'!Y99</f>
        <v>13584766</v>
      </c>
      <c r="AB99" s="44"/>
      <c r="AC99" s="44">
        <f>+Y99+'Stmt of activities-GA rev'!AC99-'Stmt of activities-GAexp'!W99-AA99</f>
        <v>0</v>
      </c>
    </row>
    <row r="100" spans="1:29" s="47" customFormat="1" ht="12.75" customHeight="1">
      <c r="A100" s="47" t="s">
        <v>124</v>
      </c>
      <c r="B100" s="51"/>
      <c r="C100" s="47" t="s">
        <v>125</v>
      </c>
      <c r="E100" s="44">
        <v>5033962</v>
      </c>
      <c r="F100" s="44"/>
      <c r="G100" s="44">
        <v>55500</v>
      </c>
      <c r="H100" s="44"/>
      <c r="I100" s="44">
        <v>1553376</v>
      </c>
      <c r="J100" s="44"/>
      <c r="K100" s="44">
        <v>248044</v>
      </c>
      <c r="L100" s="44"/>
      <c r="M100" s="44">
        <v>1716140</v>
      </c>
      <c r="N100" s="44"/>
      <c r="O100" s="44">
        <v>12585</v>
      </c>
      <c r="P100" s="44"/>
      <c r="Q100" s="44">
        <v>1862217</v>
      </c>
      <c r="R100" s="44"/>
      <c r="S100" s="44">
        <v>0</v>
      </c>
      <c r="T100" s="44"/>
      <c r="U100" s="44">
        <v>201466</v>
      </c>
      <c r="V100" s="44"/>
      <c r="W100" s="44">
        <f t="shared" si="2"/>
        <v>10683290</v>
      </c>
      <c r="X100" s="44"/>
      <c r="Y100" s="44">
        <v>30711073</v>
      </c>
      <c r="Z100" s="44"/>
      <c r="AA100" s="44">
        <f>+'Stmt net assets'!Y100</f>
        <v>29449824</v>
      </c>
      <c r="AB100" s="44"/>
      <c r="AC100" s="44">
        <f>+Y100+'Stmt of activities-GA rev'!AC100-'Stmt of activities-GAexp'!W100-AA100</f>
        <v>0</v>
      </c>
    </row>
    <row r="101" spans="1:29" s="47" customFormat="1" ht="12.75" customHeight="1">
      <c r="A101" s="47" t="s">
        <v>126</v>
      </c>
      <c r="B101" s="51"/>
      <c r="C101" s="47" t="s">
        <v>27</v>
      </c>
      <c r="E101" s="44">
        <v>5879056</v>
      </c>
      <c r="F101" s="44"/>
      <c r="G101" s="44">
        <v>37812</v>
      </c>
      <c r="H101" s="44"/>
      <c r="I101" s="44">
        <v>1236191</v>
      </c>
      <c r="J101" s="44"/>
      <c r="K101" s="44">
        <v>95646</v>
      </c>
      <c r="L101" s="44"/>
      <c r="M101" s="44">
        <v>1304373</v>
      </c>
      <c r="N101" s="44"/>
      <c r="O101" s="44">
        <v>2251072</v>
      </c>
      <c r="P101" s="44"/>
      <c r="Q101" s="44">
        <v>2488027</v>
      </c>
      <c r="R101" s="44"/>
      <c r="S101" s="44">
        <v>0</v>
      </c>
      <c r="T101" s="44"/>
      <c r="U101" s="44">
        <v>672960</v>
      </c>
      <c r="V101" s="44"/>
      <c r="W101" s="44">
        <f t="shared" si="2"/>
        <v>13965137</v>
      </c>
      <c r="X101" s="44"/>
      <c r="Y101" s="44">
        <v>46311600</v>
      </c>
      <c r="Z101" s="44"/>
      <c r="AA101" s="44">
        <f>+'Stmt net assets'!Y101</f>
        <v>48063649</v>
      </c>
      <c r="AB101" s="44"/>
      <c r="AC101" s="44">
        <f>+Y101+'Stmt of activities-GA rev'!AC101-'Stmt of activities-GAexp'!W101-AA101</f>
        <v>0</v>
      </c>
    </row>
    <row r="102" spans="1:29" s="47" customFormat="1" ht="12.75" customHeight="1">
      <c r="A102" s="47" t="s">
        <v>127</v>
      </c>
      <c r="B102" s="51"/>
      <c r="C102" s="47" t="s">
        <v>43</v>
      </c>
      <c r="E102" s="44">
        <v>8131423</v>
      </c>
      <c r="F102" s="44"/>
      <c r="G102" s="44">
        <v>157065</v>
      </c>
      <c r="H102" s="44"/>
      <c r="I102" s="44">
        <v>3256451</v>
      </c>
      <c r="J102" s="44"/>
      <c r="K102" s="44">
        <v>7370811</v>
      </c>
      <c r="L102" s="44"/>
      <c r="M102" s="44">
        <v>4500438</v>
      </c>
      <c r="N102" s="44"/>
      <c r="O102" s="44">
        <v>5990167</v>
      </c>
      <c r="P102" s="44"/>
      <c r="Q102" s="44">
        <v>4778348</v>
      </c>
      <c r="R102" s="44"/>
      <c r="S102" s="44">
        <v>0</v>
      </c>
      <c r="T102" s="44"/>
      <c r="U102" s="44">
        <v>1966780</v>
      </c>
      <c r="V102" s="44"/>
      <c r="W102" s="44">
        <f t="shared" si="2"/>
        <v>36151483</v>
      </c>
      <c r="X102" s="44"/>
      <c r="Y102" s="44">
        <v>209751054</v>
      </c>
      <c r="Z102" s="44"/>
      <c r="AA102" s="44">
        <f>+'Stmt net assets'!Y102</f>
        <v>205900163</v>
      </c>
      <c r="AB102" s="44"/>
      <c r="AC102" s="44">
        <f>+Y102+'Stmt of activities-GA rev'!AC102-'Stmt of activities-GAexp'!W102-AA102</f>
        <v>0</v>
      </c>
    </row>
    <row r="103" spans="1:29" s="47" customFormat="1" ht="12.75" customHeight="1">
      <c r="A103" s="47" t="s">
        <v>128</v>
      </c>
      <c r="B103" s="51"/>
      <c r="C103" s="47" t="s">
        <v>119</v>
      </c>
      <c r="E103" s="44">
        <v>3472278</v>
      </c>
      <c r="F103" s="44"/>
      <c r="G103" s="44">
        <v>203901</v>
      </c>
      <c r="H103" s="44"/>
      <c r="I103" s="44">
        <v>173914</v>
      </c>
      <c r="J103" s="44"/>
      <c r="K103" s="44">
        <v>191125</v>
      </c>
      <c r="L103" s="44"/>
      <c r="M103" s="44">
        <v>316924</v>
      </c>
      <c r="N103" s="44"/>
      <c r="O103" s="44">
        <v>0</v>
      </c>
      <c r="P103" s="44"/>
      <c r="Q103" s="44">
        <f>1691376+353429</f>
        <v>2044805</v>
      </c>
      <c r="R103" s="44"/>
      <c r="S103" s="44">
        <v>0</v>
      </c>
      <c r="T103" s="44"/>
      <c r="U103" s="44">
        <v>47049</v>
      </c>
      <c r="V103" s="44"/>
      <c r="W103" s="44">
        <f t="shared" si="2"/>
        <v>6449996</v>
      </c>
      <c r="X103" s="44"/>
      <c r="Y103" s="44">
        <v>14671475</v>
      </c>
      <c r="Z103" s="44"/>
      <c r="AA103" s="44">
        <f>+'Stmt net assets'!Y103</f>
        <v>14701537</v>
      </c>
      <c r="AB103" s="44"/>
      <c r="AC103" s="44">
        <f>+Y103+'Stmt of activities-GA rev'!AC103-'Stmt of activities-GAexp'!W103-AA103</f>
        <v>0</v>
      </c>
    </row>
    <row r="104" spans="1:29" s="47" customFormat="1" ht="12.75" customHeight="1">
      <c r="A104" s="47" t="s">
        <v>129</v>
      </c>
      <c r="B104" s="51"/>
      <c r="C104" s="47" t="s">
        <v>80</v>
      </c>
      <c r="E104" s="44">
        <v>1984690</v>
      </c>
      <c r="F104" s="44"/>
      <c r="G104" s="44">
        <v>26921</v>
      </c>
      <c r="H104" s="44"/>
      <c r="I104" s="44">
        <v>40509</v>
      </c>
      <c r="J104" s="44"/>
      <c r="K104" s="44">
        <v>491</v>
      </c>
      <c r="L104" s="44"/>
      <c r="M104" s="44">
        <v>988755</v>
      </c>
      <c r="N104" s="44"/>
      <c r="O104" s="44">
        <v>0</v>
      </c>
      <c r="P104" s="44"/>
      <c r="Q104" s="44">
        <v>449327</v>
      </c>
      <c r="R104" s="44"/>
      <c r="S104" s="44">
        <v>1064</v>
      </c>
      <c r="T104" s="44"/>
      <c r="U104" s="44">
        <v>154920</v>
      </c>
      <c r="V104" s="44"/>
      <c r="W104" s="44">
        <f t="shared" si="2"/>
        <v>3646677</v>
      </c>
      <c r="X104" s="44"/>
      <c r="Y104" s="44">
        <v>2820238</v>
      </c>
      <c r="Z104" s="44"/>
      <c r="AA104" s="44">
        <f>+'Stmt net assets'!Y104</f>
        <v>2615442</v>
      </c>
      <c r="AB104" s="44"/>
      <c r="AC104" s="44">
        <f>+Y104+'Stmt of activities-GA rev'!AC104-'Stmt of activities-GAexp'!W104-AA104</f>
        <v>0</v>
      </c>
    </row>
    <row r="105" spans="1:29" s="47" customFormat="1" ht="12.75" customHeight="1">
      <c r="A105" s="47" t="s">
        <v>130</v>
      </c>
      <c r="B105" s="51"/>
      <c r="C105" s="47" t="s">
        <v>66</v>
      </c>
      <c r="E105" s="44">
        <f>6030286+6439583+1325128</f>
        <v>13794997</v>
      </c>
      <c r="F105" s="44"/>
      <c r="G105" s="44">
        <v>0</v>
      </c>
      <c r="H105" s="44"/>
      <c r="I105" s="44">
        <v>281663</v>
      </c>
      <c r="J105" s="44"/>
      <c r="K105" s="44">
        <v>904767</v>
      </c>
      <c r="L105" s="44"/>
      <c r="M105" s="44">
        <v>5285196</v>
      </c>
      <c r="N105" s="44"/>
      <c r="O105" s="44">
        <v>0</v>
      </c>
      <c r="P105" s="44"/>
      <c r="Q105" s="44">
        <v>5817955</v>
      </c>
      <c r="R105" s="44"/>
      <c r="S105" s="44">
        <v>0</v>
      </c>
      <c r="T105" s="44"/>
      <c r="U105" s="44">
        <v>1225990</v>
      </c>
      <c r="V105" s="44"/>
      <c r="W105" s="44">
        <f t="shared" si="2"/>
        <v>27310568</v>
      </c>
      <c r="X105" s="44"/>
      <c r="Y105" s="44">
        <v>118433051</v>
      </c>
      <c r="Z105" s="44"/>
      <c r="AA105" s="44">
        <f>+'Stmt net assets'!Y105</f>
        <v>122921996</v>
      </c>
      <c r="AB105" s="44"/>
      <c r="AC105" s="44">
        <f>+Y105+'Stmt of activities-GA rev'!AC105-'Stmt of activities-GAexp'!W105-AA105</f>
        <v>0</v>
      </c>
    </row>
    <row r="106" spans="1:29" s="47" customFormat="1" ht="12.75" customHeight="1">
      <c r="A106" s="47" t="s">
        <v>131</v>
      </c>
      <c r="B106" s="51"/>
      <c r="C106" s="47" t="s">
        <v>13</v>
      </c>
      <c r="E106" s="44">
        <v>6474982</v>
      </c>
      <c r="F106" s="44"/>
      <c r="G106" s="44">
        <v>545095</v>
      </c>
      <c r="H106" s="44"/>
      <c r="I106" s="44">
        <v>1043393</v>
      </c>
      <c r="J106" s="44"/>
      <c r="K106" s="44">
        <v>1438345</v>
      </c>
      <c r="L106" s="44"/>
      <c r="M106" s="44">
        <v>9612434</v>
      </c>
      <c r="N106" s="44"/>
      <c r="O106" s="44">
        <v>0</v>
      </c>
      <c r="P106" s="44"/>
      <c r="Q106" s="44">
        <v>7744245</v>
      </c>
      <c r="R106" s="44"/>
      <c r="S106" s="44">
        <v>0</v>
      </c>
      <c r="T106" s="44"/>
      <c r="U106" s="44">
        <v>1258931</v>
      </c>
      <c r="V106" s="44"/>
      <c r="W106" s="44">
        <f t="shared" si="2"/>
        <v>28117425</v>
      </c>
      <c r="X106" s="44"/>
      <c r="Y106" s="44">
        <v>98271896</v>
      </c>
      <c r="Z106" s="44"/>
      <c r="AA106" s="44">
        <f>+'Stmt net assets'!Y106</f>
        <v>97714101</v>
      </c>
      <c r="AB106" s="44"/>
      <c r="AC106" s="44">
        <f>+Y106+'Stmt of activities-GA rev'!AC106-'Stmt of activities-GAexp'!W106-AA106</f>
        <v>0</v>
      </c>
    </row>
    <row r="107" spans="1:29" s="47" customFormat="1" ht="12.75" customHeight="1">
      <c r="A107" s="47" t="s">
        <v>38</v>
      </c>
      <c r="B107" s="51"/>
      <c r="C107" s="47" t="s">
        <v>132</v>
      </c>
      <c r="E107" s="44">
        <v>3375949</v>
      </c>
      <c r="F107" s="44"/>
      <c r="G107" s="44">
        <v>0</v>
      </c>
      <c r="H107" s="44"/>
      <c r="I107" s="44">
        <v>615649</v>
      </c>
      <c r="J107" s="44"/>
      <c r="K107" s="44">
        <v>0</v>
      </c>
      <c r="L107" s="44"/>
      <c r="M107" s="44">
        <v>730626</v>
      </c>
      <c r="N107" s="44"/>
      <c r="O107" s="44">
        <v>610653</v>
      </c>
      <c r="P107" s="44"/>
      <c r="Q107" s="44">
        <v>1090236</v>
      </c>
      <c r="R107" s="44"/>
      <c r="S107" s="44">
        <v>47186</v>
      </c>
      <c r="T107" s="44"/>
      <c r="U107" s="44">
        <v>109611</v>
      </c>
      <c r="V107" s="44"/>
      <c r="W107" s="44">
        <f t="shared" si="2"/>
        <v>6579910</v>
      </c>
      <c r="X107" s="44"/>
      <c r="Y107" s="44">
        <v>3803652</v>
      </c>
      <c r="Z107" s="44"/>
      <c r="AA107" s="44">
        <f>+'Stmt net assets'!Y107</f>
        <v>4235645</v>
      </c>
      <c r="AB107" s="44"/>
      <c r="AC107" s="44">
        <f>+Y107+'Stmt of activities-GA rev'!AC107-'Stmt of activities-GAexp'!W107-AA107</f>
        <v>0</v>
      </c>
    </row>
    <row r="108" spans="1:29" s="47" customFormat="1" ht="12.75" customHeight="1">
      <c r="A108" s="47" t="s">
        <v>133</v>
      </c>
      <c r="B108" s="51"/>
      <c r="C108" s="47" t="s">
        <v>27</v>
      </c>
      <c r="E108" s="44">
        <v>8812839</v>
      </c>
      <c r="F108" s="44"/>
      <c r="G108" s="44">
        <v>146451</v>
      </c>
      <c r="H108" s="44"/>
      <c r="I108" s="44">
        <v>3350070</v>
      </c>
      <c r="J108" s="44"/>
      <c r="K108" s="44">
        <v>2514940</v>
      </c>
      <c r="L108" s="44"/>
      <c r="M108" s="44">
        <v>4669006</v>
      </c>
      <c r="N108" s="44"/>
      <c r="O108" s="44">
        <v>705039</v>
      </c>
      <c r="P108" s="44"/>
      <c r="Q108" s="44">
        <v>6550823</v>
      </c>
      <c r="R108" s="44"/>
      <c r="S108" s="44">
        <v>0</v>
      </c>
      <c r="T108" s="44"/>
      <c r="U108" s="44">
        <v>1418440</v>
      </c>
      <c r="V108" s="44"/>
      <c r="W108" s="44">
        <f t="shared" si="2"/>
        <v>28167608</v>
      </c>
      <c r="X108" s="44"/>
      <c r="Y108" s="44">
        <v>84987207</v>
      </c>
      <c r="Z108" s="44"/>
      <c r="AA108" s="44">
        <f>+'Stmt net assets'!Y108</f>
        <v>87342020</v>
      </c>
      <c r="AB108" s="44"/>
      <c r="AC108" s="44">
        <f>+Y108+'Stmt of activities-GA rev'!AC108-'Stmt of activities-GAexp'!W108-AA108</f>
        <v>0</v>
      </c>
    </row>
    <row r="109" spans="1:29" s="47" customFormat="1" ht="12.75" customHeight="1">
      <c r="A109" s="47" t="s">
        <v>482</v>
      </c>
      <c r="B109" s="51"/>
      <c r="C109" s="47" t="s">
        <v>45</v>
      </c>
      <c r="E109" s="44">
        <v>4715087</v>
      </c>
      <c r="F109" s="44"/>
      <c r="G109" s="44">
        <v>156600</v>
      </c>
      <c r="H109" s="44"/>
      <c r="I109" s="44">
        <v>1566486</v>
      </c>
      <c r="J109" s="44"/>
      <c r="K109" s="44">
        <v>1656959</v>
      </c>
      <c r="L109" s="44"/>
      <c r="M109" s="44">
        <v>2301543</v>
      </c>
      <c r="N109" s="44"/>
      <c r="O109" s="44">
        <v>0</v>
      </c>
      <c r="P109" s="44"/>
      <c r="Q109" s="44">
        <v>2048601</v>
      </c>
      <c r="R109" s="44"/>
      <c r="S109" s="44">
        <v>0</v>
      </c>
      <c r="T109" s="44"/>
      <c r="U109" s="44">
        <v>95598</v>
      </c>
      <c r="V109" s="44"/>
      <c r="W109" s="44">
        <f t="shared" si="2"/>
        <v>12540874</v>
      </c>
      <c r="X109" s="44"/>
      <c r="Y109" s="44">
        <v>110774063</v>
      </c>
      <c r="Z109" s="44"/>
      <c r="AA109" s="44">
        <f>+'Stmt net assets'!Y109</f>
        <v>111584654</v>
      </c>
      <c r="AB109" s="44"/>
      <c r="AC109" s="44">
        <f>+Y109+'Stmt of activities-GA rev'!AC109-'Stmt of activities-GAexp'!W109-AA109</f>
        <v>0</v>
      </c>
    </row>
    <row r="110" spans="1:29" s="47" customFormat="1" ht="12.75" customHeight="1">
      <c r="A110" s="47" t="s">
        <v>136</v>
      </c>
      <c r="B110" s="51"/>
      <c r="C110" s="47" t="s">
        <v>136</v>
      </c>
      <c r="E110" s="44">
        <v>2072007</v>
      </c>
      <c r="F110" s="44"/>
      <c r="G110" s="44">
        <v>286685</v>
      </c>
      <c r="H110" s="44"/>
      <c r="I110" s="44">
        <v>235673</v>
      </c>
      <c r="J110" s="44"/>
      <c r="K110" s="44">
        <v>285627</v>
      </c>
      <c r="L110" s="44"/>
      <c r="M110" s="44">
        <v>527768</v>
      </c>
      <c r="N110" s="44"/>
      <c r="O110" s="44">
        <v>0</v>
      </c>
      <c r="P110" s="44"/>
      <c r="Q110" s="44">
        <v>1434658</v>
      </c>
      <c r="R110" s="44"/>
      <c r="S110" s="44">
        <v>0</v>
      </c>
      <c r="T110" s="44"/>
      <c r="U110" s="44">
        <v>13445</v>
      </c>
      <c r="V110" s="44"/>
      <c r="W110" s="44">
        <f>SUM(E110:U110)</f>
        <v>4855863</v>
      </c>
      <c r="X110" s="44"/>
      <c r="Y110" s="44">
        <v>13396719</v>
      </c>
      <c r="Z110" s="44"/>
      <c r="AA110" s="44">
        <f>+'Stmt net assets'!Y110</f>
        <v>12435332</v>
      </c>
      <c r="AB110" s="44"/>
      <c r="AC110" s="44">
        <f>+Y110+'Stmt of activities-GA rev'!AC110-'Stmt of activities-GAexp'!W110-AA110</f>
        <v>0</v>
      </c>
    </row>
    <row r="111" spans="1:29" s="47" customFormat="1" ht="12.75" customHeight="1">
      <c r="A111" s="47" t="s">
        <v>137</v>
      </c>
      <c r="B111" s="51"/>
      <c r="C111" s="47" t="s">
        <v>22</v>
      </c>
      <c r="E111" s="44">
        <v>10048146</v>
      </c>
      <c r="F111" s="44"/>
      <c r="G111" s="44">
        <v>624117</v>
      </c>
      <c r="H111" s="44"/>
      <c r="I111" s="44">
        <v>1349541</v>
      </c>
      <c r="J111" s="44"/>
      <c r="K111" s="44">
        <v>1809918</v>
      </c>
      <c r="L111" s="44"/>
      <c r="M111" s="44">
        <v>3511591</v>
      </c>
      <c r="N111" s="44"/>
      <c r="O111" s="44">
        <v>0</v>
      </c>
      <c r="P111" s="44"/>
      <c r="Q111" s="44">
        <v>2758218</v>
      </c>
      <c r="R111" s="44"/>
      <c r="S111" s="44">
        <v>0</v>
      </c>
      <c r="T111" s="44"/>
      <c r="U111" s="44">
        <v>258757</v>
      </c>
      <c r="V111" s="44"/>
      <c r="W111" s="44">
        <f>SUM(E111:U111)</f>
        <v>20360288</v>
      </c>
      <c r="X111" s="44"/>
      <c r="Y111" s="44">
        <v>55058879</v>
      </c>
      <c r="Z111" s="44"/>
      <c r="AA111" s="44">
        <f>+'Stmt net assets'!Y111</f>
        <v>58228106</v>
      </c>
      <c r="AB111" s="44"/>
      <c r="AC111" s="44">
        <f>+Y111+'Stmt of activities-GA rev'!AC111-'Stmt of activities-GAexp'!W111-AA111</f>
        <v>0</v>
      </c>
    </row>
    <row r="112" spans="1:29" s="47" customFormat="1" ht="12.75" hidden="1" customHeight="1">
      <c r="A112" s="47" t="s">
        <v>138</v>
      </c>
      <c r="B112" s="51"/>
      <c r="C112" s="47" t="s">
        <v>139</v>
      </c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>
        <f t="shared" si="2"/>
        <v>0</v>
      </c>
      <c r="X112" s="44"/>
      <c r="Y112" s="44"/>
      <c r="Z112" s="44"/>
      <c r="AA112" s="44">
        <f>+'Stmt net assets'!Y112</f>
        <v>0</v>
      </c>
      <c r="AB112" s="44"/>
      <c r="AC112" s="44">
        <f>+Y112+'Stmt of activities-GA rev'!AC112-'Stmt of activities-GAexp'!W112-AA112</f>
        <v>0</v>
      </c>
    </row>
    <row r="113" spans="1:29" s="47" customFormat="1" ht="12.75" customHeight="1">
      <c r="A113" s="47" t="s">
        <v>140</v>
      </c>
      <c r="B113" s="51"/>
      <c r="C113" s="47" t="s">
        <v>66</v>
      </c>
      <c r="E113" s="44">
        <f>13760327+9666999</f>
        <v>23427326</v>
      </c>
      <c r="F113" s="44"/>
      <c r="G113" s="44">
        <v>0</v>
      </c>
      <c r="H113" s="44"/>
      <c r="I113" s="44">
        <v>13254478</v>
      </c>
      <c r="J113" s="44"/>
      <c r="K113" s="44">
        <v>0</v>
      </c>
      <c r="L113" s="44"/>
      <c r="M113" s="44">
        <v>0</v>
      </c>
      <c r="N113" s="44"/>
      <c r="O113" s="44">
        <v>13404095</v>
      </c>
      <c r="P113" s="44"/>
      <c r="Q113" s="44">
        <v>13755091</v>
      </c>
      <c r="R113" s="44"/>
      <c r="S113" s="44">
        <v>0</v>
      </c>
      <c r="T113" s="44"/>
      <c r="U113" s="44">
        <v>1144483</v>
      </c>
      <c r="V113" s="44"/>
      <c r="W113" s="44">
        <f t="shared" si="2"/>
        <v>64985473</v>
      </c>
      <c r="X113" s="44"/>
      <c r="Y113" s="44">
        <v>157442927</v>
      </c>
      <c r="Z113" s="44"/>
      <c r="AA113" s="44">
        <f>+'Stmt net assets'!Y113</f>
        <v>167248379</v>
      </c>
      <c r="AB113" s="44"/>
      <c r="AC113" s="44">
        <f>+Y113+'Stmt of activities-GA rev'!AC113-'Stmt of activities-GAexp'!W113-AA113</f>
        <v>0</v>
      </c>
    </row>
    <row r="114" spans="1:29" s="47" customFormat="1" ht="12.75" customHeight="1">
      <c r="A114" s="47" t="s">
        <v>478</v>
      </c>
      <c r="B114" s="51"/>
      <c r="C114" s="47" t="s">
        <v>92</v>
      </c>
      <c r="E114" s="44">
        <v>2492383</v>
      </c>
      <c r="F114" s="44"/>
      <c r="G114" s="44">
        <v>76916</v>
      </c>
      <c r="H114" s="44"/>
      <c r="I114" s="44">
        <v>399675</v>
      </c>
      <c r="J114" s="44"/>
      <c r="K114" s="44">
        <v>72606</v>
      </c>
      <c r="L114" s="44"/>
      <c r="M114" s="44">
        <v>2040406</v>
      </c>
      <c r="N114" s="44"/>
      <c r="O114" s="44">
        <v>0</v>
      </c>
      <c r="P114" s="44"/>
      <c r="Q114" s="44">
        <v>1944091</v>
      </c>
      <c r="R114" s="44"/>
      <c r="S114" s="44">
        <v>0</v>
      </c>
      <c r="T114" s="44"/>
      <c r="U114" s="44">
        <v>207394</v>
      </c>
      <c r="V114" s="44"/>
      <c r="W114" s="44">
        <f t="shared" si="2"/>
        <v>7233471</v>
      </c>
      <c r="X114" s="44"/>
      <c r="Y114" s="44">
        <v>16983286</v>
      </c>
      <c r="Z114" s="44"/>
      <c r="AA114" s="44">
        <f>+'Stmt net assets'!Y114</f>
        <v>16571481</v>
      </c>
      <c r="AB114" s="44"/>
      <c r="AC114" s="44">
        <f>+Y114+'Stmt of activities-GA rev'!AC114-'Stmt of activities-GAexp'!W114-AA114</f>
        <v>0</v>
      </c>
    </row>
    <row r="115" spans="1:29" s="47" customFormat="1" ht="12.75" customHeight="1">
      <c r="A115" s="47" t="s">
        <v>141</v>
      </c>
      <c r="B115" s="51"/>
      <c r="C115" s="47" t="s">
        <v>27</v>
      </c>
      <c r="E115" s="44">
        <f>12371712+10289314</f>
        <v>22661026</v>
      </c>
      <c r="F115" s="44"/>
      <c r="G115" s="44">
        <v>3280667</v>
      </c>
      <c r="H115" s="44"/>
      <c r="I115" s="44">
        <v>2020450</v>
      </c>
      <c r="J115" s="44"/>
      <c r="K115" s="44">
        <v>5622461</v>
      </c>
      <c r="L115" s="44"/>
      <c r="M115" s="44">
        <v>2969914</v>
      </c>
      <c r="N115" s="44"/>
      <c r="O115" s="44">
        <v>4700773</v>
      </c>
      <c r="P115" s="44"/>
      <c r="Q115" s="44">
        <v>7620762</v>
      </c>
      <c r="R115" s="44"/>
      <c r="S115" s="44">
        <v>0</v>
      </c>
      <c r="T115" s="44"/>
      <c r="U115" s="44">
        <v>2064970</v>
      </c>
      <c r="V115" s="44"/>
      <c r="W115" s="44">
        <f t="shared" si="2"/>
        <v>50941023</v>
      </c>
      <c r="X115" s="44"/>
      <c r="Y115" s="44">
        <v>30099712</v>
      </c>
      <c r="Z115" s="44"/>
      <c r="AA115" s="44">
        <f>+'Stmt net assets'!Y115</f>
        <v>32796137</v>
      </c>
      <c r="AB115" s="44"/>
      <c r="AC115" s="44">
        <f>+Y115+'Stmt of activities-GA rev'!AC115-'Stmt of activities-GAexp'!W115-AA115</f>
        <v>0</v>
      </c>
    </row>
    <row r="116" spans="1:29" s="47" customFormat="1" ht="12.75" customHeight="1">
      <c r="A116" s="47" t="s">
        <v>142</v>
      </c>
      <c r="B116" s="51"/>
      <c r="C116" s="47" t="s">
        <v>102</v>
      </c>
      <c r="E116" s="44">
        <v>18208576</v>
      </c>
      <c r="F116" s="44"/>
      <c r="G116" s="44">
        <v>913831</v>
      </c>
      <c r="H116" s="44"/>
      <c r="I116" s="44">
        <v>1703779</v>
      </c>
      <c r="J116" s="44"/>
      <c r="K116" s="44">
        <v>921428</v>
      </c>
      <c r="L116" s="44"/>
      <c r="M116" s="44">
        <v>4540208</v>
      </c>
      <c r="N116" s="44"/>
      <c r="O116" s="44">
        <v>0</v>
      </c>
      <c r="P116" s="44"/>
      <c r="Q116" s="44">
        <v>7903080</v>
      </c>
      <c r="R116" s="44"/>
      <c r="S116" s="44">
        <v>0</v>
      </c>
      <c r="T116" s="44"/>
      <c r="U116" s="44">
        <v>530870</v>
      </c>
      <c r="V116" s="44"/>
      <c r="W116" s="44">
        <f t="shared" si="2"/>
        <v>34721772</v>
      </c>
      <c r="X116" s="44"/>
      <c r="Y116" s="44">
        <v>38019411</v>
      </c>
      <c r="Z116" s="44"/>
      <c r="AA116" s="44">
        <f>+'Stmt net assets'!Y116</f>
        <v>39944175</v>
      </c>
      <c r="AB116" s="44"/>
      <c r="AC116" s="44">
        <f>+Y116+'Stmt of activities-GA rev'!AC116-'Stmt of activities-GAexp'!W116-AA116</f>
        <v>0</v>
      </c>
    </row>
    <row r="117" spans="1:29" s="47" customFormat="1" ht="12.75" customHeight="1">
      <c r="A117" s="47" t="s">
        <v>143</v>
      </c>
      <c r="B117" s="51"/>
      <c r="C117" s="47" t="s">
        <v>111</v>
      </c>
      <c r="E117" s="44">
        <f>3861017+2631887</f>
        <v>6492904</v>
      </c>
      <c r="F117" s="44"/>
      <c r="G117" s="44">
        <v>195983</v>
      </c>
      <c r="H117" s="44"/>
      <c r="I117" s="44">
        <v>498379</v>
      </c>
      <c r="J117" s="44"/>
      <c r="K117" s="44">
        <v>802169</v>
      </c>
      <c r="L117" s="44"/>
      <c r="M117" s="44">
        <v>3090437</v>
      </c>
      <c r="N117" s="44"/>
      <c r="O117" s="44">
        <v>0</v>
      </c>
      <c r="P117" s="44"/>
      <c r="Q117" s="44">
        <v>4125692</v>
      </c>
      <c r="R117" s="44"/>
      <c r="S117" s="44">
        <v>0</v>
      </c>
      <c r="T117" s="44"/>
      <c r="U117" s="44">
        <v>354128</v>
      </c>
      <c r="V117" s="44"/>
      <c r="W117" s="44">
        <f t="shared" si="2"/>
        <v>15559692</v>
      </c>
      <c r="X117" s="44"/>
      <c r="Y117" s="44">
        <v>66911522</v>
      </c>
      <c r="Z117" s="44"/>
      <c r="AA117" s="44">
        <f>+'Stmt net assets'!Y117</f>
        <v>70189294</v>
      </c>
      <c r="AB117" s="44"/>
      <c r="AC117" s="44">
        <f>+Y117+'Stmt of activities-GA rev'!AC117-'Stmt of activities-GAexp'!W117-AA117</f>
        <v>0</v>
      </c>
    </row>
    <row r="118" spans="1:29" s="47" customFormat="1" ht="12.75" customHeight="1">
      <c r="A118" s="47" t="s">
        <v>144</v>
      </c>
      <c r="B118" s="51"/>
      <c r="C118" s="47" t="s">
        <v>88</v>
      </c>
      <c r="E118" s="44">
        <v>16217669</v>
      </c>
      <c r="F118" s="44"/>
      <c r="G118" s="44">
        <v>0</v>
      </c>
      <c r="H118" s="44"/>
      <c r="I118" s="44">
        <v>1231283</v>
      </c>
      <c r="J118" s="44"/>
      <c r="K118" s="44">
        <v>3331755</v>
      </c>
      <c r="L118" s="44"/>
      <c r="M118" s="44">
        <v>5460764</v>
      </c>
      <c r="N118" s="44"/>
      <c r="O118" s="44">
        <v>0</v>
      </c>
      <c r="P118" s="44"/>
      <c r="Q118" s="44">
        <v>7990138</v>
      </c>
      <c r="R118" s="44"/>
      <c r="S118" s="44">
        <v>0</v>
      </c>
      <c r="T118" s="44"/>
      <c r="U118" s="44">
        <v>109812</v>
      </c>
      <c r="V118" s="44"/>
      <c r="W118" s="44">
        <f t="shared" si="2"/>
        <v>34341421</v>
      </c>
      <c r="X118" s="44"/>
      <c r="Y118" s="44">
        <v>53189321</v>
      </c>
      <c r="Z118" s="44"/>
      <c r="AA118" s="44">
        <f>+'Stmt net assets'!Y118</f>
        <v>55163783</v>
      </c>
      <c r="AB118" s="44"/>
      <c r="AC118" s="44">
        <f>+Y118+'Stmt of activities-GA rev'!AC118-'Stmt of activities-GAexp'!W118-AA118</f>
        <v>0</v>
      </c>
    </row>
    <row r="119" spans="1:29" s="47" customFormat="1" ht="12.75" customHeight="1">
      <c r="A119" s="47" t="s">
        <v>36</v>
      </c>
      <c r="B119" s="51"/>
      <c r="C119" s="47" t="s">
        <v>145</v>
      </c>
      <c r="E119" s="44">
        <f>1395285+826356</f>
        <v>2221641</v>
      </c>
      <c r="F119" s="44"/>
      <c r="G119" s="44">
        <v>303184</v>
      </c>
      <c r="H119" s="44"/>
      <c r="I119" s="44">
        <v>122181</v>
      </c>
      <c r="J119" s="44"/>
      <c r="K119" s="44">
        <v>44552</v>
      </c>
      <c r="L119" s="44"/>
      <c r="M119" s="44">
        <v>779649</v>
      </c>
      <c r="N119" s="44"/>
      <c r="O119" s="44">
        <v>2798</v>
      </c>
      <c r="P119" s="44"/>
      <c r="Q119" s="44">
        <v>587366</v>
      </c>
      <c r="R119" s="44"/>
      <c r="S119" s="44">
        <v>0</v>
      </c>
      <c r="T119" s="44"/>
      <c r="U119" s="44">
        <v>20727</v>
      </c>
      <c r="V119" s="44"/>
      <c r="W119" s="44">
        <f t="shared" si="2"/>
        <v>4082098</v>
      </c>
      <c r="X119" s="44"/>
      <c r="Y119" s="44">
        <v>8142433</v>
      </c>
      <c r="Z119" s="44"/>
      <c r="AA119" s="44">
        <f>+'Stmt net assets'!Y119</f>
        <v>8723563</v>
      </c>
      <c r="AB119" s="44"/>
      <c r="AC119" s="44">
        <f>+Y119+'Stmt of activities-GA rev'!AC119-'Stmt of activities-GAexp'!W119-AA119</f>
        <v>0</v>
      </c>
    </row>
    <row r="120" spans="1:29" s="47" customFormat="1" ht="12.75" customHeight="1">
      <c r="A120" s="47" t="s">
        <v>146</v>
      </c>
      <c r="B120" s="51"/>
      <c r="C120" s="47" t="s">
        <v>147</v>
      </c>
      <c r="E120" s="44">
        <v>3400262</v>
      </c>
      <c r="F120" s="44"/>
      <c r="G120" s="44">
        <v>800</v>
      </c>
      <c r="H120" s="44"/>
      <c r="I120" s="44">
        <v>347952</v>
      </c>
      <c r="J120" s="44"/>
      <c r="K120" s="44">
        <v>663097</v>
      </c>
      <c r="L120" s="44"/>
      <c r="M120" s="44">
        <v>1226241</v>
      </c>
      <c r="N120" s="44"/>
      <c r="O120" s="44">
        <v>0</v>
      </c>
      <c r="P120" s="44"/>
      <c r="Q120" s="44">
        <v>1346407</v>
      </c>
      <c r="R120" s="44"/>
      <c r="S120" s="44">
        <v>0</v>
      </c>
      <c r="T120" s="44"/>
      <c r="U120" s="44">
        <v>31791</v>
      </c>
      <c r="V120" s="44"/>
      <c r="W120" s="44">
        <f t="shared" si="2"/>
        <v>7016550</v>
      </c>
      <c r="X120" s="44"/>
      <c r="Y120" s="44">
        <v>17540720</v>
      </c>
      <c r="Z120" s="44"/>
      <c r="AA120" s="44">
        <f>+'Stmt net assets'!Y120</f>
        <v>16973343</v>
      </c>
      <c r="AB120" s="44"/>
      <c r="AC120" s="44">
        <f>+Y120+'Stmt of activities-GA rev'!AC120-'Stmt of activities-GAexp'!W120-AA120</f>
        <v>0</v>
      </c>
    </row>
    <row r="121" spans="1:29" s="47" customFormat="1" ht="12.75" customHeight="1">
      <c r="A121" s="47" t="s">
        <v>17</v>
      </c>
      <c r="B121" s="51"/>
      <c r="C121" s="47" t="s">
        <v>17</v>
      </c>
      <c r="E121" s="44">
        <v>22346039</v>
      </c>
      <c r="F121" s="44"/>
      <c r="G121" s="44">
        <v>2021791</v>
      </c>
      <c r="H121" s="44"/>
      <c r="I121" s="44">
        <v>1582512</v>
      </c>
      <c r="J121" s="44"/>
      <c r="K121" s="44">
        <f>4807541+636040</f>
        <v>5443581</v>
      </c>
      <c r="L121" s="44"/>
      <c r="M121" s="44">
        <v>13855345</v>
      </c>
      <c r="N121" s="44"/>
      <c r="O121" s="44">
        <v>0</v>
      </c>
      <c r="P121" s="44"/>
      <c r="Q121" s="44">
        <v>12788107</v>
      </c>
      <c r="R121" s="44"/>
      <c r="S121" s="44">
        <v>0</v>
      </c>
      <c r="T121" s="44"/>
      <c r="U121" s="44">
        <v>2114164</v>
      </c>
      <c r="V121" s="44"/>
      <c r="W121" s="44">
        <f t="shared" si="2"/>
        <v>60151539</v>
      </c>
      <c r="X121" s="44"/>
      <c r="Y121" s="44">
        <v>123646264</v>
      </c>
      <c r="Z121" s="44"/>
      <c r="AA121" s="44">
        <f>+'Stmt net assets'!Y121</f>
        <v>107492515</v>
      </c>
      <c r="AB121" s="44"/>
      <c r="AC121" s="44">
        <f>+Y121+'Stmt of activities-GA rev'!AC121-'Stmt of activities-GAexp'!W121-AA121</f>
        <v>0</v>
      </c>
    </row>
    <row r="122" spans="1:29" s="47" customFormat="1" ht="12.75" customHeight="1">
      <c r="A122" s="47" t="s">
        <v>148</v>
      </c>
      <c r="B122" s="51"/>
      <c r="C122" s="47" t="s">
        <v>15</v>
      </c>
      <c r="E122" s="44">
        <v>2137745</v>
      </c>
      <c r="F122" s="44"/>
      <c r="G122" s="44">
        <v>44190</v>
      </c>
      <c r="H122" s="44"/>
      <c r="I122" s="44">
        <v>414988</v>
      </c>
      <c r="J122" s="44"/>
      <c r="K122" s="44">
        <v>203848</v>
      </c>
      <c r="L122" s="44"/>
      <c r="M122" s="44">
        <v>919320</v>
      </c>
      <c r="N122" s="44"/>
      <c r="O122" s="44">
        <v>0</v>
      </c>
      <c r="P122" s="44"/>
      <c r="Q122" s="44">
        <v>1001777</v>
      </c>
      <c r="R122" s="44"/>
      <c r="S122" s="44">
        <v>0</v>
      </c>
      <c r="T122" s="44"/>
      <c r="U122" s="44">
        <v>15826</v>
      </c>
      <c r="V122" s="44"/>
      <c r="W122" s="44">
        <f t="shared" si="2"/>
        <v>4737694</v>
      </c>
      <c r="X122" s="44"/>
      <c r="Y122" s="44">
        <v>4903057</v>
      </c>
      <c r="Z122" s="44"/>
      <c r="AA122" s="44">
        <f>+'Stmt net assets'!Y122</f>
        <v>5429595</v>
      </c>
      <c r="AB122" s="44"/>
      <c r="AC122" s="44">
        <f>+Y122+'Stmt of activities-GA rev'!AC122-'Stmt of activities-GAexp'!W122-AA122</f>
        <v>0</v>
      </c>
    </row>
    <row r="123" spans="1:29" s="47" customFormat="1" ht="12.75" customHeight="1">
      <c r="A123" s="47" t="s">
        <v>149</v>
      </c>
      <c r="B123" s="51"/>
      <c r="C123" s="47" t="s">
        <v>45</v>
      </c>
      <c r="E123" s="44">
        <v>5308647</v>
      </c>
      <c r="F123" s="44"/>
      <c r="G123" s="44">
        <v>0</v>
      </c>
      <c r="H123" s="44"/>
      <c r="I123" s="44">
        <v>464845</v>
      </c>
      <c r="J123" s="44"/>
      <c r="K123" s="44">
        <v>203022</v>
      </c>
      <c r="L123" s="44"/>
      <c r="M123" s="44">
        <v>1027835</v>
      </c>
      <c r="N123" s="44"/>
      <c r="O123" s="44">
        <v>0</v>
      </c>
      <c r="P123" s="44"/>
      <c r="Q123" s="44">
        <v>3300307</v>
      </c>
      <c r="R123" s="44"/>
      <c r="S123" s="44">
        <v>0</v>
      </c>
      <c r="T123" s="44"/>
      <c r="U123" s="44">
        <v>240374</v>
      </c>
      <c r="V123" s="44"/>
      <c r="W123" s="44">
        <f t="shared" si="2"/>
        <v>10545030</v>
      </c>
      <c r="X123" s="44"/>
      <c r="Y123" s="44">
        <v>18323839</v>
      </c>
      <c r="Z123" s="44"/>
      <c r="AA123" s="44">
        <f>+'Stmt net assets'!Y123</f>
        <v>17359317</v>
      </c>
      <c r="AB123" s="44"/>
      <c r="AC123" s="44">
        <f>+Y123+'Stmt of activities-GA rev'!AC123-'Stmt of activities-GAexp'!W123-AA123</f>
        <v>0</v>
      </c>
    </row>
    <row r="124" spans="1:29" s="47" customFormat="1" ht="12.75" customHeight="1">
      <c r="A124" s="47" t="s">
        <v>150</v>
      </c>
      <c r="B124" s="51"/>
      <c r="C124" s="47" t="s">
        <v>27</v>
      </c>
      <c r="E124" s="44">
        <v>8241523</v>
      </c>
      <c r="F124" s="44"/>
      <c r="G124" s="44">
        <v>55004</v>
      </c>
      <c r="H124" s="44"/>
      <c r="I124" s="44">
        <v>1265328</v>
      </c>
      <c r="J124" s="44"/>
      <c r="K124" s="44">
        <v>593221</v>
      </c>
      <c r="L124" s="44"/>
      <c r="M124" s="44">
        <v>2842018</v>
      </c>
      <c r="N124" s="44"/>
      <c r="O124" s="44">
        <v>3938514</v>
      </c>
      <c r="P124" s="44"/>
      <c r="Q124" s="44">
        <v>3853735</v>
      </c>
      <c r="R124" s="44"/>
      <c r="S124" s="44">
        <v>0</v>
      </c>
      <c r="T124" s="44"/>
      <c r="U124" s="44">
        <v>90874</v>
      </c>
      <c r="V124" s="44"/>
      <c r="W124" s="44">
        <f t="shared" si="2"/>
        <v>20880217</v>
      </c>
      <c r="X124" s="44"/>
      <c r="Y124" s="44">
        <v>95912693</v>
      </c>
      <c r="Z124" s="44"/>
      <c r="AA124" s="44">
        <f>+'Stmt net assets'!Y124</f>
        <v>93635324</v>
      </c>
      <c r="AB124" s="44"/>
      <c r="AC124" s="44">
        <f>+Y124+'Stmt of activities-GA rev'!AC124-'Stmt of activities-GAexp'!W124-AA124</f>
        <v>0</v>
      </c>
    </row>
    <row r="125" spans="1:29" s="47" customFormat="1" ht="12.75" customHeight="1">
      <c r="A125" s="47" t="s">
        <v>151</v>
      </c>
      <c r="B125" s="51"/>
      <c r="C125" s="47" t="s">
        <v>13</v>
      </c>
      <c r="E125" s="44">
        <v>5527270</v>
      </c>
      <c r="F125" s="44"/>
      <c r="G125" s="44">
        <v>201917</v>
      </c>
      <c r="H125" s="44"/>
      <c r="I125" s="44">
        <v>1778593</v>
      </c>
      <c r="J125" s="44"/>
      <c r="K125" s="44">
        <v>483557</v>
      </c>
      <c r="L125" s="44"/>
      <c r="M125" s="44">
        <v>2844256</v>
      </c>
      <c r="N125" s="44"/>
      <c r="O125" s="44">
        <v>660325</v>
      </c>
      <c r="P125" s="44"/>
      <c r="Q125" s="44">
        <v>2713880</v>
      </c>
      <c r="R125" s="44"/>
      <c r="S125" s="44">
        <v>0</v>
      </c>
      <c r="T125" s="44"/>
      <c r="U125" s="44">
        <v>487764</v>
      </c>
      <c r="V125" s="44"/>
      <c r="W125" s="44">
        <f t="shared" si="2"/>
        <v>14697562</v>
      </c>
      <c r="X125" s="44"/>
      <c r="Y125" s="44">
        <v>37139482</v>
      </c>
      <c r="Z125" s="44"/>
      <c r="AA125" s="44">
        <f>+'Stmt net assets'!Y125</f>
        <v>37162968</v>
      </c>
      <c r="AB125" s="44"/>
      <c r="AC125" s="44">
        <f>+Y125+'Stmt of activities-GA rev'!AC125-'Stmt of activities-GAexp'!W125-AA125</f>
        <v>0</v>
      </c>
    </row>
    <row r="126" spans="1:29" s="47" customFormat="1" ht="12.75" customHeight="1">
      <c r="A126" s="47" t="s">
        <v>481</v>
      </c>
      <c r="B126" s="51"/>
      <c r="C126" s="47" t="s">
        <v>45</v>
      </c>
      <c r="E126" s="44">
        <v>3097899</v>
      </c>
      <c r="F126" s="44"/>
      <c r="G126" s="44">
        <v>0</v>
      </c>
      <c r="H126" s="44"/>
      <c r="I126" s="44">
        <v>273049</v>
      </c>
      <c r="J126" s="44"/>
      <c r="K126" s="44">
        <v>157749</v>
      </c>
      <c r="L126" s="44"/>
      <c r="M126" s="44">
        <v>932708</v>
      </c>
      <c r="N126" s="44"/>
      <c r="O126" s="44">
        <v>498387</v>
      </c>
      <c r="P126" s="44"/>
      <c r="Q126" s="44">
        <v>1119906</v>
      </c>
      <c r="R126" s="44"/>
      <c r="S126" s="44">
        <v>0</v>
      </c>
      <c r="T126" s="44"/>
      <c r="U126" s="44">
        <v>38510</v>
      </c>
      <c r="V126" s="44"/>
      <c r="W126" s="44">
        <f t="shared" si="2"/>
        <v>6118208</v>
      </c>
      <c r="X126" s="44"/>
      <c r="Y126" s="44">
        <v>7239666</v>
      </c>
      <c r="Z126" s="44"/>
      <c r="AA126" s="44">
        <f>+'Stmt net assets'!Y126</f>
        <v>7839146</v>
      </c>
      <c r="AB126" s="44"/>
      <c r="AC126" s="44">
        <f>+Y126+'Stmt of activities-GA rev'!AC126-'Stmt of activities-GAexp'!W126-AA126</f>
        <v>0</v>
      </c>
    </row>
    <row r="127" spans="1:29" s="47" customFormat="1" ht="12.75" customHeight="1">
      <c r="A127" s="47" t="s">
        <v>152</v>
      </c>
      <c r="B127" s="51"/>
      <c r="C127" s="47" t="s">
        <v>153</v>
      </c>
      <c r="E127" s="44">
        <v>24205050</v>
      </c>
      <c r="F127" s="44"/>
      <c r="G127" s="44">
        <v>158475</v>
      </c>
      <c r="H127" s="44"/>
      <c r="I127" s="44">
        <v>917913</v>
      </c>
      <c r="J127" s="44"/>
      <c r="K127" s="44">
        <v>1782621</v>
      </c>
      <c r="L127" s="44"/>
      <c r="M127" s="44">
        <v>10089697</v>
      </c>
      <c r="N127" s="44"/>
      <c r="O127" s="44">
        <v>0</v>
      </c>
      <c r="P127" s="44"/>
      <c r="Q127" s="44">
        <v>11985745</v>
      </c>
      <c r="R127" s="44"/>
      <c r="S127" s="44">
        <v>0</v>
      </c>
      <c r="T127" s="44"/>
      <c r="U127" s="44">
        <v>296853</v>
      </c>
      <c r="V127" s="44"/>
      <c r="W127" s="44">
        <f t="shared" si="2"/>
        <v>49436354</v>
      </c>
      <c r="X127" s="44"/>
      <c r="Y127" s="44">
        <v>62804202</v>
      </c>
      <c r="Z127" s="44"/>
      <c r="AA127" s="44">
        <f>+'Stmt net assets'!Y127</f>
        <v>59779419</v>
      </c>
      <c r="AB127" s="44"/>
      <c r="AC127" s="44">
        <f>+Y127+'Stmt of activities-GA rev'!AC127-'Stmt of activities-GAexp'!W127-AA127</f>
        <v>0</v>
      </c>
    </row>
    <row r="128" spans="1:29" s="122" customFormat="1" ht="12.75" hidden="1" customHeight="1">
      <c r="A128" s="122" t="s">
        <v>154</v>
      </c>
      <c r="B128" s="124"/>
      <c r="C128" s="122" t="s">
        <v>27</v>
      </c>
      <c r="E128" s="121">
        <v>0</v>
      </c>
      <c r="F128" s="121"/>
      <c r="G128" s="121">
        <v>0</v>
      </c>
      <c r="H128" s="121"/>
      <c r="I128" s="121">
        <v>0</v>
      </c>
      <c r="J128" s="121"/>
      <c r="K128" s="121">
        <v>0</v>
      </c>
      <c r="L128" s="121"/>
      <c r="M128" s="121">
        <v>0</v>
      </c>
      <c r="N128" s="121"/>
      <c r="O128" s="121">
        <v>0</v>
      </c>
      <c r="P128" s="121"/>
      <c r="Q128" s="121">
        <v>0</v>
      </c>
      <c r="R128" s="121"/>
      <c r="S128" s="121">
        <v>0</v>
      </c>
      <c r="T128" s="121"/>
      <c r="U128" s="121">
        <v>0</v>
      </c>
      <c r="V128" s="121"/>
      <c r="W128" s="121">
        <f t="shared" si="2"/>
        <v>0</v>
      </c>
      <c r="X128" s="121"/>
      <c r="Y128" s="121">
        <v>0</v>
      </c>
      <c r="Z128" s="121"/>
      <c r="AA128" s="121">
        <f>+'Stmt net assets'!Y128</f>
        <v>0</v>
      </c>
      <c r="AB128" s="121"/>
      <c r="AC128" s="44">
        <f>+Y128+'Stmt of activities-GA rev'!AC128-'Stmt of activities-GAexp'!W128-AA128</f>
        <v>0</v>
      </c>
    </row>
    <row r="129" spans="1:34" s="47" customFormat="1" ht="12.75" customHeight="1">
      <c r="A129" s="47" t="s">
        <v>155</v>
      </c>
      <c r="B129" s="51"/>
      <c r="C129" s="47" t="s">
        <v>40</v>
      </c>
      <c r="E129" s="44">
        <f>3053326+3222559</f>
        <v>6275885</v>
      </c>
      <c r="F129" s="44"/>
      <c r="G129" s="44">
        <v>835679</v>
      </c>
      <c r="H129" s="44"/>
      <c r="I129" s="44">
        <v>620255</v>
      </c>
      <c r="J129" s="44"/>
      <c r="K129" s="44">
        <f>753711+1458854</f>
        <v>2212565</v>
      </c>
      <c r="L129" s="44"/>
      <c r="M129" s="44">
        <f>2672+2969006</f>
        <v>2971678</v>
      </c>
      <c r="N129" s="44"/>
      <c r="O129" s="44">
        <v>0</v>
      </c>
      <c r="P129" s="44"/>
      <c r="Q129" s="44">
        <f>4101522+969083</f>
        <v>5070605</v>
      </c>
      <c r="R129" s="44"/>
      <c r="S129" s="44">
        <v>0</v>
      </c>
      <c r="T129" s="44"/>
      <c r="U129" s="44">
        <v>70630</v>
      </c>
      <c r="V129" s="44"/>
      <c r="W129" s="44">
        <f t="shared" si="2"/>
        <v>18057297</v>
      </c>
      <c r="X129" s="44"/>
      <c r="Y129" s="44">
        <v>29502091</v>
      </c>
      <c r="Z129" s="44"/>
      <c r="AA129" s="44">
        <f>+'Stmt net assets'!Y129</f>
        <v>28275659</v>
      </c>
      <c r="AB129" s="44"/>
      <c r="AC129" s="44">
        <f>+Y129+'Stmt of activities-GA rev'!AC129-'Stmt of activities-GAexp'!W129-AA129</f>
        <v>0</v>
      </c>
    </row>
    <row r="130" spans="1:34" s="47" customFormat="1" ht="12.75" customHeight="1">
      <c r="B130" s="51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8" t="s">
        <v>484</v>
      </c>
      <c r="AB130" s="44"/>
      <c r="AC130" s="44"/>
    </row>
    <row r="131" spans="1:34" s="47" customFormat="1" ht="12.75" customHeight="1">
      <c r="A131" s="47" t="s">
        <v>156</v>
      </c>
      <c r="B131" s="51"/>
      <c r="C131" s="47" t="s">
        <v>156</v>
      </c>
      <c r="E131" s="46">
        <f>7355049+6518445+296923</f>
        <v>14170417</v>
      </c>
      <c r="F131" s="46"/>
      <c r="G131" s="46">
        <v>1232594</v>
      </c>
      <c r="H131" s="46"/>
      <c r="I131" s="46">
        <v>1461268</v>
      </c>
      <c r="J131" s="46"/>
      <c r="K131" s="46">
        <v>1258080</v>
      </c>
      <c r="L131" s="46"/>
      <c r="M131" s="46">
        <f>953341+5170585</f>
        <v>6123926</v>
      </c>
      <c r="N131" s="46"/>
      <c r="O131" s="46">
        <v>0</v>
      </c>
      <c r="P131" s="46"/>
      <c r="Q131" s="46">
        <f>839695+4493935</f>
        <v>5333630</v>
      </c>
      <c r="R131" s="46"/>
      <c r="S131" s="46">
        <v>0</v>
      </c>
      <c r="T131" s="46"/>
      <c r="U131" s="46">
        <v>177152</v>
      </c>
      <c r="V131" s="46"/>
      <c r="W131" s="46">
        <f t="shared" si="2"/>
        <v>29757067</v>
      </c>
      <c r="X131" s="46"/>
      <c r="Y131" s="46">
        <v>65015107</v>
      </c>
      <c r="Z131" s="46"/>
      <c r="AA131" s="46">
        <f>+'Stmt net assets'!Y131</f>
        <v>62060565</v>
      </c>
      <c r="AB131" s="46"/>
      <c r="AC131" s="46">
        <f>+Y131+'Stmt of activities-GA rev'!AC131-'Stmt of activities-GAexp'!W131-AA131</f>
        <v>0</v>
      </c>
      <c r="AD131" s="46"/>
      <c r="AE131" s="46"/>
      <c r="AF131" s="46"/>
      <c r="AG131" s="46"/>
      <c r="AH131" s="46"/>
    </row>
    <row r="132" spans="1:34" s="47" customFormat="1" ht="12.75" customHeight="1">
      <c r="A132" s="47" t="s">
        <v>157</v>
      </c>
      <c r="B132" s="51"/>
      <c r="C132" s="47" t="s">
        <v>33</v>
      </c>
      <c r="E132" s="44">
        <v>2312428</v>
      </c>
      <c r="F132" s="44"/>
      <c r="G132" s="44">
        <v>63921</v>
      </c>
      <c r="H132" s="44"/>
      <c r="I132" s="44">
        <v>75017</v>
      </c>
      <c r="J132" s="44"/>
      <c r="K132" s="44">
        <v>302641</v>
      </c>
      <c r="L132" s="44"/>
      <c r="M132" s="44">
        <v>478266</v>
      </c>
      <c r="N132" s="44"/>
      <c r="O132" s="44">
        <v>0</v>
      </c>
      <c r="P132" s="44"/>
      <c r="Q132" s="44">
        <v>643602</v>
      </c>
      <c r="R132" s="44"/>
      <c r="S132" s="44">
        <v>0</v>
      </c>
      <c r="T132" s="44"/>
      <c r="U132" s="44">
        <v>16627</v>
      </c>
      <c r="V132" s="44"/>
      <c r="W132" s="44">
        <f t="shared" si="2"/>
        <v>3892502</v>
      </c>
      <c r="X132" s="44"/>
      <c r="Y132" s="44">
        <v>6288162</v>
      </c>
      <c r="Z132" s="44"/>
      <c r="AA132" s="44">
        <f>+'Stmt net assets'!Y132</f>
        <v>6743925</v>
      </c>
      <c r="AB132" s="44"/>
      <c r="AC132" s="44">
        <f>+Y132+'Stmt of activities-GA rev'!AC132-'Stmt of activities-GAexp'!W132-AA132</f>
        <v>0</v>
      </c>
    </row>
    <row r="133" spans="1:34" s="47" customFormat="1" ht="12.75" customHeight="1">
      <c r="A133" s="47" t="s">
        <v>158</v>
      </c>
      <c r="B133" s="51"/>
      <c r="C133" s="47" t="s">
        <v>159</v>
      </c>
      <c r="E133" s="44">
        <f>3550345+3345910+926801</f>
        <v>7823056</v>
      </c>
      <c r="F133" s="44"/>
      <c r="G133" s="44">
        <v>516104</v>
      </c>
      <c r="H133" s="44"/>
      <c r="I133" s="44">
        <v>340268</v>
      </c>
      <c r="J133" s="44"/>
      <c r="K133" s="44">
        <v>995303</v>
      </c>
      <c r="L133" s="44"/>
      <c r="M133" s="44">
        <v>3146685</v>
      </c>
      <c r="N133" s="44"/>
      <c r="O133" s="44">
        <v>0</v>
      </c>
      <c r="P133" s="44"/>
      <c r="Q133" s="44">
        <v>2802315</v>
      </c>
      <c r="R133" s="44"/>
      <c r="S133" s="44">
        <v>0</v>
      </c>
      <c r="T133" s="44"/>
      <c r="U133" s="44">
        <v>843246</v>
      </c>
      <c r="V133" s="44"/>
      <c r="W133" s="44">
        <f t="shared" si="2"/>
        <v>16466977</v>
      </c>
      <c r="X133" s="44"/>
      <c r="Y133" s="44">
        <v>30606051</v>
      </c>
      <c r="Z133" s="44"/>
      <c r="AA133" s="44">
        <f>+'Stmt net assets'!Y133</f>
        <v>30280568</v>
      </c>
      <c r="AB133" s="44"/>
      <c r="AC133" s="44">
        <f>+Y133+'Stmt of activities-GA rev'!AC133-'Stmt of activities-GAexp'!W133-AA133</f>
        <v>0</v>
      </c>
    </row>
    <row r="134" spans="1:34" s="46" customFormat="1" ht="12.75" customHeight="1">
      <c r="A134" s="46" t="s">
        <v>160</v>
      </c>
      <c r="B134" s="66"/>
      <c r="C134" s="46" t="s">
        <v>111</v>
      </c>
      <c r="E134" s="44">
        <v>12041878</v>
      </c>
      <c r="F134" s="44"/>
      <c r="G134" s="44">
        <v>0</v>
      </c>
      <c r="H134" s="44"/>
      <c r="I134" s="44">
        <v>2884015</v>
      </c>
      <c r="J134" s="44"/>
      <c r="K134" s="44">
        <v>1453739</v>
      </c>
      <c r="L134" s="44"/>
      <c r="M134" s="44">
        <v>5928246</v>
      </c>
      <c r="N134" s="44"/>
      <c r="O134" s="44">
        <v>251649</v>
      </c>
      <c r="P134" s="44"/>
      <c r="Q134" s="44">
        <v>8797340</v>
      </c>
      <c r="R134" s="44"/>
      <c r="S134" s="44">
        <v>0</v>
      </c>
      <c r="T134" s="44"/>
      <c r="U134" s="44">
        <v>2214589</v>
      </c>
      <c r="V134" s="44"/>
      <c r="W134" s="44">
        <f t="shared" si="2"/>
        <v>33571456</v>
      </c>
      <c r="X134" s="44"/>
      <c r="Y134" s="44">
        <v>154531785</v>
      </c>
      <c r="Z134" s="44"/>
      <c r="AA134" s="44">
        <f>+'Stmt net assets'!Y134</f>
        <v>160887508</v>
      </c>
      <c r="AB134" s="44"/>
      <c r="AC134" s="44">
        <f>+Y134+'Stmt of activities-GA rev'!AC134-'Stmt of activities-GAexp'!W134-AA134</f>
        <v>0</v>
      </c>
    </row>
    <row r="135" spans="1:34" s="47" customFormat="1" ht="12.75" customHeight="1">
      <c r="A135" s="47" t="s">
        <v>161</v>
      </c>
      <c r="B135" s="51"/>
      <c r="C135" s="47" t="s">
        <v>15</v>
      </c>
      <c r="E135" s="44">
        <v>10456531</v>
      </c>
      <c r="F135" s="44"/>
      <c r="G135" s="44">
        <v>621374</v>
      </c>
      <c r="H135" s="44"/>
      <c r="I135" s="44">
        <v>3167858</v>
      </c>
      <c r="J135" s="44"/>
      <c r="K135" s="44">
        <v>921318</v>
      </c>
      <c r="L135" s="44"/>
      <c r="M135" s="44">
        <v>4003056</v>
      </c>
      <c r="N135" s="44"/>
      <c r="O135" s="44">
        <v>81980</v>
      </c>
      <c r="P135" s="44"/>
      <c r="Q135" s="44">
        <v>6208678</v>
      </c>
      <c r="R135" s="44"/>
      <c r="S135" s="44">
        <v>145989</v>
      </c>
      <c r="T135" s="44"/>
      <c r="U135" s="44">
        <v>1365816</v>
      </c>
      <c r="V135" s="44"/>
      <c r="W135" s="44">
        <f t="shared" si="2"/>
        <v>26972600</v>
      </c>
      <c r="X135" s="44"/>
      <c r="Y135" s="44">
        <v>29750654</v>
      </c>
      <c r="Z135" s="44"/>
      <c r="AA135" s="44">
        <f>+'Stmt net assets'!Y135</f>
        <v>27952638</v>
      </c>
      <c r="AB135" s="44"/>
      <c r="AC135" s="44">
        <f>+Y135+'Stmt of activities-GA rev'!AC135-'Stmt of activities-GAexp'!W135-AA135</f>
        <v>0</v>
      </c>
    </row>
    <row r="136" spans="1:34" s="47" customFormat="1" ht="12.75" customHeight="1">
      <c r="A136" s="47" t="s">
        <v>162</v>
      </c>
      <c r="B136" s="51"/>
      <c r="C136" s="47" t="s">
        <v>163</v>
      </c>
      <c r="E136" s="44">
        <v>11038034</v>
      </c>
      <c r="F136" s="44"/>
      <c r="G136" s="44">
        <v>178993</v>
      </c>
      <c r="H136" s="44"/>
      <c r="I136" s="44">
        <v>2701152</v>
      </c>
      <c r="J136" s="44"/>
      <c r="K136" s="44">
        <v>954362</v>
      </c>
      <c r="L136" s="44"/>
      <c r="M136" s="44">
        <v>3946215</v>
      </c>
      <c r="N136" s="44"/>
      <c r="O136" s="44">
        <v>1113534</v>
      </c>
      <c r="P136" s="44"/>
      <c r="Q136" s="44">
        <v>5683996</v>
      </c>
      <c r="R136" s="44"/>
      <c r="S136" s="44">
        <v>0</v>
      </c>
      <c r="T136" s="44"/>
      <c r="U136" s="44">
        <v>1130792</v>
      </c>
      <c r="V136" s="44"/>
      <c r="W136" s="44">
        <f t="shared" si="2"/>
        <v>26747078</v>
      </c>
      <c r="X136" s="44"/>
      <c r="Y136" s="44">
        <v>82734189</v>
      </c>
      <c r="Z136" s="44"/>
      <c r="AA136" s="44">
        <f>+'Stmt net assets'!Y136</f>
        <v>82962330</v>
      </c>
      <c r="AB136" s="44"/>
      <c r="AC136" s="44">
        <f>+Y136+'Stmt of activities-GA rev'!AC136-'Stmt of activities-GAexp'!W136-AA136</f>
        <v>0</v>
      </c>
    </row>
    <row r="137" spans="1:34" s="47" customFormat="1" ht="12.75" customHeight="1">
      <c r="A137" s="47" t="s">
        <v>164</v>
      </c>
      <c r="B137" s="51"/>
      <c r="C137" s="47" t="s">
        <v>27</v>
      </c>
      <c r="E137" s="44">
        <v>10768306</v>
      </c>
      <c r="F137" s="44"/>
      <c r="G137" s="44">
        <v>305513</v>
      </c>
      <c r="H137" s="44"/>
      <c r="I137" s="44">
        <v>1639302</v>
      </c>
      <c r="J137" s="44"/>
      <c r="K137" s="44">
        <v>909504</v>
      </c>
      <c r="L137" s="44"/>
      <c r="M137" s="44">
        <v>5016307</v>
      </c>
      <c r="N137" s="44"/>
      <c r="O137" s="44">
        <v>1154333</v>
      </c>
      <c r="P137" s="44"/>
      <c r="Q137" s="44">
        <v>2559788</v>
      </c>
      <c r="R137" s="44"/>
      <c r="S137" s="44">
        <v>0</v>
      </c>
      <c r="T137" s="44"/>
      <c r="U137" s="44">
        <v>247987</v>
      </c>
      <c r="V137" s="44"/>
      <c r="W137" s="44">
        <f t="shared" si="2"/>
        <v>22601040</v>
      </c>
      <c r="X137" s="44"/>
      <c r="Y137" s="44">
        <v>51348261</v>
      </c>
      <c r="Z137" s="44"/>
      <c r="AA137" s="44">
        <f>+'Stmt net assets'!Y137</f>
        <v>52299876</v>
      </c>
      <c r="AB137" s="44"/>
      <c r="AC137" s="44">
        <f>+Y137+'Stmt of activities-GA rev'!AC137-'Stmt of activities-GAexp'!W137-AA137</f>
        <v>0</v>
      </c>
    </row>
    <row r="138" spans="1:34" s="47" customFormat="1" ht="12.75" customHeight="1">
      <c r="A138" s="47" t="s">
        <v>53</v>
      </c>
      <c r="B138" s="51"/>
      <c r="C138" s="47" t="s">
        <v>53</v>
      </c>
      <c r="E138" s="44">
        <v>7436643</v>
      </c>
      <c r="F138" s="44"/>
      <c r="G138" s="44">
        <v>164407</v>
      </c>
      <c r="H138" s="44"/>
      <c r="I138" s="44">
        <v>994500</v>
      </c>
      <c r="J138" s="44"/>
      <c r="K138" s="44">
        <v>997825</v>
      </c>
      <c r="L138" s="44"/>
      <c r="M138" s="44">
        <v>3942501</v>
      </c>
      <c r="N138" s="44"/>
      <c r="O138" s="44">
        <v>84288</v>
      </c>
      <c r="P138" s="44"/>
      <c r="Q138" s="44">
        <v>6487965</v>
      </c>
      <c r="R138" s="44"/>
      <c r="S138" s="44">
        <v>0</v>
      </c>
      <c r="T138" s="44"/>
      <c r="U138" s="44">
        <v>110437</v>
      </c>
      <c r="V138" s="44"/>
      <c r="W138" s="44">
        <f t="shared" si="2"/>
        <v>20218566</v>
      </c>
      <c r="X138" s="44"/>
      <c r="Y138" s="44">
        <v>48956778</v>
      </c>
      <c r="Z138" s="44"/>
      <c r="AA138" s="44">
        <f>+'Stmt net assets'!Y138</f>
        <v>53268300</v>
      </c>
      <c r="AB138" s="44"/>
      <c r="AC138" s="44">
        <f>+Y138+'Stmt of activities-GA rev'!AC138-'Stmt of activities-GAexp'!W138-AA138</f>
        <v>0</v>
      </c>
    </row>
    <row r="139" spans="1:34" s="47" customFormat="1" ht="12.75" customHeight="1">
      <c r="A139" s="47" t="s">
        <v>165</v>
      </c>
      <c r="B139" s="51"/>
      <c r="C139" s="47" t="s">
        <v>92</v>
      </c>
      <c r="E139" s="44">
        <f>12274556+11790289</f>
        <v>24064845</v>
      </c>
      <c r="F139" s="44"/>
      <c r="G139" s="44">
        <v>0</v>
      </c>
      <c r="H139" s="44"/>
      <c r="I139" s="44">
        <v>7763173</v>
      </c>
      <c r="J139" s="44"/>
      <c r="K139" s="44">
        <v>1680361</v>
      </c>
      <c r="L139" s="44"/>
      <c r="M139" s="44">
        <v>16404622</v>
      </c>
      <c r="N139" s="44"/>
      <c r="O139" s="44">
        <v>0</v>
      </c>
      <c r="P139" s="44"/>
      <c r="Q139" s="44">
        <v>7889367</v>
      </c>
      <c r="R139" s="44"/>
      <c r="S139" s="44">
        <v>2191074</v>
      </c>
      <c r="T139" s="44"/>
      <c r="U139" s="44">
        <v>1531073</v>
      </c>
      <c r="V139" s="44"/>
      <c r="W139" s="44">
        <f t="shared" si="2"/>
        <v>61524515</v>
      </c>
      <c r="X139" s="44"/>
      <c r="Y139" s="44">
        <v>183354812</v>
      </c>
      <c r="Z139" s="44"/>
      <c r="AA139" s="44">
        <f>+'Stmt net assets'!Y139</f>
        <v>191459777</v>
      </c>
      <c r="AB139" s="44"/>
      <c r="AC139" s="44">
        <f>+Y139+'Stmt of activities-GA rev'!AC139-'Stmt of activities-GAexp'!W139-AA139</f>
        <v>0</v>
      </c>
    </row>
    <row r="140" spans="1:34" s="47" customFormat="1" ht="12.75" customHeight="1">
      <c r="A140" s="47" t="s">
        <v>166</v>
      </c>
      <c r="B140" s="51"/>
      <c r="C140" s="47" t="s">
        <v>92</v>
      </c>
      <c r="E140" s="44">
        <v>2605347</v>
      </c>
      <c r="F140" s="44"/>
      <c r="G140" s="44">
        <v>64865</v>
      </c>
      <c r="H140" s="44"/>
      <c r="I140" s="44">
        <v>44586</v>
      </c>
      <c r="J140" s="44"/>
      <c r="K140" s="44">
        <v>0</v>
      </c>
      <c r="L140" s="44"/>
      <c r="M140" s="44">
        <v>738865</v>
      </c>
      <c r="N140" s="44"/>
      <c r="O140" s="44">
        <v>299560</v>
      </c>
      <c r="P140" s="44"/>
      <c r="Q140" s="44">
        <v>672327</v>
      </c>
      <c r="R140" s="44"/>
      <c r="S140" s="44">
        <v>2960</v>
      </c>
      <c r="T140" s="44"/>
      <c r="U140" s="44">
        <v>31957</v>
      </c>
      <c r="V140" s="44"/>
      <c r="W140" s="44">
        <f t="shared" si="2"/>
        <v>4460467</v>
      </c>
      <c r="X140" s="44"/>
      <c r="Y140" s="44">
        <v>4553107</v>
      </c>
      <c r="Z140" s="44"/>
      <c r="AA140" s="44">
        <f>+'Stmt net assets'!Y140</f>
        <v>5947060</v>
      </c>
      <c r="AB140" s="44"/>
      <c r="AC140" s="44">
        <f>+Y140+'Stmt of activities-GA rev'!AC140-'Stmt of activities-GAexp'!W140-AA140</f>
        <v>0</v>
      </c>
    </row>
    <row r="141" spans="1:34" s="47" customFormat="1" ht="12.75" customHeight="1">
      <c r="A141" s="47" t="s">
        <v>167</v>
      </c>
      <c r="B141" s="51"/>
      <c r="C141" s="47" t="s">
        <v>66</v>
      </c>
      <c r="E141" s="44">
        <v>8910476</v>
      </c>
      <c r="F141" s="44"/>
      <c r="G141" s="44">
        <v>1380</v>
      </c>
      <c r="H141" s="44"/>
      <c r="I141" s="44">
        <v>2054304</v>
      </c>
      <c r="J141" s="44"/>
      <c r="K141" s="44">
        <v>943936</v>
      </c>
      <c r="L141" s="44"/>
      <c r="M141" s="44">
        <v>1513635</v>
      </c>
      <c r="N141" s="44"/>
      <c r="O141" s="44">
        <v>874726</v>
      </c>
      <c r="P141" s="44"/>
      <c r="Q141" s="44">
        <v>6014203</v>
      </c>
      <c r="R141" s="44"/>
      <c r="S141" s="44">
        <v>0</v>
      </c>
      <c r="T141" s="44"/>
      <c r="U141" s="44">
        <v>134109</v>
      </c>
      <c r="V141" s="44"/>
      <c r="W141" s="44">
        <f t="shared" si="2"/>
        <v>20446769</v>
      </c>
      <c r="X141" s="44"/>
      <c r="Y141" s="44">
        <v>46040737</v>
      </c>
      <c r="Z141" s="44"/>
      <c r="AA141" s="44">
        <f>+'Stmt net assets'!Y141</f>
        <v>46864361</v>
      </c>
      <c r="AB141" s="44"/>
      <c r="AC141" s="44">
        <f>+Y141+'Stmt of activities-GA rev'!AC141-'Stmt of activities-GAexp'!W141-AA141</f>
        <v>0</v>
      </c>
    </row>
    <row r="142" spans="1:34" s="47" customFormat="1" ht="12.75" customHeight="1">
      <c r="A142" s="44" t="s">
        <v>168</v>
      </c>
      <c r="B142" s="51"/>
      <c r="C142" s="44" t="s">
        <v>27</v>
      </c>
      <c r="E142" s="44">
        <f>4727460+3639936+55867</f>
        <v>8423263</v>
      </c>
      <c r="F142" s="44"/>
      <c r="G142" s="44">
        <v>284520</v>
      </c>
      <c r="H142" s="44"/>
      <c r="I142" s="44">
        <v>3163391</v>
      </c>
      <c r="J142" s="44"/>
      <c r="K142" s="44">
        <f>620457+164696</f>
        <v>785153</v>
      </c>
      <c r="L142" s="44"/>
      <c r="M142" s="44">
        <v>3011490</v>
      </c>
      <c r="N142" s="44"/>
      <c r="O142" s="44">
        <v>939330</v>
      </c>
      <c r="P142" s="44"/>
      <c r="Q142" s="44">
        <v>7159940</v>
      </c>
      <c r="R142" s="44"/>
      <c r="S142" s="44">
        <v>0</v>
      </c>
      <c r="T142" s="44"/>
      <c r="U142" s="44">
        <v>474061</v>
      </c>
      <c r="V142" s="44"/>
      <c r="W142" s="44">
        <f t="shared" si="2"/>
        <v>24241148</v>
      </c>
      <c r="X142" s="44"/>
      <c r="Y142" s="44">
        <v>43895159</v>
      </c>
      <c r="Z142" s="44"/>
      <c r="AA142" s="44">
        <f>+'Stmt net assets'!Y142</f>
        <v>45272683</v>
      </c>
      <c r="AB142" s="44"/>
      <c r="AC142" s="44">
        <f>+Y142+'Stmt of activities-GA rev'!AC142-'Stmt of activities-GAexp'!W142-AA142</f>
        <v>0</v>
      </c>
    </row>
    <row r="143" spans="1:34" s="47" customFormat="1" ht="12.75" customHeight="1">
      <c r="A143" s="47" t="s">
        <v>169</v>
      </c>
      <c r="B143" s="51"/>
      <c r="C143" s="47" t="s">
        <v>103</v>
      </c>
      <c r="E143" s="44">
        <v>23700938</v>
      </c>
      <c r="F143" s="44"/>
      <c r="G143" s="44">
        <v>1490221</v>
      </c>
      <c r="H143" s="44"/>
      <c r="I143" s="44">
        <v>1250364</v>
      </c>
      <c r="J143" s="44"/>
      <c r="K143" s="44">
        <v>15949554</v>
      </c>
      <c r="L143" s="44"/>
      <c r="M143" s="44">
        <v>7964601</v>
      </c>
      <c r="N143" s="44"/>
      <c r="O143" s="44">
        <v>0</v>
      </c>
      <c r="P143" s="44"/>
      <c r="Q143" s="44">
        <v>4073244</v>
      </c>
      <c r="R143" s="44"/>
      <c r="S143" s="44">
        <v>0</v>
      </c>
      <c r="T143" s="44"/>
      <c r="U143" s="44">
        <v>1028248</v>
      </c>
      <c r="V143" s="44"/>
      <c r="W143" s="44">
        <f t="shared" si="2"/>
        <v>55457170</v>
      </c>
      <c r="X143" s="44"/>
      <c r="Y143" s="44">
        <v>93527616</v>
      </c>
      <c r="Z143" s="44"/>
      <c r="AA143" s="44">
        <f>+'Stmt net assets'!Y143</f>
        <v>100101607</v>
      </c>
      <c r="AB143" s="44"/>
      <c r="AC143" s="44">
        <f>+Y143+'Stmt of activities-GA rev'!AC143-'Stmt of activities-GAexp'!W143-AA143</f>
        <v>0</v>
      </c>
    </row>
    <row r="144" spans="1:34" s="47" customFormat="1" ht="12.75" customHeight="1">
      <c r="A144" s="47" t="s">
        <v>170</v>
      </c>
      <c r="B144" s="51"/>
      <c r="C144" s="47" t="s">
        <v>171</v>
      </c>
      <c r="E144" s="44">
        <v>4151336</v>
      </c>
      <c r="F144" s="44"/>
      <c r="G144" s="44">
        <v>986045</v>
      </c>
      <c r="H144" s="44"/>
      <c r="I144" s="44">
        <v>181003</v>
      </c>
      <c r="J144" s="44"/>
      <c r="K144" s="44">
        <v>0</v>
      </c>
      <c r="L144" s="44"/>
      <c r="M144" s="44">
        <v>412785</v>
      </c>
      <c r="N144" s="44"/>
      <c r="O144" s="44">
        <v>302022</v>
      </c>
      <c r="P144" s="44"/>
      <c r="Q144" s="44">
        <v>1379829</v>
      </c>
      <c r="R144" s="44"/>
      <c r="S144" s="44">
        <v>0</v>
      </c>
      <c r="T144" s="44"/>
      <c r="U144" s="44">
        <v>185630</v>
      </c>
      <c r="V144" s="44"/>
      <c r="W144" s="44">
        <f t="shared" si="2"/>
        <v>7598650</v>
      </c>
      <c r="X144" s="44"/>
      <c r="Y144" s="44">
        <v>9642209</v>
      </c>
      <c r="Z144" s="44"/>
      <c r="AA144" s="44">
        <f>+'Stmt net assets'!Y144</f>
        <v>9487181</v>
      </c>
      <c r="AB144" s="44"/>
      <c r="AC144" s="44">
        <f>+Y144+'Stmt of activities-GA rev'!AC144-'Stmt of activities-GAexp'!W144-AA144</f>
        <v>0</v>
      </c>
    </row>
    <row r="145" spans="1:29" s="47" customFormat="1" ht="12.75" customHeight="1">
      <c r="A145" s="47" t="s">
        <v>172</v>
      </c>
      <c r="B145" s="51"/>
      <c r="C145" s="47" t="s">
        <v>103</v>
      </c>
      <c r="E145" s="44">
        <v>7108092</v>
      </c>
      <c r="F145" s="44"/>
      <c r="G145" s="44">
        <v>104640</v>
      </c>
      <c r="H145" s="44"/>
      <c r="I145" s="44">
        <v>36273</v>
      </c>
      <c r="J145" s="44"/>
      <c r="K145" s="44">
        <v>0</v>
      </c>
      <c r="L145" s="44"/>
      <c r="M145" s="44">
        <v>2650250</v>
      </c>
      <c r="N145" s="44"/>
      <c r="O145" s="44">
        <v>0</v>
      </c>
      <c r="P145" s="44"/>
      <c r="Q145" s="44">
        <v>2787592</v>
      </c>
      <c r="R145" s="44"/>
      <c r="S145" s="44">
        <v>539714</v>
      </c>
      <c r="T145" s="44"/>
      <c r="U145" s="44">
        <v>556550</v>
      </c>
      <c r="V145" s="44"/>
      <c r="W145" s="44">
        <f t="shared" si="2"/>
        <v>13783111</v>
      </c>
      <c r="X145" s="44"/>
      <c r="Y145" s="44">
        <v>46694337</v>
      </c>
      <c r="Z145" s="44"/>
      <c r="AA145" s="44">
        <f>+'[3]Stmt net assets'!Y145</f>
        <v>68374407</v>
      </c>
      <c r="AB145" s="44"/>
      <c r="AC145" s="44">
        <f>+Y145+'Stmt of activities-GA rev'!AC145-'Stmt of activities-GAexp'!W145-AA145</f>
        <v>0</v>
      </c>
    </row>
    <row r="146" spans="1:29" s="47" customFormat="1" ht="12.75" customHeight="1">
      <c r="A146" s="47" t="s">
        <v>66</v>
      </c>
      <c r="B146" s="51"/>
      <c r="C146" s="47" t="s">
        <v>45</v>
      </c>
      <c r="E146" s="44">
        <v>5080065</v>
      </c>
      <c r="F146" s="44"/>
      <c r="G146" s="44">
        <v>0</v>
      </c>
      <c r="H146" s="44"/>
      <c r="I146" s="44">
        <v>1267205</v>
      </c>
      <c r="J146" s="44"/>
      <c r="K146" s="44">
        <v>533346</v>
      </c>
      <c r="L146" s="44"/>
      <c r="M146" s="44">
        <v>2594464</v>
      </c>
      <c r="N146" s="44"/>
      <c r="O146" s="44">
        <v>0</v>
      </c>
      <c r="P146" s="44"/>
      <c r="Q146" s="44">
        <v>3503099</v>
      </c>
      <c r="R146" s="44"/>
      <c r="S146" s="44">
        <v>0</v>
      </c>
      <c r="T146" s="44"/>
      <c r="U146" s="44">
        <v>273054</v>
      </c>
      <c r="V146" s="44"/>
      <c r="W146" s="44">
        <f t="shared" si="2"/>
        <v>13251233</v>
      </c>
      <c r="X146" s="44"/>
      <c r="Y146" s="44">
        <v>59501370</v>
      </c>
      <c r="Z146" s="44"/>
      <c r="AA146" s="44">
        <f>+'[3]Stmt net assets'!Y146</f>
        <v>63267765</v>
      </c>
      <c r="AB146" s="44"/>
      <c r="AC146" s="44">
        <f>+Y146+'Stmt of activities-GA rev'!AC146-'Stmt of activities-GAexp'!W146-AA146</f>
        <v>0</v>
      </c>
    </row>
    <row r="147" spans="1:29" s="47" customFormat="1" ht="12.75" customHeight="1">
      <c r="A147" s="47" t="s">
        <v>173</v>
      </c>
      <c r="B147" s="51"/>
      <c r="C147" s="47" t="s">
        <v>66</v>
      </c>
      <c r="E147" s="44">
        <v>9689589</v>
      </c>
      <c r="F147" s="44"/>
      <c r="G147" s="44">
        <v>94832</v>
      </c>
      <c r="H147" s="44"/>
      <c r="I147" s="44">
        <v>2935165</v>
      </c>
      <c r="J147" s="44"/>
      <c r="K147" s="44">
        <v>676616</v>
      </c>
      <c r="L147" s="44"/>
      <c r="M147" s="44">
        <v>2790134</v>
      </c>
      <c r="N147" s="44"/>
      <c r="O147" s="44">
        <v>0</v>
      </c>
      <c r="P147" s="44"/>
      <c r="Q147" s="44">
        <v>5229735</v>
      </c>
      <c r="R147" s="44"/>
      <c r="S147" s="44">
        <v>346657</v>
      </c>
      <c r="T147" s="44"/>
      <c r="U147" s="44">
        <v>302849</v>
      </c>
      <c r="V147" s="44"/>
      <c r="W147" s="44">
        <f t="shared" ref="W147:W213" si="3">SUM(E147:U147)</f>
        <v>22065577</v>
      </c>
      <c r="X147" s="44"/>
      <c r="Y147" s="44">
        <v>50110932</v>
      </c>
      <c r="Z147" s="44"/>
      <c r="AA147" s="44">
        <f>+'[3]Stmt net assets'!Y147</f>
        <v>48339744</v>
      </c>
      <c r="AB147" s="44"/>
      <c r="AC147" s="44">
        <f>+Y147+'Stmt of activities-GA rev'!AC147-'Stmt of activities-GAexp'!W147-AA147</f>
        <v>0</v>
      </c>
    </row>
    <row r="148" spans="1:29" s="47" customFormat="1" ht="12.75" customHeight="1">
      <c r="A148" s="47" t="s">
        <v>174</v>
      </c>
      <c r="B148" s="51"/>
      <c r="C148" s="47" t="s">
        <v>45</v>
      </c>
      <c r="E148" s="44">
        <v>1867610</v>
      </c>
      <c r="F148" s="44"/>
      <c r="G148" s="44">
        <v>465512</v>
      </c>
      <c r="H148" s="44"/>
      <c r="I148" s="44">
        <v>240100</v>
      </c>
      <c r="J148" s="44"/>
      <c r="K148" s="44">
        <v>133235</v>
      </c>
      <c r="L148" s="44"/>
      <c r="M148" s="44">
        <v>768906</v>
      </c>
      <c r="N148" s="44"/>
      <c r="O148" s="44">
        <v>0</v>
      </c>
      <c r="P148" s="44"/>
      <c r="Q148" s="44">
        <v>595752</v>
      </c>
      <c r="R148" s="44"/>
      <c r="S148" s="44">
        <v>0</v>
      </c>
      <c r="T148" s="44"/>
      <c r="U148" s="44">
        <v>69078</v>
      </c>
      <c r="V148" s="44"/>
      <c r="W148" s="44">
        <f t="shared" si="3"/>
        <v>4140193</v>
      </c>
      <c r="X148" s="44"/>
      <c r="Y148" s="44">
        <v>2825465</v>
      </c>
      <c r="Z148" s="44"/>
      <c r="AA148" s="44">
        <f>+'[3]Stmt net assets'!Y148</f>
        <v>2762892</v>
      </c>
      <c r="AB148" s="44"/>
      <c r="AC148" s="44">
        <f>+Y148+'Stmt of activities-GA rev'!AC148-'Stmt of activities-GAexp'!W148-AA148</f>
        <v>0</v>
      </c>
    </row>
    <row r="149" spans="1:29" s="47" customFormat="1" ht="12.75" customHeight="1">
      <c r="A149" s="47" t="s">
        <v>175</v>
      </c>
      <c r="B149" s="51"/>
      <c r="C149" s="47" t="s">
        <v>176</v>
      </c>
      <c r="E149" s="44">
        <v>5728419</v>
      </c>
      <c r="F149" s="44"/>
      <c r="G149" s="44">
        <v>644241</v>
      </c>
      <c r="H149" s="44"/>
      <c r="I149" s="44">
        <v>952192</v>
      </c>
      <c r="J149" s="44"/>
      <c r="K149" s="44">
        <v>211150</v>
      </c>
      <c r="L149" s="44"/>
      <c r="M149" s="44">
        <v>2433003</v>
      </c>
      <c r="N149" s="44"/>
      <c r="O149" s="44">
        <v>0</v>
      </c>
      <c r="P149" s="44"/>
      <c r="Q149" s="44">
        <v>4627134</v>
      </c>
      <c r="R149" s="44"/>
      <c r="S149" s="44">
        <v>0</v>
      </c>
      <c r="T149" s="44"/>
      <c r="U149" s="44">
        <v>263523</v>
      </c>
      <c r="V149" s="44"/>
      <c r="W149" s="44">
        <f t="shared" si="3"/>
        <v>14859662</v>
      </c>
      <c r="X149" s="44"/>
      <c r="Y149" s="44">
        <v>45247900</v>
      </c>
      <c r="Z149" s="44"/>
      <c r="AA149" s="44">
        <f>+'[3]Stmt net assets'!Y149</f>
        <v>48781525</v>
      </c>
      <c r="AB149" s="44"/>
      <c r="AC149" s="44">
        <f>+Y149+'Stmt of activities-GA rev'!AC149-'Stmt of activities-GAexp'!W149-AA149</f>
        <v>0</v>
      </c>
    </row>
    <row r="150" spans="1:29" s="47" customFormat="1" ht="12.75" customHeight="1">
      <c r="A150" s="47" t="s">
        <v>177</v>
      </c>
      <c r="B150" s="51"/>
      <c r="C150" s="47" t="s">
        <v>13</v>
      </c>
      <c r="E150" s="44">
        <v>1700975</v>
      </c>
      <c r="F150" s="44"/>
      <c r="G150" s="44">
        <v>39437</v>
      </c>
      <c r="H150" s="44"/>
      <c r="I150" s="44">
        <v>37051</v>
      </c>
      <c r="J150" s="44"/>
      <c r="K150" s="44">
        <v>0</v>
      </c>
      <c r="L150" s="44"/>
      <c r="M150" s="44">
        <v>458303</v>
      </c>
      <c r="N150" s="44"/>
      <c r="O150" s="44">
        <v>0</v>
      </c>
      <c r="P150" s="44"/>
      <c r="Q150" s="44">
        <v>732436</v>
      </c>
      <c r="R150" s="44"/>
      <c r="S150" s="44">
        <v>0</v>
      </c>
      <c r="T150" s="44"/>
      <c r="U150" s="44">
        <v>89355</v>
      </c>
      <c r="V150" s="44"/>
      <c r="W150" s="44">
        <f t="shared" si="3"/>
        <v>3057557</v>
      </c>
      <c r="X150" s="44"/>
      <c r="Y150" s="44">
        <v>8528767</v>
      </c>
      <c r="Z150" s="44"/>
      <c r="AA150" s="44">
        <f>+'[3]Stmt net assets'!Y150</f>
        <v>8967783</v>
      </c>
      <c r="AB150" s="44"/>
      <c r="AC150" s="44">
        <f>+Y150+'Stmt of activities-GA rev'!AC150-'Stmt of activities-GAexp'!W150-AA150</f>
        <v>0</v>
      </c>
    </row>
    <row r="151" spans="1:29" s="47" customFormat="1" ht="12.75" customHeight="1">
      <c r="A151" s="47" t="s">
        <v>178</v>
      </c>
      <c r="B151" s="51"/>
      <c r="C151" s="47" t="s">
        <v>179</v>
      </c>
      <c r="E151" s="44">
        <v>3979748</v>
      </c>
      <c r="F151" s="44"/>
      <c r="G151" s="44">
        <v>106214</v>
      </c>
      <c r="H151" s="44"/>
      <c r="I151" s="44">
        <v>933722</v>
      </c>
      <c r="J151" s="44"/>
      <c r="K151" s="44">
        <v>486196</v>
      </c>
      <c r="L151" s="44"/>
      <c r="M151" s="44">
        <v>872400</v>
      </c>
      <c r="N151" s="44"/>
      <c r="O151" s="44">
        <v>0</v>
      </c>
      <c r="P151" s="44"/>
      <c r="Q151" s="44">
        <v>678405</v>
      </c>
      <c r="R151" s="44"/>
      <c r="S151" s="44">
        <v>0</v>
      </c>
      <c r="T151" s="44"/>
      <c r="U151" s="44">
        <v>121860</v>
      </c>
      <c r="V151" s="44"/>
      <c r="W151" s="44">
        <f t="shared" si="3"/>
        <v>7178545</v>
      </c>
      <c r="X151" s="44"/>
      <c r="Y151" s="44">
        <v>33706131</v>
      </c>
      <c r="Z151" s="44"/>
      <c r="AA151" s="44">
        <f>+'[3]Stmt net assets'!Y151</f>
        <v>34764783</v>
      </c>
      <c r="AB151" s="44"/>
      <c r="AC151" s="44">
        <f>+Y151+'Stmt of activities-GA rev'!AC151-'Stmt of activities-GAexp'!W151-AA151</f>
        <v>0</v>
      </c>
    </row>
    <row r="152" spans="1:29" s="122" customFormat="1" ht="12.75" hidden="1" customHeight="1">
      <c r="A152" s="122" t="s">
        <v>180</v>
      </c>
      <c r="B152" s="124"/>
      <c r="C152" s="122" t="s">
        <v>20</v>
      </c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>
        <f t="shared" si="3"/>
        <v>0</v>
      </c>
      <c r="X152" s="121"/>
      <c r="Y152" s="121"/>
      <c r="Z152" s="121"/>
      <c r="AA152" s="121">
        <f>+'[3]Stmt net assets'!Y152</f>
        <v>0</v>
      </c>
      <c r="AB152" s="121"/>
      <c r="AC152" s="44">
        <f>+Y152+'Stmt of activities-GA rev'!AC152-'Stmt of activities-GAexp'!W152-AA152</f>
        <v>0</v>
      </c>
    </row>
    <row r="153" spans="1:29" s="47" customFormat="1" ht="12.75" customHeight="1">
      <c r="A153" s="47" t="s">
        <v>182</v>
      </c>
      <c r="B153" s="51"/>
      <c r="C153" s="47" t="s">
        <v>183</v>
      </c>
      <c r="E153" s="44">
        <v>628671</v>
      </c>
      <c r="F153" s="44"/>
      <c r="G153" s="44">
        <v>774044</v>
      </c>
      <c r="H153" s="44"/>
      <c r="I153" s="44">
        <v>54735</v>
      </c>
      <c r="J153" s="44"/>
      <c r="K153" s="44">
        <v>14401</v>
      </c>
      <c r="L153" s="44"/>
      <c r="M153" s="44">
        <v>293586</v>
      </c>
      <c r="N153" s="44"/>
      <c r="O153" s="44">
        <v>0</v>
      </c>
      <c r="P153" s="44"/>
      <c r="Q153" s="44">
        <v>863397</v>
      </c>
      <c r="R153" s="44"/>
      <c r="S153" s="44">
        <v>0</v>
      </c>
      <c r="T153" s="44"/>
      <c r="U153" s="44">
        <v>150330</v>
      </c>
      <c r="V153" s="44"/>
      <c r="W153" s="44">
        <f t="shared" si="3"/>
        <v>2779164</v>
      </c>
      <c r="X153" s="44"/>
      <c r="Y153" s="44">
        <v>3648881</v>
      </c>
      <c r="Z153" s="44"/>
      <c r="AA153" s="44">
        <f>+'[3]Stmt net assets'!Y153</f>
        <v>3620757</v>
      </c>
      <c r="AB153" s="44"/>
      <c r="AC153" s="44">
        <f>+Y153+'Stmt of activities-GA rev'!AC153-'Stmt of activities-GAexp'!W153-AA153</f>
        <v>0</v>
      </c>
    </row>
    <row r="154" spans="1:29" s="47" customFormat="1" ht="12.75" customHeight="1">
      <c r="A154" s="47" t="s">
        <v>487</v>
      </c>
      <c r="B154" s="51"/>
      <c r="C154" s="47" t="s">
        <v>13</v>
      </c>
      <c r="E154" s="44">
        <v>3676927</v>
      </c>
      <c r="F154" s="44"/>
      <c r="G154" s="44">
        <v>125727</v>
      </c>
      <c r="H154" s="44"/>
      <c r="I154" s="44">
        <v>40646</v>
      </c>
      <c r="J154" s="44"/>
      <c r="K154" s="44">
        <v>121677</v>
      </c>
      <c r="L154" s="44"/>
      <c r="M154" s="44">
        <v>1018638</v>
      </c>
      <c r="N154" s="44"/>
      <c r="O154" s="44">
        <v>0</v>
      </c>
      <c r="P154" s="44"/>
      <c r="Q154" s="44">
        <v>1107541</v>
      </c>
      <c r="R154" s="44"/>
      <c r="S154" s="44">
        <v>0</v>
      </c>
      <c r="T154" s="44"/>
      <c r="U154" s="44">
        <v>4884</v>
      </c>
      <c r="V154" s="44"/>
      <c r="W154" s="44">
        <f>SUM(E154:U154)</f>
        <v>6096040</v>
      </c>
      <c r="X154" s="44"/>
      <c r="Y154" s="44">
        <v>6436585</v>
      </c>
      <c r="Z154" s="44"/>
      <c r="AA154" s="44">
        <f>+'[3]Stmt net assets'!Y154</f>
        <v>7350132</v>
      </c>
      <c r="AB154" s="44"/>
      <c r="AC154" s="44">
        <f>+Y154+'Stmt of activities-GA rev'!AC154-'Stmt of activities-GAexp'!W154-AA154</f>
        <v>0</v>
      </c>
    </row>
    <row r="155" spans="1:29" s="47" customFormat="1" ht="12.75" customHeight="1">
      <c r="A155" s="47" t="s">
        <v>184</v>
      </c>
      <c r="B155" s="51"/>
      <c r="C155" s="47" t="s">
        <v>89</v>
      </c>
      <c r="E155" s="44">
        <v>4565487</v>
      </c>
      <c r="F155" s="44"/>
      <c r="G155" s="44">
        <v>700277</v>
      </c>
      <c r="H155" s="44"/>
      <c r="I155" s="44">
        <v>939609</v>
      </c>
      <c r="J155" s="44"/>
      <c r="K155" s="44">
        <v>380874</v>
      </c>
      <c r="L155" s="44"/>
      <c r="M155" s="44">
        <v>2263294</v>
      </c>
      <c r="N155" s="44"/>
      <c r="O155" s="44">
        <v>0</v>
      </c>
      <c r="P155" s="44"/>
      <c r="Q155" s="44">
        <v>3586329</v>
      </c>
      <c r="R155" s="44"/>
      <c r="S155" s="44">
        <v>0</v>
      </c>
      <c r="T155" s="44"/>
      <c r="U155" s="44">
        <v>119167</v>
      </c>
      <c r="V155" s="44"/>
      <c r="W155" s="44">
        <f t="shared" si="3"/>
        <v>12555037</v>
      </c>
      <c r="X155" s="44"/>
      <c r="Y155" s="44">
        <v>31563371</v>
      </c>
      <c r="Z155" s="44"/>
      <c r="AA155" s="44">
        <f>+'[3]Stmt net assets'!Y155</f>
        <v>31671143</v>
      </c>
      <c r="AB155" s="44"/>
      <c r="AC155" s="44">
        <f>+Y155+'Stmt of activities-GA rev'!AC155-'Stmt of activities-GAexp'!W155-AA155</f>
        <v>0</v>
      </c>
    </row>
    <row r="156" spans="1:29" s="47" customFormat="1" ht="12.75" customHeight="1">
      <c r="A156" s="47" t="s">
        <v>181</v>
      </c>
      <c r="B156" s="51"/>
      <c r="C156" s="47" t="s">
        <v>125</v>
      </c>
      <c r="E156" s="44">
        <v>19619726</v>
      </c>
      <c r="F156" s="44"/>
      <c r="G156" s="44">
        <v>599601</v>
      </c>
      <c r="H156" s="44"/>
      <c r="I156" s="44">
        <v>321313</v>
      </c>
      <c r="J156" s="44"/>
      <c r="K156" s="44">
        <v>3059820</v>
      </c>
      <c r="L156" s="44"/>
      <c r="M156" s="44">
        <v>6060496</v>
      </c>
      <c r="N156" s="44"/>
      <c r="O156" s="44">
        <v>0</v>
      </c>
      <c r="P156" s="44"/>
      <c r="Q156" s="44">
        <v>10635436</v>
      </c>
      <c r="R156" s="44"/>
      <c r="S156" s="44">
        <v>0</v>
      </c>
      <c r="T156" s="44"/>
      <c r="U156" s="44">
        <v>800191</v>
      </c>
      <c r="V156" s="44"/>
      <c r="W156" s="44">
        <f t="shared" si="3"/>
        <v>41096583</v>
      </c>
      <c r="X156" s="44"/>
      <c r="Y156" s="44">
        <v>61028788</v>
      </c>
      <c r="Z156" s="44"/>
      <c r="AA156" s="44">
        <f>+'[3]Stmt net assets'!Y156</f>
        <v>59201165</v>
      </c>
      <c r="AB156" s="44"/>
      <c r="AC156" s="44">
        <f>+Y156+'Stmt of activities-GA rev'!AC156-'Stmt of activities-GAexp'!W156-AA156</f>
        <v>0</v>
      </c>
    </row>
    <row r="157" spans="1:29" s="47" customFormat="1" ht="12.75" customHeight="1">
      <c r="A157" s="47" t="s">
        <v>185</v>
      </c>
      <c r="B157" s="51"/>
      <c r="C157" s="47" t="s">
        <v>80</v>
      </c>
      <c r="E157" s="44">
        <v>7752867</v>
      </c>
      <c r="F157" s="44"/>
      <c r="G157" s="44">
        <v>346847</v>
      </c>
      <c r="H157" s="44"/>
      <c r="I157" s="44">
        <v>529620</v>
      </c>
      <c r="J157" s="44"/>
      <c r="K157" s="44">
        <v>729095</v>
      </c>
      <c r="L157" s="44"/>
      <c r="M157" s="44">
        <v>1421655</v>
      </c>
      <c r="N157" s="44"/>
      <c r="O157" s="44">
        <v>0</v>
      </c>
      <c r="P157" s="44"/>
      <c r="Q157" s="44">
        <v>1851345</v>
      </c>
      <c r="R157" s="44"/>
      <c r="S157" s="44">
        <v>198272</v>
      </c>
      <c r="T157" s="44"/>
      <c r="U157" s="44">
        <v>137277</v>
      </c>
      <c r="V157" s="44"/>
      <c r="W157" s="44">
        <f t="shared" si="3"/>
        <v>12966978</v>
      </c>
      <c r="X157" s="44"/>
      <c r="Y157" s="44">
        <v>29084525</v>
      </c>
      <c r="Z157" s="44"/>
      <c r="AA157" s="44">
        <f>+'[3]Stmt net assets'!Y157</f>
        <v>29100289</v>
      </c>
      <c r="AB157" s="44"/>
      <c r="AC157" s="44">
        <f>+Y157+'Stmt of activities-GA rev'!AC157-'Stmt of activities-GAexp'!W157-AA157</f>
        <v>0</v>
      </c>
    </row>
    <row r="158" spans="1:29" s="47" customFormat="1" ht="12.75" customHeight="1">
      <c r="A158" s="44" t="s">
        <v>186</v>
      </c>
      <c r="B158" s="44"/>
      <c r="C158" s="44" t="s">
        <v>15</v>
      </c>
      <c r="D158" s="44"/>
      <c r="E158" s="44">
        <f>3049396+705273</f>
        <v>3754669</v>
      </c>
      <c r="F158" s="44"/>
      <c r="G158" s="44">
        <v>1476085</v>
      </c>
      <c r="H158" s="44"/>
      <c r="I158" s="44">
        <v>965725</v>
      </c>
      <c r="J158" s="44"/>
      <c r="K158" s="44">
        <v>619805</v>
      </c>
      <c r="L158" s="44"/>
      <c r="M158" s="44">
        <v>2575379</v>
      </c>
      <c r="N158" s="44"/>
      <c r="O158" s="44">
        <v>566496</v>
      </c>
      <c r="P158" s="44"/>
      <c r="Q158" s="44">
        <v>2235205</v>
      </c>
      <c r="R158" s="44"/>
      <c r="S158" s="44">
        <v>0</v>
      </c>
      <c r="T158" s="44"/>
      <c r="U158" s="44">
        <v>110151</v>
      </c>
      <c r="V158" s="44"/>
      <c r="W158" s="44">
        <f t="shared" si="3"/>
        <v>12303515</v>
      </c>
      <c r="X158" s="44"/>
      <c r="Y158" s="44">
        <v>34759336</v>
      </c>
      <c r="Z158" s="44"/>
      <c r="AA158" s="44">
        <f>+'[3]Stmt net assets'!Y158</f>
        <v>34353403</v>
      </c>
      <c r="AB158" s="44"/>
      <c r="AC158" s="44">
        <f>+Y158+'Stmt of activities-GA rev'!AC158-'Stmt of activities-GAexp'!W158-AA158</f>
        <v>0</v>
      </c>
    </row>
    <row r="159" spans="1:29" s="44" customFormat="1" ht="12.75" customHeight="1">
      <c r="A159" s="44" t="s">
        <v>187</v>
      </c>
      <c r="B159" s="65"/>
      <c r="C159" s="44" t="s">
        <v>27</v>
      </c>
      <c r="E159" s="44">
        <v>14754497</v>
      </c>
      <c r="G159" s="44">
        <v>565271</v>
      </c>
      <c r="I159" s="44">
        <v>2618770</v>
      </c>
      <c r="K159" s="44">
        <v>562343</v>
      </c>
      <c r="M159" s="44">
        <v>10144063</v>
      </c>
      <c r="O159" s="44">
        <v>2162069</v>
      </c>
      <c r="Q159" s="44">
        <v>4556304</v>
      </c>
      <c r="S159" s="44">
        <v>0</v>
      </c>
      <c r="U159" s="44">
        <v>1947244</v>
      </c>
      <c r="W159" s="44">
        <f t="shared" si="3"/>
        <v>37310561</v>
      </c>
      <c r="Y159" s="44">
        <v>48906743</v>
      </c>
      <c r="AA159" s="44">
        <f>+'[3]Stmt net assets'!Y159</f>
        <v>46591142</v>
      </c>
      <c r="AC159" s="44">
        <f>+Y159+'Stmt of activities-GA rev'!AC159-'Stmt of activities-GAexp'!W159-AA159</f>
        <v>0</v>
      </c>
    </row>
    <row r="160" spans="1:29" s="47" customFormat="1" ht="12.75" customHeight="1">
      <c r="A160" s="47" t="s">
        <v>189</v>
      </c>
      <c r="B160" s="51"/>
      <c r="C160" s="47" t="s">
        <v>17</v>
      </c>
      <c r="E160" s="44">
        <v>10480106</v>
      </c>
      <c r="F160" s="44"/>
      <c r="G160" s="44">
        <v>419527</v>
      </c>
      <c r="H160" s="44"/>
      <c r="I160" s="44">
        <v>437223</v>
      </c>
      <c r="J160" s="44"/>
      <c r="K160" s="44">
        <v>1573541</v>
      </c>
      <c r="L160" s="44"/>
      <c r="M160" s="44">
        <v>6388903</v>
      </c>
      <c r="N160" s="44"/>
      <c r="O160" s="44">
        <v>0</v>
      </c>
      <c r="P160" s="44"/>
      <c r="Q160" s="44">
        <v>5747511</v>
      </c>
      <c r="R160" s="44"/>
      <c r="S160" s="44">
        <v>0</v>
      </c>
      <c r="T160" s="44"/>
      <c r="U160" s="44">
        <v>342242</v>
      </c>
      <c r="V160" s="44"/>
      <c r="W160" s="44">
        <f t="shared" si="3"/>
        <v>25389053</v>
      </c>
      <c r="X160" s="44"/>
      <c r="Y160" s="44">
        <v>70174070</v>
      </c>
      <c r="Z160" s="44"/>
      <c r="AA160" s="44">
        <f>+'[3]Stmt net assets'!Y160</f>
        <v>69076610</v>
      </c>
      <c r="AB160" s="44"/>
      <c r="AC160" s="44">
        <f>+Y160+'Stmt of activities-GA rev'!AC160-'Stmt of activities-GAexp'!W160-AA160</f>
        <v>0</v>
      </c>
    </row>
    <row r="161" spans="1:30" s="47" customFormat="1" ht="12.75" customHeight="1">
      <c r="A161" s="47" t="s">
        <v>188</v>
      </c>
      <c r="B161" s="51"/>
      <c r="C161" s="47" t="s">
        <v>27</v>
      </c>
      <c r="E161" s="44">
        <v>11579378</v>
      </c>
      <c r="F161" s="44"/>
      <c r="G161" s="44">
        <v>433825</v>
      </c>
      <c r="H161" s="44"/>
      <c r="I161" s="44">
        <v>465791</v>
      </c>
      <c r="J161" s="44"/>
      <c r="K161" s="44">
        <v>782950</v>
      </c>
      <c r="L161" s="44"/>
      <c r="M161" s="44">
        <v>4331798</v>
      </c>
      <c r="N161" s="44"/>
      <c r="O161" s="44">
        <v>3858765</v>
      </c>
      <c r="P161" s="44"/>
      <c r="Q161" s="44">
        <v>2803892</v>
      </c>
      <c r="R161" s="44"/>
      <c r="S161" s="44">
        <v>0</v>
      </c>
      <c r="T161" s="44"/>
      <c r="U161" s="44">
        <v>919929</v>
      </c>
      <c r="V161" s="44"/>
      <c r="W161" s="44">
        <f t="shared" si="3"/>
        <v>25176328</v>
      </c>
      <c r="X161" s="44"/>
      <c r="Y161" s="44">
        <v>111466033</v>
      </c>
      <c r="Z161" s="44"/>
      <c r="AA161" s="44">
        <f>+'[3]Stmt net assets'!Y161</f>
        <v>112673376</v>
      </c>
      <c r="AB161" s="44"/>
      <c r="AC161" s="44">
        <f>+Y161+'Stmt of activities-GA rev'!AC161-'Stmt of activities-GAexp'!W161-AA161</f>
        <v>0</v>
      </c>
    </row>
    <row r="162" spans="1:30" s="47" customFormat="1" ht="12.75" customHeight="1">
      <c r="A162" s="47" t="s">
        <v>190</v>
      </c>
      <c r="B162" s="51"/>
      <c r="C162" s="47" t="s">
        <v>47</v>
      </c>
      <c r="E162" s="44">
        <v>2926916</v>
      </c>
      <c r="F162" s="44"/>
      <c r="G162" s="44">
        <v>8164</v>
      </c>
      <c r="H162" s="44"/>
      <c r="I162" s="44">
        <v>82278</v>
      </c>
      <c r="J162" s="44"/>
      <c r="K162" s="44">
        <v>201995</v>
      </c>
      <c r="L162" s="44"/>
      <c r="M162" s="44">
        <v>912970</v>
      </c>
      <c r="N162" s="44"/>
      <c r="O162" s="44">
        <v>200738</v>
      </c>
      <c r="P162" s="44"/>
      <c r="Q162" s="44">
        <v>2250336</v>
      </c>
      <c r="R162" s="44"/>
      <c r="S162" s="44">
        <v>0</v>
      </c>
      <c r="T162" s="44"/>
      <c r="U162" s="44">
        <v>77672</v>
      </c>
      <c r="V162" s="44"/>
      <c r="W162" s="44">
        <f t="shared" si="3"/>
        <v>6661069</v>
      </c>
      <c r="X162" s="44"/>
      <c r="Y162" s="44">
        <v>9160020</v>
      </c>
      <c r="Z162" s="44"/>
      <c r="AA162" s="44">
        <f>+'[3]Stmt net assets'!Y162</f>
        <v>9397332</v>
      </c>
      <c r="AB162" s="44"/>
      <c r="AC162" s="44">
        <f>+Y162+'Stmt of activities-GA rev'!AC162-'Stmt of activities-GAexp'!W162-AA162</f>
        <v>0</v>
      </c>
    </row>
    <row r="163" spans="1:30" s="47" customFormat="1" ht="12.75" customHeight="1">
      <c r="A163" s="47" t="s">
        <v>191</v>
      </c>
      <c r="B163" s="51"/>
      <c r="C163" s="47" t="s">
        <v>13</v>
      </c>
      <c r="E163" s="44">
        <v>3618111</v>
      </c>
      <c r="F163" s="44"/>
      <c r="G163" s="44">
        <v>134428</v>
      </c>
      <c r="H163" s="44"/>
      <c r="I163" s="44">
        <v>186894</v>
      </c>
      <c r="J163" s="44"/>
      <c r="K163" s="44">
        <v>261827</v>
      </c>
      <c r="L163" s="44"/>
      <c r="M163" s="44">
        <v>1963504</v>
      </c>
      <c r="N163" s="44"/>
      <c r="O163" s="44">
        <v>0</v>
      </c>
      <c r="P163" s="44"/>
      <c r="Q163" s="44">
        <v>1952877</v>
      </c>
      <c r="R163" s="44"/>
      <c r="S163" s="44">
        <v>0</v>
      </c>
      <c r="T163" s="44"/>
      <c r="U163" s="44">
        <v>130774</v>
      </c>
      <c r="V163" s="44"/>
      <c r="W163" s="44">
        <f t="shared" si="3"/>
        <v>8248415</v>
      </c>
      <c r="X163" s="44"/>
      <c r="Y163" s="44">
        <v>15881189</v>
      </c>
      <c r="Z163" s="44"/>
      <c r="AA163" s="44">
        <f>+'[3]Stmt net assets'!Y163</f>
        <v>17283541</v>
      </c>
      <c r="AB163" s="44"/>
      <c r="AC163" s="44">
        <f>+Y163+'Stmt of activities-GA rev'!AC163-'Stmt of activities-GAexp'!W163-AA163</f>
        <v>0</v>
      </c>
    </row>
    <row r="164" spans="1:30" s="47" customFormat="1" ht="12.75" customHeight="1">
      <c r="A164" s="47" t="s">
        <v>192</v>
      </c>
      <c r="B164" s="51"/>
      <c r="C164" s="47" t="s">
        <v>38</v>
      </c>
      <c r="E164" s="44">
        <v>5258094</v>
      </c>
      <c r="F164" s="44"/>
      <c r="G164" s="44">
        <v>163635</v>
      </c>
      <c r="H164" s="44"/>
      <c r="I164" s="44">
        <v>2139459</v>
      </c>
      <c r="J164" s="44"/>
      <c r="K164" s="44">
        <v>196981</v>
      </c>
      <c r="L164" s="44"/>
      <c r="M164" s="44">
        <v>2125581</v>
      </c>
      <c r="N164" s="44"/>
      <c r="O164" s="44">
        <v>0</v>
      </c>
      <c r="P164" s="44"/>
      <c r="Q164" s="44">
        <v>2452495</v>
      </c>
      <c r="R164" s="44"/>
      <c r="S164" s="44">
        <v>0</v>
      </c>
      <c r="T164" s="44"/>
      <c r="U164" s="44">
        <v>71499</v>
      </c>
      <c r="V164" s="44"/>
      <c r="W164" s="44">
        <f t="shared" si="3"/>
        <v>12407744</v>
      </c>
      <c r="X164" s="44"/>
      <c r="Y164" s="44">
        <v>29807126</v>
      </c>
      <c r="Z164" s="44"/>
      <c r="AA164" s="44">
        <f>+'[3]Stmt net assets'!Y164</f>
        <v>29845627</v>
      </c>
      <c r="AB164" s="44"/>
      <c r="AC164" s="44">
        <f>+Y164+'Stmt of activities-GA rev'!AC164-'Stmt of activities-GAexp'!W164-AA164</f>
        <v>0</v>
      </c>
    </row>
    <row r="165" spans="1:30" s="122" customFormat="1" ht="12.75" hidden="1" customHeight="1">
      <c r="A165" s="122" t="s">
        <v>193</v>
      </c>
      <c r="B165" s="124"/>
      <c r="C165" s="122" t="s">
        <v>45</v>
      </c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>
        <f t="shared" si="3"/>
        <v>0</v>
      </c>
      <c r="X165" s="121"/>
      <c r="Y165" s="121"/>
      <c r="Z165" s="121"/>
      <c r="AA165" s="121">
        <f>+'[3]Stmt net assets'!Y165</f>
        <v>0</v>
      </c>
      <c r="AB165" s="121"/>
      <c r="AC165" s="44">
        <f>+Y165+'Stmt of activities-GA rev'!AC165-'Stmt of activities-GAexp'!W165-AA165</f>
        <v>0</v>
      </c>
      <c r="AD165" s="125"/>
    </row>
    <row r="166" spans="1:30" s="47" customFormat="1" ht="12.75" customHeight="1">
      <c r="A166" s="47" t="s">
        <v>194</v>
      </c>
      <c r="B166" s="51"/>
      <c r="C166" s="47" t="s">
        <v>66</v>
      </c>
      <c r="E166" s="44">
        <v>5098411</v>
      </c>
      <c r="F166" s="44"/>
      <c r="G166" s="44">
        <v>94550</v>
      </c>
      <c r="H166" s="44"/>
      <c r="I166" s="44">
        <v>1063776</v>
      </c>
      <c r="J166" s="44"/>
      <c r="K166" s="44">
        <v>1991227</v>
      </c>
      <c r="L166" s="44"/>
      <c r="M166" s="44">
        <v>1017888</v>
      </c>
      <c r="N166" s="44"/>
      <c r="O166" s="44">
        <v>1028743</v>
      </c>
      <c r="P166" s="44"/>
      <c r="Q166" s="44">
        <v>3365267</v>
      </c>
      <c r="R166" s="44"/>
      <c r="S166" s="44">
        <v>0</v>
      </c>
      <c r="T166" s="44"/>
      <c r="U166" s="44">
        <v>126165</v>
      </c>
      <c r="V166" s="44"/>
      <c r="W166" s="44">
        <f t="shared" si="3"/>
        <v>13786027</v>
      </c>
      <c r="X166" s="44"/>
      <c r="Y166" s="44">
        <v>55031109</v>
      </c>
      <c r="Z166" s="44"/>
      <c r="AA166" s="44">
        <f>+'[3]Stmt net assets'!Y166</f>
        <v>54368418</v>
      </c>
      <c r="AB166" s="44"/>
      <c r="AC166" s="44">
        <f>+Y166+'Stmt of activities-GA rev'!AC166-'Stmt of activities-GAexp'!W166-AA166</f>
        <v>0</v>
      </c>
    </row>
    <row r="167" spans="1:30" s="47" customFormat="1" ht="12.75" customHeight="1">
      <c r="A167" s="47" t="s">
        <v>195</v>
      </c>
      <c r="B167" s="51"/>
      <c r="C167" s="47" t="s">
        <v>17</v>
      </c>
      <c r="E167" s="44">
        <v>3388212</v>
      </c>
      <c r="F167" s="44"/>
      <c r="G167" s="44">
        <v>121597</v>
      </c>
      <c r="H167" s="44"/>
      <c r="I167" s="44">
        <v>744620</v>
      </c>
      <c r="J167" s="44"/>
      <c r="K167" s="44">
        <v>620977</v>
      </c>
      <c r="L167" s="44"/>
      <c r="M167" s="44">
        <v>1770277</v>
      </c>
      <c r="N167" s="44"/>
      <c r="O167" s="44">
        <v>251212</v>
      </c>
      <c r="P167" s="44"/>
      <c r="Q167" s="44">
        <v>3279713</v>
      </c>
      <c r="R167" s="44"/>
      <c r="S167" s="44">
        <v>0</v>
      </c>
      <c r="T167" s="44"/>
      <c r="U167" s="44">
        <v>264325</v>
      </c>
      <c r="V167" s="44"/>
      <c r="W167" s="44">
        <f t="shared" si="3"/>
        <v>10440933</v>
      </c>
      <c r="X167" s="44"/>
      <c r="Y167" s="44">
        <v>37460547</v>
      </c>
      <c r="Z167" s="44"/>
      <c r="AA167" s="44">
        <f>+'[3]Stmt net assets'!Y167</f>
        <v>38678060</v>
      </c>
      <c r="AB167" s="44"/>
      <c r="AC167" s="44">
        <f>+Y167+'Stmt of activities-GA rev'!AC167-'Stmt of activities-GAexp'!W167-AA167</f>
        <v>0</v>
      </c>
    </row>
    <row r="168" spans="1:30" s="122" customFormat="1" ht="12.75" hidden="1" customHeight="1">
      <c r="A168" s="121" t="s">
        <v>196</v>
      </c>
      <c r="B168" s="124"/>
      <c r="C168" s="121" t="s">
        <v>27</v>
      </c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>
        <f t="shared" si="3"/>
        <v>0</v>
      </c>
      <c r="X168" s="121"/>
      <c r="Y168" s="121"/>
      <c r="Z168" s="121"/>
      <c r="AA168" s="121">
        <f>+'[3]Stmt net assets'!Y168</f>
        <v>0</v>
      </c>
      <c r="AB168" s="121"/>
      <c r="AC168" s="44">
        <f>+Y168+'Stmt of activities-GA rev'!AC168-'Stmt of activities-GAexp'!W168-AA168</f>
        <v>0</v>
      </c>
    </row>
    <row r="169" spans="1:30" s="122" customFormat="1" ht="12.75" hidden="1" customHeight="1">
      <c r="A169" s="44" t="s">
        <v>386</v>
      </c>
      <c r="B169" s="51"/>
      <c r="C169" s="44" t="s">
        <v>153</v>
      </c>
      <c r="D169" s="47"/>
      <c r="E169" s="44">
        <v>2277307</v>
      </c>
      <c r="F169" s="44"/>
      <c r="G169" s="44">
        <v>3113</v>
      </c>
      <c r="H169" s="44"/>
      <c r="I169" s="44">
        <v>377979</v>
      </c>
      <c r="J169" s="44"/>
      <c r="K169" s="44">
        <v>83254</v>
      </c>
      <c r="L169" s="44"/>
      <c r="M169" s="44">
        <v>2075079</v>
      </c>
      <c r="N169" s="44"/>
      <c r="O169" s="44">
        <v>0</v>
      </c>
      <c r="P169" s="44"/>
      <c r="Q169" s="44">
        <v>2203909</v>
      </c>
      <c r="R169" s="44"/>
      <c r="S169" s="44">
        <v>0</v>
      </c>
      <c r="T169" s="44"/>
      <c r="U169" s="44">
        <v>1277</v>
      </c>
      <c r="V169" s="44"/>
      <c r="W169" s="44">
        <f t="shared" si="3"/>
        <v>7021918</v>
      </c>
      <c r="X169" s="44"/>
      <c r="Y169" s="44">
        <v>26869759</v>
      </c>
      <c r="Z169" s="44"/>
      <c r="AA169" s="44">
        <f>+'[3]Stmt net assets'!Y169</f>
        <v>26348765</v>
      </c>
      <c r="AB169" s="121"/>
      <c r="AC169" s="44">
        <f>+Y169+'Stmt of activities-GA rev'!AC169-'Stmt of activities-GAexp'!W169-AA169</f>
        <v>0</v>
      </c>
    </row>
    <row r="170" spans="1:30" s="47" customFormat="1" ht="12.75" customHeight="1">
      <c r="A170" s="47" t="s">
        <v>197</v>
      </c>
      <c r="B170" s="51"/>
      <c r="C170" s="47" t="s">
        <v>163</v>
      </c>
      <c r="E170" s="44">
        <v>10566440</v>
      </c>
      <c r="F170" s="44"/>
      <c r="G170" s="44">
        <v>516043</v>
      </c>
      <c r="H170" s="44"/>
      <c r="I170" s="44">
        <v>951118</v>
      </c>
      <c r="J170" s="44"/>
      <c r="K170" s="44">
        <v>1513838</v>
      </c>
      <c r="L170" s="44"/>
      <c r="M170" s="44">
        <v>4365197</v>
      </c>
      <c r="N170" s="44"/>
      <c r="O170" s="44">
        <v>862876</v>
      </c>
      <c r="P170" s="44"/>
      <c r="Q170" s="44">
        <v>5675109</v>
      </c>
      <c r="R170" s="44"/>
      <c r="S170" s="44">
        <v>0</v>
      </c>
      <c r="T170" s="44"/>
      <c r="U170" s="44">
        <v>571951</v>
      </c>
      <c r="V170" s="44"/>
      <c r="W170" s="44">
        <f t="shared" si="3"/>
        <v>25022572</v>
      </c>
      <c r="X170" s="44"/>
      <c r="Y170" s="44">
        <v>55464526</v>
      </c>
      <c r="Z170" s="44"/>
      <c r="AA170" s="44">
        <f>+'[3]Stmt net assets'!Y170</f>
        <v>58856350</v>
      </c>
      <c r="AB170" s="44"/>
      <c r="AC170" s="44">
        <f>+Y170+'Stmt of activities-GA rev'!AC170-'Stmt of activities-GAexp'!W170-AA170</f>
        <v>0</v>
      </c>
    </row>
    <row r="171" spans="1:30" s="47" customFormat="1" ht="12.75" customHeight="1">
      <c r="A171" s="47" t="s">
        <v>198</v>
      </c>
      <c r="B171" s="51"/>
      <c r="C171" s="47" t="s">
        <v>199</v>
      </c>
      <c r="E171" s="44">
        <f>1631577+617200</f>
        <v>2248777</v>
      </c>
      <c r="F171" s="44"/>
      <c r="G171" s="44">
        <v>199238</v>
      </c>
      <c r="H171" s="44"/>
      <c r="I171" s="44">
        <v>395062</v>
      </c>
      <c r="J171" s="44"/>
      <c r="K171" s="44">
        <v>0</v>
      </c>
      <c r="L171" s="44"/>
      <c r="M171" s="44">
        <v>2474540</v>
      </c>
      <c r="N171" s="44"/>
      <c r="O171" s="44">
        <v>417347</v>
      </c>
      <c r="P171" s="44"/>
      <c r="Q171" s="44">
        <v>1276806</v>
      </c>
      <c r="R171" s="44"/>
      <c r="S171" s="44">
        <v>0</v>
      </c>
      <c r="T171" s="44"/>
      <c r="U171" s="44">
        <v>79296</v>
      </c>
      <c r="V171" s="44"/>
      <c r="W171" s="44">
        <f t="shared" si="3"/>
        <v>7091066</v>
      </c>
      <c r="X171" s="44"/>
      <c r="Y171" s="44">
        <v>47812867</v>
      </c>
      <c r="Z171" s="44"/>
      <c r="AA171" s="44">
        <f>+'[3]Stmt net assets'!Y171</f>
        <v>48100064</v>
      </c>
      <c r="AB171" s="44"/>
      <c r="AC171" s="44">
        <f>+Y171+'Stmt of activities-GA rev'!AC171-'Stmt of activities-GAexp'!W171-AA171</f>
        <v>0</v>
      </c>
    </row>
    <row r="172" spans="1:30" s="47" customFormat="1" ht="12.75" customHeight="1">
      <c r="A172" s="47" t="s">
        <v>200</v>
      </c>
      <c r="B172" s="51"/>
      <c r="C172" s="47" t="s">
        <v>103</v>
      </c>
      <c r="E172" s="44">
        <v>5166831</v>
      </c>
      <c r="F172" s="44"/>
      <c r="G172" s="44">
        <v>292818</v>
      </c>
      <c r="H172" s="44"/>
      <c r="I172" s="44">
        <v>1450908</v>
      </c>
      <c r="J172" s="44"/>
      <c r="K172" s="44">
        <v>828125</v>
      </c>
      <c r="L172" s="44"/>
      <c r="M172" s="44">
        <v>1916817</v>
      </c>
      <c r="N172" s="44"/>
      <c r="O172" s="44">
        <v>0</v>
      </c>
      <c r="P172" s="44"/>
      <c r="Q172" s="44">
        <v>1814626</v>
      </c>
      <c r="R172" s="44"/>
      <c r="S172" s="44">
        <v>0</v>
      </c>
      <c r="T172" s="44"/>
      <c r="U172" s="44">
        <v>152338</v>
      </c>
      <c r="V172" s="44"/>
      <c r="W172" s="44">
        <f t="shared" si="3"/>
        <v>11622463</v>
      </c>
      <c r="X172" s="44"/>
      <c r="Y172" s="44">
        <v>44094525</v>
      </c>
      <c r="Z172" s="44"/>
      <c r="AA172" s="44">
        <f>+'[3]Stmt net assets'!Y172</f>
        <v>46424645</v>
      </c>
      <c r="AB172" s="44"/>
      <c r="AC172" s="44">
        <f>+Y172+'Stmt of activities-GA rev'!AC172-'Stmt of activities-GAexp'!W172-AA172</f>
        <v>0</v>
      </c>
    </row>
    <row r="173" spans="1:30" s="47" customFormat="1" ht="12.75" customHeight="1">
      <c r="A173" s="47" t="s">
        <v>201</v>
      </c>
      <c r="B173" s="51"/>
      <c r="C173" s="47" t="s">
        <v>92</v>
      </c>
      <c r="E173" s="44">
        <v>8036621</v>
      </c>
      <c r="F173" s="44"/>
      <c r="G173" s="44">
        <v>632474</v>
      </c>
      <c r="H173" s="44"/>
      <c r="I173" s="44">
        <v>952163</v>
      </c>
      <c r="J173" s="44"/>
      <c r="K173" s="44">
        <v>444793</v>
      </c>
      <c r="L173" s="44"/>
      <c r="M173" s="44">
        <v>3319505</v>
      </c>
      <c r="N173" s="44"/>
      <c r="O173" s="44">
        <v>0</v>
      </c>
      <c r="P173" s="44"/>
      <c r="Q173" s="44">
        <v>3154007</v>
      </c>
      <c r="R173" s="44"/>
      <c r="S173" s="44">
        <v>0</v>
      </c>
      <c r="T173" s="44"/>
      <c r="U173" s="44">
        <v>282497</v>
      </c>
      <c r="V173" s="44"/>
      <c r="W173" s="44">
        <f t="shared" si="3"/>
        <v>16822060</v>
      </c>
      <c r="X173" s="44"/>
      <c r="Y173" s="44">
        <v>36936237</v>
      </c>
      <c r="Z173" s="44"/>
      <c r="AA173" s="44">
        <f>+'[3]Stmt net assets'!Y173</f>
        <v>40148100</v>
      </c>
      <c r="AB173" s="44"/>
      <c r="AC173" s="44">
        <f>+Y173+'Stmt of activities-GA rev'!AC173-'Stmt of activities-GAexp'!W173-AA173</f>
        <v>0</v>
      </c>
    </row>
    <row r="174" spans="1:30" s="47" customFormat="1" ht="12.75" hidden="1" customHeight="1">
      <c r="A174" s="47" t="s">
        <v>202</v>
      </c>
      <c r="B174" s="51"/>
      <c r="C174" s="47" t="s">
        <v>27</v>
      </c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>
        <f t="shared" si="3"/>
        <v>0</v>
      </c>
      <c r="X174" s="44"/>
      <c r="Y174" s="44"/>
      <c r="Z174" s="44"/>
      <c r="AA174" s="44">
        <f>+'[3]Stmt net assets'!Y174</f>
        <v>0</v>
      </c>
      <c r="AB174" s="44"/>
      <c r="AC174" s="44">
        <f>+Y174+'Stmt of activities-GA rev'!AC174-'Stmt of activities-GAexp'!W174-AA174</f>
        <v>0</v>
      </c>
    </row>
    <row r="175" spans="1:30" s="47" customFormat="1" ht="12.75" customHeight="1">
      <c r="A175" s="47" t="s">
        <v>203</v>
      </c>
      <c r="B175" s="51"/>
      <c r="C175" s="47" t="s">
        <v>27</v>
      </c>
      <c r="E175" s="44">
        <v>8878601</v>
      </c>
      <c r="F175" s="44"/>
      <c r="G175" s="44">
        <v>993411</v>
      </c>
      <c r="H175" s="44"/>
      <c r="I175" s="44">
        <v>830580</v>
      </c>
      <c r="J175" s="44"/>
      <c r="K175" s="44">
        <v>2901134</v>
      </c>
      <c r="L175" s="44"/>
      <c r="M175" s="44">
        <v>2103920</v>
      </c>
      <c r="N175" s="44"/>
      <c r="O175" s="44">
        <v>1090731</v>
      </c>
      <c r="P175" s="44"/>
      <c r="Q175" s="44">
        <v>2908948</v>
      </c>
      <c r="R175" s="44"/>
      <c r="S175" s="44">
        <v>0</v>
      </c>
      <c r="T175" s="44"/>
      <c r="U175" s="44">
        <v>453830</v>
      </c>
      <c r="V175" s="44"/>
      <c r="W175" s="44">
        <f t="shared" si="3"/>
        <v>20161155</v>
      </c>
      <c r="X175" s="44"/>
      <c r="Y175" s="44">
        <v>30942692</v>
      </c>
      <c r="Z175" s="44"/>
      <c r="AA175" s="44">
        <f>+'[3]Stmt net assets'!Y175</f>
        <v>28083080</v>
      </c>
      <c r="AB175" s="44"/>
      <c r="AC175" s="44">
        <f>+Y175+'Stmt of activities-GA rev'!AC175-'Stmt of activities-GAexp'!W175-AA175</f>
        <v>0</v>
      </c>
    </row>
    <row r="176" spans="1:30" s="47" customFormat="1" ht="12.75" customHeight="1">
      <c r="A176" s="47" t="s">
        <v>204</v>
      </c>
      <c r="B176" s="51"/>
      <c r="C176" s="47" t="s">
        <v>125</v>
      </c>
      <c r="E176" s="44">
        <v>1649394</v>
      </c>
      <c r="F176" s="44"/>
      <c r="G176" s="44">
        <v>57500</v>
      </c>
      <c r="H176" s="44"/>
      <c r="I176" s="44">
        <v>108228</v>
      </c>
      <c r="J176" s="44"/>
      <c r="K176" s="44">
        <v>410129</v>
      </c>
      <c r="L176" s="44"/>
      <c r="M176" s="44">
        <v>1056476</v>
      </c>
      <c r="N176" s="44"/>
      <c r="O176" s="44">
        <v>0</v>
      </c>
      <c r="P176" s="44"/>
      <c r="Q176" s="44">
        <v>967338</v>
      </c>
      <c r="R176" s="44"/>
      <c r="S176" s="44">
        <v>0</v>
      </c>
      <c r="T176" s="44"/>
      <c r="U176" s="44">
        <v>92133</v>
      </c>
      <c r="V176" s="44"/>
      <c r="W176" s="44">
        <f t="shared" si="3"/>
        <v>4341198</v>
      </c>
      <c r="X176" s="44"/>
      <c r="Y176" s="44">
        <v>6343589</v>
      </c>
      <c r="Z176" s="44"/>
      <c r="AA176" s="44">
        <f>+'[3]Stmt net assets'!Y176</f>
        <v>7675674</v>
      </c>
      <c r="AB176" s="44"/>
      <c r="AC176" s="44">
        <f>+Y176+'Stmt of activities-GA rev'!AC176-'Stmt of activities-GAexp'!W176-AA176</f>
        <v>0</v>
      </c>
    </row>
    <row r="177" spans="1:29" s="47" customFormat="1" ht="12.75" customHeight="1">
      <c r="A177" s="47" t="s">
        <v>205</v>
      </c>
      <c r="B177" s="51"/>
      <c r="C177" s="47" t="s">
        <v>27</v>
      </c>
      <c r="E177" s="44">
        <f>3814729+2593661</f>
        <v>6408390</v>
      </c>
      <c r="F177" s="44"/>
      <c r="G177" s="44">
        <v>27300</v>
      </c>
      <c r="H177" s="44"/>
      <c r="I177" s="44">
        <v>0</v>
      </c>
      <c r="J177" s="44"/>
      <c r="K177" s="44">
        <v>287345</v>
      </c>
      <c r="L177" s="44"/>
      <c r="M177" s="44">
        <v>4614351</v>
      </c>
      <c r="N177" s="44"/>
      <c r="O177" s="44">
        <v>2395609</v>
      </c>
      <c r="P177" s="44"/>
      <c r="Q177" s="44">
        <v>1353424</v>
      </c>
      <c r="R177" s="44"/>
      <c r="S177" s="44">
        <v>0</v>
      </c>
      <c r="T177" s="44"/>
      <c r="U177" s="44">
        <v>396060</v>
      </c>
      <c r="V177" s="44"/>
      <c r="W177" s="44">
        <f t="shared" si="3"/>
        <v>15482479</v>
      </c>
      <c r="X177" s="44"/>
      <c r="Y177" s="44">
        <v>18823624</v>
      </c>
      <c r="Z177" s="44"/>
      <c r="AA177" s="44">
        <f>+'[3]Stmt net assets'!Y177</f>
        <v>15373349</v>
      </c>
      <c r="AB177" s="44"/>
      <c r="AC177" s="44">
        <f>+Y177+'Stmt of activities-GA rev'!AC177-'Stmt of activities-GAexp'!W177-AA177</f>
        <v>0</v>
      </c>
    </row>
    <row r="178" spans="1:29" s="47" customFormat="1" ht="12.75" customHeight="1">
      <c r="A178" s="47" t="s">
        <v>206</v>
      </c>
      <c r="B178" s="51"/>
      <c r="C178" s="47" t="s">
        <v>47</v>
      </c>
      <c r="E178" s="44">
        <v>7492121</v>
      </c>
      <c r="F178" s="44"/>
      <c r="G178" s="44">
        <v>30587</v>
      </c>
      <c r="H178" s="44"/>
      <c r="I178" s="44">
        <v>1349638</v>
      </c>
      <c r="J178" s="44"/>
      <c r="K178" s="44">
        <v>697471</v>
      </c>
      <c r="L178" s="44"/>
      <c r="M178" s="44">
        <v>325358</v>
      </c>
      <c r="N178" s="44"/>
      <c r="O178" s="44">
        <v>1094256</v>
      </c>
      <c r="P178" s="44"/>
      <c r="Q178" s="44">
        <v>4616983</v>
      </c>
      <c r="R178" s="44"/>
      <c r="S178" s="44">
        <v>0</v>
      </c>
      <c r="T178" s="44"/>
      <c r="U178" s="44">
        <v>437113</v>
      </c>
      <c r="V178" s="44"/>
      <c r="W178" s="44">
        <f t="shared" si="3"/>
        <v>16043527</v>
      </c>
      <c r="X178" s="44"/>
      <c r="Y178" s="44">
        <v>64694436</v>
      </c>
      <c r="Z178" s="44"/>
      <c r="AA178" s="44">
        <f>+'[3]Stmt net assets'!Y178</f>
        <v>75278725</v>
      </c>
      <c r="AB178" s="44"/>
      <c r="AC178" s="44">
        <f>+Y178+'Stmt of activities-GA rev'!AC178-'Stmt of activities-GAexp'!W178-AA178</f>
        <v>0</v>
      </c>
    </row>
    <row r="179" spans="1:29" s="47" customFormat="1" ht="12.75" customHeight="1">
      <c r="A179" s="47" t="s">
        <v>207</v>
      </c>
      <c r="B179" s="51"/>
      <c r="C179" s="47" t="s">
        <v>102</v>
      </c>
      <c r="E179" s="44">
        <v>4009308</v>
      </c>
      <c r="F179" s="44"/>
      <c r="G179" s="44">
        <v>139550</v>
      </c>
      <c r="H179" s="44"/>
      <c r="I179" s="44">
        <v>816074</v>
      </c>
      <c r="J179" s="44"/>
      <c r="K179" s="44">
        <v>775088</v>
      </c>
      <c r="L179" s="44"/>
      <c r="M179" s="44">
        <v>3936695</v>
      </c>
      <c r="N179" s="44"/>
      <c r="O179" s="44">
        <v>0</v>
      </c>
      <c r="P179" s="44"/>
      <c r="Q179" s="44">
        <v>2436997</v>
      </c>
      <c r="R179" s="44"/>
      <c r="S179" s="44">
        <v>0</v>
      </c>
      <c r="T179" s="44"/>
      <c r="U179" s="44">
        <v>577476</v>
      </c>
      <c r="V179" s="44"/>
      <c r="W179" s="44">
        <f t="shared" si="3"/>
        <v>12691188</v>
      </c>
      <c r="X179" s="44"/>
      <c r="Y179" s="44">
        <v>38017206</v>
      </c>
      <c r="Z179" s="44"/>
      <c r="AA179" s="44">
        <f>+'[3]Stmt net assets'!Y179</f>
        <v>46216973</v>
      </c>
      <c r="AB179" s="44"/>
      <c r="AC179" s="44">
        <f>+Y179+'Stmt of activities-GA rev'!AC179-'Stmt of activities-GAexp'!W179-AA179</f>
        <v>0</v>
      </c>
    </row>
    <row r="180" spans="1:29" s="47" customFormat="1" ht="12.75" customHeight="1">
      <c r="A180" s="47" t="s">
        <v>208</v>
      </c>
      <c r="B180" s="51"/>
      <c r="C180" s="47" t="s">
        <v>209</v>
      </c>
      <c r="E180" s="44">
        <v>7796876</v>
      </c>
      <c r="F180" s="44"/>
      <c r="G180" s="44">
        <v>0</v>
      </c>
      <c r="H180" s="44"/>
      <c r="I180" s="44">
        <v>915284</v>
      </c>
      <c r="J180" s="44"/>
      <c r="K180" s="44">
        <v>618328</v>
      </c>
      <c r="L180" s="44"/>
      <c r="M180" s="44">
        <v>5143056</v>
      </c>
      <c r="N180" s="44"/>
      <c r="O180" s="44">
        <v>0</v>
      </c>
      <c r="P180" s="44"/>
      <c r="Q180" s="44">
        <v>2960257</v>
      </c>
      <c r="R180" s="44"/>
      <c r="S180" s="44">
        <v>0</v>
      </c>
      <c r="T180" s="44"/>
      <c r="U180" s="44">
        <v>289387</v>
      </c>
      <c r="V180" s="44"/>
      <c r="W180" s="44">
        <f t="shared" si="3"/>
        <v>17723188</v>
      </c>
      <c r="X180" s="44"/>
      <c r="Y180" s="44">
        <v>61940344</v>
      </c>
      <c r="Z180" s="44"/>
      <c r="AA180" s="44">
        <f>+'[3]Stmt net assets'!Y180</f>
        <v>65491357</v>
      </c>
      <c r="AB180" s="44"/>
      <c r="AC180" s="44">
        <f>+Y180+'Stmt of activities-GA rev'!AC180-'Stmt of activities-GAexp'!W180-AA180</f>
        <v>0</v>
      </c>
    </row>
    <row r="181" spans="1:29" s="47" customFormat="1" ht="12.75" customHeight="1">
      <c r="A181" s="47" t="s">
        <v>210</v>
      </c>
      <c r="B181" s="51"/>
      <c r="C181" s="47" t="s">
        <v>211</v>
      </c>
      <c r="E181" s="44">
        <f>1693038+213966</f>
        <v>1907004</v>
      </c>
      <c r="F181" s="44"/>
      <c r="G181" s="44">
        <v>224399</v>
      </c>
      <c r="H181" s="44"/>
      <c r="I181" s="44">
        <v>148178</v>
      </c>
      <c r="J181" s="44"/>
      <c r="K181" s="44">
        <v>446505</v>
      </c>
      <c r="L181" s="44"/>
      <c r="M181" s="44">
        <v>1053731</v>
      </c>
      <c r="N181" s="44"/>
      <c r="O181" s="44">
        <v>0</v>
      </c>
      <c r="P181" s="44"/>
      <c r="Q181" s="44">
        <v>1571219</v>
      </c>
      <c r="R181" s="44"/>
      <c r="S181" s="44">
        <v>0</v>
      </c>
      <c r="T181" s="44"/>
      <c r="U181" s="44">
        <v>31887</v>
      </c>
      <c r="V181" s="44"/>
      <c r="W181" s="44">
        <f t="shared" si="3"/>
        <v>5382923</v>
      </c>
      <c r="X181" s="44"/>
      <c r="Y181" s="44">
        <v>9300312</v>
      </c>
      <c r="Z181" s="44"/>
      <c r="AA181" s="44">
        <f>+'[3]Stmt net assets'!Y181</f>
        <v>9412401</v>
      </c>
      <c r="AB181" s="44"/>
      <c r="AC181" s="44">
        <f>+Y181+'Stmt of activities-GA rev'!AC181-'Stmt of activities-GAexp'!W181-AA181</f>
        <v>0</v>
      </c>
    </row>
    <row r="182" spans="1:29" s="47" customFormat="1" ht="12.75" customHeight="1">
      <c r="A182" s="47" t="s">
        <v>212</v>
      </c>
      <c r="B182" s="51"/>
      <c r="C182" s="47" t="s">
        <v>213</v>
      </c>
      <c r="E182" s="44">
        <v>7842183</v>
      </c>
      <c r="F182" s="44"/>
      <c r="G182" s="44">
        <v>2986843</v>
      </c>
      <c r="H182" s="44"/>
      <c r="I182" s="44">
        <v>38446</v>
      </c>
      <c r="J182" s="44"/>
      <c r="K182" s="44">
        <v>585826</v>
      </c>
      <c r="L182" s="44"/>
      <c r="M182" s="44">
        <v>2532238</v>
      </c>
      <c r="N182" s="44"/>
      <c r="O182" s="44">
        <v>0</v>
      </c>
      <c r="P182" s="44"/>
      <c r="Q182" s="44">
        <v>4271908</v>
      </c>
      <c r="R182" s="44"/>
      <c r="S182" s="44">
        <v>0</v>
      </c>
      <c r="T182" s="44"/>
      <c r="U182" s="44">
        <v>158664</v>
      </c>
      <c r="V182" s="44"/>
      <c r="W182" s="44">
        <f t="shared" si="3"/>
        <v>18416108</v>
      </c>
      <c r="X182" s="44"/>
      <c r="Y182" s="44">
        <v>24653908</v>
      </c>
      <c r="Z182" s="44"/>
      <c r="AA182" s="44">
        <f>+'[3]Stmt net assets'!Y182</f>
        <v>23197860</v>
      </c>
      <c r="AB182" s="44"/>
      <c r="AC182" s="44">
        <f>+Y182+'Stmt of activities-GA rev'!AC182-'Stmt of activities-GAexp'!W182-AA182</f>
        <v>0</v>
      </c>
    </row>
    <row r="183" spans="1:29" s="47" customFormat="1" ht="12.75" customHeight="1">
      <c r="A183" s="47" t="s">
        <v>214</v>
      </c>
      <c r="B183" s="51"/>
      <c r="C183" s="47" t="s">
        <v>86</v>
      </c>
      <c r="E183" s="44">
        <v>1998376</v>
      </c>
      <c r="F183" s="44"/>
      <c r="G183" s="44">
        <v>0</v>
      </c>
      <c r="H183" s="44"/>
      <c r="I183" s="44">
        <v>933260</v>
      </c>
      <c r="J183" s="44"/>
      <c r="K183" s="44">
        <v>1021979</v>
      </c>
      <c r="L183" s="44"/>
      <c r="M183" s="44">
        <v>2594715</v>
      </c>
      <c r="N183" s="44"/>
      <c r="O183" s="44">
        <v>0</v>
      </c>
      <c r="P183" s="44"/>
      <c r="Q183" s="44">
        <v>1567056</v>
      </c>
      <c r="R183" s="44"/>
      <c r="S183" s="44">
        <v>0</v>
      </c>
      <c r="T183" s="44"/>
      <c r="U183" s="44">
        <v>1228777</v>
      </c>
      <c r="V183" s="44"/>
      <c r="W183" s="44">
        <f t="shared" si="3"/>
        <v>9344163</v>
      </c>
      <c r="X183" s="44"/>
      <c r="Y183" s="44">
        <v>26910908</v>
      </c>
      <c r="Z183" s="44"/>
      <c r="AA183" s="44">
        <f>+'[3]Stmt net assets'!Y183</f>
        <v>28255662</v>
      </c>
      <c r="AB183" s="44"/>
      <c r="AC183" s="44">
        <f>+Y183+'Stmt of activities-GA rev'!AC183-'Stmt of activities-GAexp'!W183-AA183</f>
        <v>0</v>
      </c>
    </row>
    <row r="184" spans="1:29" s="47" customFormat="1" ht="12.75" customHeight="1">
      <c r="A184" s="47" t="s">
        <v>215</v>
      </c>
      <c r="B184" s="51"/>
      <c r="C184" s="47" t="s">
        <v>22</v>
      </c>
      <c r="E184" s="44">
        <f>3469502+2421555</f>
        <v>5891057</v>
      </c>
      <c r="F184" s="44"/>
      <c r="G184" s="44">
        <v>345666</v>
      </c>
      <c r="H184" s="44"/>
      <c r="I184" s="44">
        <v>916499</v>
      </c>
      <c r="J184" s="44"/>
      <c r="K184" s="44">
        <v>1350847</v>
      </c>
      <c r="L184" s="44"/>
      <c r="M184" s="44">
        <v>2231967</v>
      </c>
      <c r="N184" s="44"/>
      <c r="O184" s="44">
        <v>169741</v>
      </c>
      <c r="P184" s="44"/>
      <c r="Q184" s="44">
        <v>1667880</v>
      </c>
      <c r="R184" s="44"/>
      <c r="S184" s="44">
        <v>39626</v>
      </c>
      <c r="T184" s="44"/>
      <c r="U184" s="44">
        <v>332380</v>
      </c>
      <c r="V184" s="44"/>
      <c r="W184" s="44">
        <f t="shared" si="3"/>
        <v>12945663</v>
      </c>
      <c r="X184" s="44"/>
      <c r="Y184" s="44">
        <v>51312333</v>
      </c>
      <c r="Z184" s="44"/>
      <c r="AA184" s="44">
        <f>+'[3]Stmt net assets'!Y184</f>
        <v>49957545</v>
      </c>
      <c r="AB184" s="44"/>
      <c r="AC184" s="44">
        <f>+Y184+'Stmt of activities-GA rev'!AC184-'Stmt of activities-GAexp'!W184-AA184</f>
        <v>0</v>
      </c>
    </row>
    <row r="185" spans="1:29" s="47" customFormat="1" ht="12.75" customHeight="1">
      <c r="A185" s="47" t="s">
        <v>216</v>
      </c>
      <c r="B185" s="51"/>
      <c r="C185" s="47" t="s">
        <v>45</v>
      </c>
      <c r="E185" s="44">
        <v>5255155</v>
      </c>
      <c r="F185" s="44"/>
      <c r="G185" s="44">
        <v>10505</v>
      </c>
      <c r="H185" s="44"/>
      <c r="I185" s="44">
        <v>554941</v>
      </c>
      <c r="J185" s="44"/>
      <c r="K185" s="44">
        <v>183911</v>
      </c>
      <c r="L185" s="44"/>
      <c r="M185" s="44">
        <v>1766387</v>
      </c>
      <c r="N185" s="44"/>
      <c r="O185" s="44">
        <v>452450</v>
      </c>
      <c r="P185" s="44"/>
      <c r="Q185" s="44">
        <v>2126529</v>
      </c>
      <c r="R185" s="44"/>
      <c r="S185" s="44">
        <v>0</v>
      </c>
      <c r="T185" s="44"/>
      <c r="U185" s="44">
        <v>108933</v>
      </c>
      <c r="V185" s="44"/>
      <c r="W185" s="44">
        <f t="shared" si="3"/>
        <v>10458811</v>
      </c>
      <c r="X185" s="44"/>
      <c r="Y185" s="44">
        <v>8182508</v>
      </c>
      <c r="Z185" s="44"/>
      <c r="AA185" s="44">
        <f>+'[3]Stmt net assets'!Y185</f>
        <v>7794302</v>
      </c>
      <c r="AB185" s="44"/>
      <c r="AC185" s="44">
        <f>+Y185+'Stmt of activities-GA rev'!AC185-'Stmt of activities-GAexp'!W185-AA185</f>
        <v>0</v>
      </c>
    </row>
    <row r="186" spans="1:29" s="47" customFormat="1" ht="12.75" customHeight="1">
      <c r="A186" s="47" t="s">
        <v>217</v>
      </c>
      <c r="B186" s="51"/>
      <c r="C186" s="47" t="s">
        <v>43</v>
      </c>
      <c r="E186" s="44">
        <v>7538445</v>
      </c>
      <c r="F186" s="44"/>
      <c r="G186" s="44">
        <v>187894</v>
      </c>
      <c r="H186" s="44"/>
      <c r="I186" s="44">
        <v>1075975</v>
      </c>
      <c r="J186" s="44"/>
      <c r="K186" s="44">
        <v>1469899</v>
      </c>
      <c r="L186" s="44"/>
      <c r="M186" s="44">
        <v>2332596</v>
      </c>
      <c r="N186" s="44"/>
      <c r="O186" s="44">
        <v>0</v>
      </c>
      <c r="P186" s="44"/>
      <c r="Q186" s="44">
        <v>4060263</v>
      </c>
      <c r="R186" s="44"/>
      <c r="S186" s="44">
        <v>0</v>
      </c>
      <c r="T186" s="44"/>
      <c r="U186" s="44">
        <v>1112434</v>
      </c>
      <c r="V186" s="44"/>
      <c r="W186" s="44">
        <f t="shared" si="3"/>
        <v>17777506</v>
      </c>
      <c r="X186" s="44"/>
      <c r="Y186" s="44">
        <v>45253747</v>
      </c>
      <c r="Z186" s="44"/>
      <c r="AA186" s="44">
        <f>+'[3]Stmt net assets'!Y186</f>
        <v>47540050</v>
      </c>
      <c r="AB186" s="44"/>
      <c r="AC186" s="44">
        <f>+Y186+'Stmt of activities-GA rev'!AC186-'Stmt of activities-GAexp'!W186-AA186</f>
        <v>0</v>
      </c>
    </row>
    <row r="187" spans="1:29" s="47" customFormat="1" ht="12.75" hidden="1" customHeight="1">
      <c r="A187" s="47" t="s">
        <v>218</v>
      </c>
      <c r="B187" s="51"/>
      <c r="C187" s="47" t="s">
        <v>27</v>
      </c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>
        <f t="shared" si="3"/>
        <v>0</v>
      </c>
      <c r="X187" s="44"/>
      <c r="Y187" s="44"/>
      <c r="Z187" s="44"/>
      <c r="AA187" s="44">
        <f>+'[3]Stmt net assets'!Y187</f>
        <v>0</v>
      </c>
      <c r="AB187" s="44"/>
      <c r="AC187" s="44">
        <f>+Y187+'Stmt of activities-GA rev'!AC187-'Stmt of activities-GAexp'!W187-AA187</f>
        <v>0</v>
      </c>
    </row>
    <row r="188" spans="1:29" s="47" customFormat="1" ht="12.75" customHeight="1">
      <c r="A188" s="47" t="s">
        <v>219</v>
      </c>
      <c r="B188" s="51"/>
      <c r="C188" s="47" t="s">
        <v>199</v>
      </c>
      <c r="E188" s="44">
        <v>1811263</v>
      </c>
      <c r="F188" s="44"/>
      <c r="G188" s="44">
        <v>97457</v>
      </c>
      <c r="H188" s="44"/>
      <c r="I188" s="44">
        <v>650107</v>
      </c>
      <c r="J188" s="44"/>
      <c r="K188" s="44">
        <v>0</v>
      </c>
      <c r="L188" s="44"/>
      <c r="M188" s="44">
        <v>823392</v>
      </c>
      <c r="N188" s="44"/>
      <c r="O188" s="44">
        <v>383644</v>
      </c>
      <c r="P188" s="44"/>
      <c r="Q188" s="44">
        <v>665378</v>
      </c>
      <c r="R188" s="44"/>
      <c r="S188" s="44">
        <v>0</v>
      </c>
      <c r="T188" s="44"/>
      <c r="U188" s="44">
        <v>68506</v>
      </c>
      <c r="V188" s="44"/>
      <c r="W188" s="44">
        <f t="shared" si="3"/>
        <v>4499747</v>
      </c>
      <c r="X188" s="44"/>
      <c r="Y188" s="44">
        <v>7021631</v>
      </c>
      <c r="Z188" s="44"/>
      <c r="AA188" s="44">
        <f>+'[3]Stmt net assets'!Y188</f>
        <v>7229402</v>
      </c>
      <c r="AB188" s="44"/>
      <c r="AC188" s="44">
        <f>+Y188+'Stmt of activities-GA rev'!AC188-'Stmt of activities-GAexp'!W188-AA188</f>
        <v>0</v>
      </c>
    </row>
    <row r="189" spans="1:29" s="47" customFormat="1" ht="12.75" customHeight="1">
      <c r="A189" s="47" t="s">
        <v>220</v>
      </c>
      <c r="B189" s="51"/>
      <c r="C189" s="47" t="s">
        <v>66</v>
      </c>
      <c r="E189" s="44">
        <v>6487657</v>
      </c>
      <c r="F189" s="44"/>
      <c r="G189" s="44">
        <v>1538</v>
      </c>
      <c r="H189" s="44"/>
      <c r="I189" s="44">
        <v>54571</v>
      </c>
      <c r="J189" s="44"/>
      <c r="K189" s="44">
        <v>547217</v>
      </c>
      <c r="L189" s="44"/>
      <c r="M189" s="44">
        <v>1650345</v>
      </c>
      <c r="N189" s="44"/>
      <c r="O189" s="44">
        <v>0</v>
      </c>
      <c r="P189" s="44"/>
      <c r="Q189" s="44">
        <v>2648526</v>
      </c>
      <c r="R189" s="44"/>
      <c r="S189" s="44">
        <v>0</v>
      </c>
      <c r="T189" s="44"/>
      <c r="U189" s="44">
        <v>138286</v>
      </c>
      <c r="V189" s="44"/>
      <c r="W189" s="44">
        <f>SUM(E189:U189)</f>
        <v>11528140</v>
      </c>
      <c r="X189" s="44"/>
      <c r="Y189" s="44">
        <v>16523254</v>
      </c>
      <c r="Z189" s="44"/>
      <c r="AA189" s="44">
        <f>+'[3]Stmt net assets'!Y189</f>
        <v>16087469</v>
      </c>
      <c r="AB189" s="44"/>
      <c r="AC189" s="44">
        <f>+Y189+'Stmt of activities-GA rev'!AC189-'Stmt of activities-GAexp'!W189-AA189</f>
        <v>0</v>
      </c>
    </row>
    <row r="190" spans="1:29" s="47" customFormat="1" ht="12.75" customHeight="1">
      <c r="A190" s="47" t="s">
        <v>221</v>
      </c>
      <c r="B190" s="51"/>
      <c r="C190" s="47" t="s">
        <v>27</v>
      </c>
      <c r="E190" s="44">
        <v>9396241</v>
      </c>
      <c r="F190" s="44"/>
      <c r="G190" s="44">
        <v>1347437</v>
      </c>
      <c r="H190" s="44"/>
      <c r="I190" s="44">
        <v>3937438</v>
      </c>
      <c r="J190" s="44"/>
      <c r="K190" s="44">
        <v>801140</v>
      </c>
      <c r="L190" s="44"/>
      <c r="M190" s="44">
        <v>3195503</v>
      </c>
      <c r="N190" s="44"/>
      <c r="O190" s="44">
        <v>1609178</v>
      </c>
      <c r="P190" s="44"/>
      <c r="Q190" s="44">
        <v>8051702</v>
      </c>
      <c r="R190" s="44"/>
      <c r="S190" s="44">
        <v>0</v>
      </c>
      <c r="T190" s="44"/>
      <c r="U190" s="44">
        <v>854095</v>
      </c>
      <c r="V190" s="44"/>
      <c r="W190" s="44">
        <f>SUM(E190:U190)</f>
        <v>29192734</v>
      </c>
      <c r="X190" s="44"/>
      <c r="Y190" s="44">
        <v>42246961</v>
      </c>
      <c r="Z190" s="44"/>
      <c r="AA190" s="44">
        <f>+'[3]Stmt net assets'!Y190</f>
        <v>42568695</v>
      </c>
      <c r="AB190" s="44"/>
      <c r="AC190" s="44">
        <f>+Y190+'Stmt of activities-GA rev'!AC190-'Stmt of activities-GAexp'!W190-AA190</f>
        <v>0</v>
      </c>
    </row>
    <row r="191" spans="1:29" s="47" customFormat="1" ht="12.75" customHeight="1">
      <c r="A191" s="47" t="s">
        <v>222</v>
      </c>
      <c r="B191" s="51"/>
      <c r="C191" s="47" t="s">
        <v>47</v>
      </c>
      <c r="E191" s="44">
        <v>2349524</v>
      </c>
      <c r="F191" s="44"/>
      <c r="G191" s="44">
        <v>0</v>
      </c>
      <c r="H191" s="44"/>
      <c r="I191" s="44">
        <v>435566</v>
      </c>
      <c r="J191" s="44"/>
      <c r="K191" s="44">
        <v>0</v>
      </c>
      <c r="L191" s="44"/>
      <c r="M191" s="44">
        <v>1283698</v>
      </c>
      <c r="N191" s="44"/>
      <c r="O191" s="44">
        <v>243228</v>
      </c>
      <c r="P191" s="44"/>
      <c r="Q191" s="44">
        <v>1174189</v>
      </c>
      <c r="R191" s="44"/>
      <c r="S191" s="44">
        <v>0</v>
      </c>
      <c r="T191" s="44"/>
      <c r="U191" s="44">
        <v>270403</v>
      </c>
      <c r="V191" s="44"/>
      <c r="W191" s="44">
        <f t="shared" si="3"/>
        <v>5756608</v>
      </c>
      <c r="X191" s="44"/>
      <c r="Y191" s="44">
        <v>2938125</v>
      </c>
      <c r="Z191" s="44"/>
      <c r="AA191" s="44">
        <f>+'[3]Stmt net assets'!Y191</f>
        <v>5842994</v>
      </c>
      <c r="AB191" s="44"/>
      <c r="AC191" s="44">
        <f>+Y191+'Stmt of activities-GA rev'!AC191-'Stmt of activities-GAexp'!W191-AA191</f>
        <v>0</v>
      </c>
    </row>
    <row r="192" spans="1:29" s="47" customFormat="1" ht="12.75" customHeight="1">
      <c r="A192" s="47" t="s">
        <v>223</v>
      </c>
      <c r="B192" s="51"/>
      <c r="C192" s="47" t="s">
        <v>94</v>
      </c>
      <c r="E192" s="44">
        <v>4017233</v>
      </c>
      <c r="F192" s="44"/>
      <c r="G192" s="44">
        <v>0</v>
      </c>
      <c r="H192" s="44"/>
      <c r="I192" s="44">
        <v>562624</v>
      </c>
      <c r="J192" s="44"/>
      <c r="K192" s="44">
        <v>616095</v>
      </c>
      <c r="L192" s="44"/>
      <c r="M192" s="44">
        <v>1685193</v>
      </c>
      <c r="N192" s="44"/>
      <c r="O192" s="44">
        <v>0</v>
      </c>
      <c r="P192" s="44"/>
      <c r="Q192" s="44">
        <v>1199000</v>
      </c>
      <c r="R192" s="44"/>
      <c r="S192" s="44">
        <v>0</v>
      </c>
      <c r="T192" s="44"/>
      <c r="U192" s="44">
        <v>176394</v>
      </c>
      <c r="V192" s="44"/>
      <c r="W192" s="44">
        <f t="shared" si="3"/>
        <v>8256539</v>
      </c>
      <c r="X192" s="44"/>
      <c r="Y192" s="44">
        <v>18774124</v>
      </c>
      <c r="Z192" s="44"/>
      <c r="AA192" s="44">
        <f>+'[3]Stmt net assets'!Y192</f>
        <v>17800947</v>
      </c>
      <c r="AB192" s="44"/>
      <c r="AC192" s="44">
        <f>+Y192+'Stmt of activities-GA rev'!AC192-'Stmt of activities-GAexp'!W192-AA192</f>
        <v>0</v>
      </c>
    </row>
    <row r="193" spans="1:30" s="47" customFormat="1" ht="12.75" customHeight="1">
      <c r="A193" s="47" t="s">
        <v>76</v>
      </c>
      <c r="B193" s="51"/>
      <c r="C193" s="47" t="s">
        <v>132</v>
      </c>
      <c r="E193" s="44">
        <f>5874509+5937365+314316</f>
        <v>12126190</v>
      </c>
      <c r="F193" s="44"/>
      <c r="G193" s="44">
        <v>403533</v>
      </c>
      <c r="H193" s="44"/>
      <c r="I193" s="44">
        <v>601231</v>
      </c>
      <c r="J193" s="44"/>
      <c r="K193" s="44">
        <v>3310344</v>
      </c>
      <c r="L193" s="44"/>
      <c r="M193" s="44">
        <v>4303144</v>
      </c>
      <c r="N193" s="44"/>
      <c r="O193" s="44">
        <v>0</v>
      </c>
      <c r="P193" s="44"/>
      <c r="Q193" s="44">
        <f>870524+4408458</f>
        <v>5278982</v>
      </c>
      <c r="R193" s="44"/>
      <c r="S193" s="44">
        <v>0</v>
      </c>
      <c r="T193" s="44"/>
      <c r="U193" s="44">
        <v>1447618</v>
      </c>
      <c r="V193" s="44"/>
      <c r="W193" s="44">
        <f t="shared" si="3"/>
        <v>27471042</v>
      </c>
      <c r="X193" s="44"/>
      <c r="Y193" s="44">
        <v>48814128</v>
      </c>
      <c r="Z193" s="44"/>
      <c r="AA193" s="44">
        <f>+'[3]Stmt net assets'!Y193</f>
        <v>51835041</v>
      </c>
      <c r="AB193" s="44"/>
      <c r="AC193" s="44">
        <f>+Y193+'Stmt of activities-GA rev'!AC193-'Stmt of activities-GAexp'!W193-AA193</f>
        <v>0</v>
      </c>
    </row>
    <row r="194" spans="1:30" s="47" customFormat="1" ht="12.75" customHeight="1">
      <c r="A194" s="47" t="s">
        <v>224</v>
      </c>
      <c r="B194" s="51"/>
      <c r="C194" s="47" t="s">
        <v>27</v>
      </c>
      <c r="E194" s="44">
        <v>3723982</v>
      </c>
      <c r="F194" s="44"/>
      <c r="G194" s="44">
        <v>913647</v>
      </c>
      <c r="H194" s="44"/>
      <c r="I194" s="44">
        <v>1555010</v>
      </c>
      <c r="J194" s="44"/>
      <c r="K194" s="44">
        <v>504838</v>
      </c>
      <c r="L194" s="44"/>
      <c r="M194" s="44">
        <v>1962748</v>
      </c>
      <c r="N194" s="44"/>
      <c r="O194" s="44">
        <v>26512</v>
      </c>
      <c r="P194" s="44"/>
      <c r="Q194" s="44">
        <v>2435759</v>
      </c>
      <c r="R194" s="44"/>
      <c r="S194" s="44">
        <v>0</v>
      </c>
      <c r="T194" s="44"/>
      <c r="U194" s="44">
        <v>947262</v>
      </c>
      <c r="V194" s="44"/>
      <c r="W194" s="44">
        <f t="shared" si="3"/>
        <v>12069758</v>
      </c>
      <c r="X194" s="44"/>
      <c r="Y194" s="44">
        <v>15137013</v>
      </c>
      <c r="Z194" s="44"/>
      <c r="AA194" s="44">
        <f>+'[3]Stmt net assets'!Y194</f>
        <v>15398746</v>
      </c>
      <c r="AB194" s="44"/>
      <c r="AC194" s="44">
        <f>+Y194+'Stmt of activities-GA rev'!AC194-'Stmt of activities-GAexp'!W194-AA194</f>
        <v>0</v>
      </c>
    </row>
    <row r="195" spans="1:30" s="47" customFormat="1" ht="12.75" customHeight="1">
      <c r="B195" s="51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8" t="s">
        <v>484</v>
      </c>
      <c r="AB195" s="44"/>
      <c r="AC195" s="44"/>
    </row>
    <row r="196" spans="1:30" s="47" customFormat="1" ht="12.75" customHeight="1">
      <c r="A196" s="47" t="s">
        <v>225</v>
      </c>
      <c r="B196" s="51"/>
      <c r="C196" s="47" t="s">
        <v>27</v>
      </c>
      <c r="E196" s="46">
        <f>13711254+8936715+810812</f>
        <v>23458781</v>
      </c>
      <c r="F196" s="46"/>
      <c r="G196" s="46">
        <v>448703</v>
      </c>
      <c r="H196" s="46"/>
      <c r="I196" s="46">
        <f>2781689+1095787</f>
        <v>3877476</v>
      </c>
      <c r="J196" s="46"/>
      <c r="K196" s="46">
        <v>6989574</v>
      </c>
      <c r="L196" s="46"/>
      <c r="M196" s="46">
        <v>2817752</v>
      </c>
      <c r="N196" s="46"/>
      <c r="O196" s="46">
        <v>5018134</v>
      </c>
      <c r="P196" s="46"/>
      <c r="Q196" s="46">
        <f>4727200+2360541</f>
        <v>7087741</v>
      </c>
      <c r="R196" s="46"/>
      <c r="S196" s="46">
        <v>3905495</v>
      </c>
      <c r="T196" s="46"/>
      <c r="U196" s="46">
        <v>1001492</v>
      </c>
      <c r="V196" s="46"/>
      <c r="W196" s="46">
        <f t="shared" si="3"/>
        <v>54605148</v>
      </c>
      <c r="X196" s="46"/>
      <c r="Y196" s="46">
        <v>106761598</v>
      </c>
      <c r="Z196" s="46"/>
      <c r="AA196" s="46">
        <f>+'[3]Stmt net assets'!Y195</f>
        <v>106633008</v>
      </c>
      <c r="AB196" s="46"/>
      <c r="AC196" s="46">
        <f>+Y196+'Stmt of activities-GA rev'!AC196-'Stmt of activities-GAexp'!W196-AA196</f>
        <v>0</v>
      </c>
    </row>
    <row r="197" spans="1:30" s="47" customFormat="1" ht="12.75" customHeight="1">
      <c r="A197" s="47" t="s">
        <v>226</v>
      </c>
      <c r="B197" s="51"/>
      <c r="C197" s="47" t="s">
        <v>45</v>
      </c>
      <c r="E197" s="44">
        <v>12460884</v>
      </c>
      <c r="F197" s="44"/>
      <c r="G197" s="44">
        <v>417441</v>
      </c>
      <c r="H197" s="44"/>
      <c r="I197" s="44">
        <v>3329341</v>
      </c>
      <c r="J197" s="44"/>
      <c r="K197" s="44">
        <v>479941</v>
      </c>
      <c r="L197" s="44"/>
      <c r="M197" s="44">
        <v>3006944</v>
      </c>
      <c r="N197" s="44"/>
      <c r="O197" s="44">
        <v>555320</v>
      </c>
      <c r="P197" s="44"/>
      <c r="Q197" s="44">
        <v>4181862</v>
      </c>
      <c r="R197" s="44"/>
      <c r="S197" s="44">
        <v>0</v>
      </c>
      <c r="T197" s="44"/>
      <c r="U197" s="44">
        <v>809105</v>
      </c>
      <c r="V197" s="44"/>
      <c r="W197" s="44">
        <f t="shared" si="3"/>
        <v>25240838</v>
      </c>
      <c r="X197" s="44"/>
      <c r="Y197" s="44">
        <v>25909579</v>
      </c>
      <c r="Z197" s="44"/>
      <c r="AA197" s="44">
        <f>+'[3]Stmt net assets'!Y196</f>
        <v>28192528</v>
      </c>
      <c r="AB197" s="44"/>
      <c r="AC197" s="44">
        <f>+Y197+'Stmt of activities-GA rev'!AC197-'Stmt of activities-GAexp'!W197-AA197</f>
        <v>0</v>
      </c>
      <c r="AD197" s="103"/>
    </row>
    <row r="198" spans="1:30" s="46" customFormat="1" ht="12.75" customHeight="1">
      <c r="A198" s="46" t="s">
        <v>227</v>
      </c>
      <c r="B198" s="66"/>
      <c r="C198" s="46" t="s">
        <v>17</v>
      </c>
      <c r="E198" s="44">
        <v>2799676</v>
      </c>
      <c r="F198" s="44"/>
      <c r="G198" s="44">
        <v>58279</v>
      </c>
      <c r="H198" s="44"/>
      <c r="I198" s="44">
        <v>142531</v>
      </c>
      <c r="J198" s="44"/>
      <c r="K198" s="44">
        <v>376925</v>
      </c>
      <c r="L198" s="44"/>
      <c r="M198" s="44">
        <v>1707779</v>
      </c>
      <c r="N198" s="44"/>
      <c r="O198" s="44">
        <v>620240</v>
      </c>
      <c r="P198" s="44"/>
      <c r="Q198" s="44">
        <v>906254</v>
      </c>
      <c r="R198" s="44"/>
      <c r="S198" s="44">
        <v>0</v>
      </c>
      <c r="T198" s="44"/>
      <c r="U198" s="44">
        <v>157835</v>
      </c>
      <c r="V198" s="44"/>
      <c r="W198" s="44">
        <f t="shared" si="3"/>
        <v>6769519</v>
      </c>
      <c r="X198" s="44"/>
      <c r="Y198" s="44">
        <v>12792816</v>
      </c>
      <c r="Z198" s="44"/>
      <c r="AA198" s="44">
        <f>+'[3]Stmt net assets'!Y198</f>
        <v>14619696</v>
      </c>
      <c r="AB198" s="44"/>
      <c r="AC198" s="44">
        <f>+Y198+'Stmt of activities-GA rev'!AC198-'Stmt of activities-GAexp'!W198-AA198</f>
        <v>0</v>
      </c>
    </row>
    <row r="199" spans="1:30" s="47" customFormat="1" ht="12.75" customHeight="1">
      <c r="A199" s="47" t="s">
        <v>228</v>
      </c>
      <c r="B199" s="51"/>
      <c r="C199" s="47" t="s">
        <v>153</v>
      </c>
      <c r="E199" s="44">
        <v>3287597</v>
      </c>
      <c r="F199" s="44"/>
      <c r="G199" s="44">
        <v>336309</v>
      </c>
      <c r="H199" s="44"/>
      <c r="I199" s="44">
        <v>79656</v>
      </c>
      <c r="J199" s="44"/>
      <c r="K199" s="44">
        <v>1203284</v>
      </c>
      <c r="L199" s="44"/>
      <c r="M199" s="44">
        <v>1472326</v>
      </c>
      <c r="N199" s="44"/>
      <c r="O199" s="44">
        <v>681</v>
      </c>
      <c r="P199" s="44"/>
      <c r="Q199" s="44">
        <v>1425754</v>
      </c>
      <c r="R199" s="44"/>
      <c r="S199" s="44">
        <v>29001</v>
      </c>
      <c r="T199" s="44"/>
      <c r="U199" s="44">
        <v>52753</v>
      </c>
      <c r="V199" s="44"/>
      <c r="W199" s="44">
        <f t="shared" si="3"/>
        <v>7887361</v>
      </c>
      <c r="X199" s="44"/>
      <c r="Y199" s="44">
        <v>21334307</v>
      </c>
      <c r="Z199" s="44"/>
      <c r="AA199" s="44">
        <f>+'[3]Stmt net assets'!Y199</f>
        <v>21976199</v>
      </c>
      <c r="AB199" s="44"/>
      <c r="AC199" s="44">
        <f>+Y199+'Stmt of activities-GA rev'!AC199-'Stmt of activities-GAexp'!W199-AA199</f>
        <v>0</v>
      </c>
    </row>
    <row r="200" spans="1:30" s="47" customFormat="1" ht="12.75" customHeight="1">
      <c r="A200" s="47" t="s">
        <v>229</v>
      </c>
      <c r="B200" s="51"/>
      <c r="C200" s="47" t="s">
        <v>228</v>
      </c>
      <c r="E200" s="44">
        <f>6389260+4656979</f>
        <v>11046239</v>
      </c>
      <c r="F200" s="44"/>
      <c r="G200" s="44">
        <v>239068</v>
      </c>
      <c r="H200" s="44"/>
      <c r="I200" s="44">
        <v>1670604</v>
      </c>
      <c r="J200" s="44"/>
      <c r="K200" s="44">
        <f>1584065+1152583</f>
        <v>2736648</v>
      </c>
      <c r="L200" s="44"/>
      <c r="M200" s="44">
        <v>3308905</v>
      </c>
      <c r="N200" s="44"/>
      <c r="O200" s="44">
        <v>24630</v>
      </c>
      <c r="P200" s="44"/>
      <c r="Q200" s="44">
        <f>1842173+1588281</f>
        <v>3430454</v>
      </c>
      <c r="R200" s="44"/>
      <c r="S200" s="44">
        <v>0</v>
      </c>
      <c r="T200" s="44"/>
      <c r="U200" s="44">
        <v>386824</v>
      </c>
      <c r="V200" s="44"/>
      <c r="W200" s="44">
        <f t="shared" si="3"/>
        <v>22843372</v>
      </c>
      <c r="X200" s="44"/>
      <c r="Y200" s="44">
        <v>59739601</v>
      </c>
      <c r="Z200" s="44"/>
      <c r="AA200" s="44">
        <f>+'[3]Stmt net assets'!Y200</f>
        <v>56925291</v>
      </c>
      <c r="AB200" s="44"/>
      <c r="AC200" s="44">
        <f>+Y200+'Stmt of activities-GA rev'!AC200-'Stmt of activities-GAexp'!W200-AA200</f>
        <v>0</v>
      </c>
    </row>
    <row r="201" spans="1:30" s="47" customFormat="1" ht="12.75" customHeight="1">
      <c r="A201" s="47" t="s">
        <v>230</v>
      </c>
      <c r="B201" s="51"/>
      <c r="C201" s="47" t="s">
        <v>45</v>
      </c>
      <c r="E201" s="44">
        <v>1423242</v>
      </c>
      <c r="F201" s="44"/>
      <c r="G201" s="44">
        <v>4892</v>
      </c>
      <c r="H201" s="44"/>
      <c r="I201" s="44">
        <v>21359</v>
      </c>
      <c r="J201" s="44"/>
      <c r="K201" s="44">
        <v>342706</v>
      </c>
      <c r="L201" s="44"/>
      <c r="M201" s="44">
        <v>373809</v>
      </c>
      <c r="N201" s="44"/>
      <c r="O201" s="44">
        <v>0</v>
      </c>
      <c r="P201" s="44"/>
      <c r="Q201" s="44">
        <v>1033345</v>
      </c>
      <c r="R201" s="44"/>
      <c r="S201" s="44">
        <v>0</v>
      </c>
      <c r="T201" s="44"/>
      <c r="U201" s="44">
        <v>14657</v>
      </c>
      <c r="V201" s="44"/>
      <c r="W201" s="44">
        <f t="shared" si="3"/>
        <v>3214010</v>
      </c>
      <c r="X201" s="44"/>
      <c r="Y201" s="44">
        <v>4924152</v>
      </c>
      <c r="Z201" s="44"/>
      <c r="AA201" s="44">
        <f>+'[3]Stmt net assets'!Y201</f>
        <v>4852801</v>
      </c>
      <c r="AB201" s="44"/>
      <c r="AC201" s="44">
        <f>+Y201+'Stmt of activities-GA rev'!AC201-'Stmt of activities-GAexp'!W201-AA201</f>
        <v>0</v>
      </c>
    </row>
    <row r="202" spans="1:30" s="47" customFormat="1" ht="12.75" customHeight="1">
      <c r="A202" s="47" t="s">
        <v>231</v>
      </c>
      <c r="B202" s="51"/>
      <c r="C202" s="47" t="s">
        <v>27</v>
      </c>
      <c r="E202" s="44">
        <f>8558640+8312572+299401</f>
        <v>17170613</v>
      </c>
      <c r="F202" s="44"/>
      <c r="G202" s="44">
        <v>82050</v>
      </c>
      <c r="H202" s="44"/>
      <c r="I202" s="44">
        <v>6607556</v>
      </c>
      <c r="J202" s="44"/>
      <c r="K202" s="44">
        <v>3343663</v>
      </c>
      <c r="L202" s="44"/>
      <c r="M202" s="44">
        <v>14973096</v>
      </c>
      <c r="N202" s="44"/>
      <c r="O202" s="44">
        <v>2839393</v>
      </c>
      <c r="P202" s="44"/>
      <c r="Q202" s="44">
        <v>7532794</v>
      </c>
      <c r="R202" s="44"/>
      <c r="S202" s="44">
        <v>0</v>
      </c>
      <c r="T202" s="44"/>
      <c r="U202" s="44">
        <v>1232429</v>
      </c>
      <c r="V202" s="44"/>
      <c r="W202" s="44">
        <f t="shared" si="3"/>
        <v>53781594</v>
      </c>
      <c r="X202" s="44"/>
      <c r="Y202" s="44">
        <f>131900652-3</f>
        <v>131900649</v>
      </c>
      <c r="Z202" s="44"/>
      <c r="AA202" s="44">
        <f>+'[3]Stmt net assets'!Y202</f>
        <v>133384571</v>
      </c>
      <c r="AB202" s="44"/>
      <c r="AC202" s="44">
        <f>+Y202+'Stmt of activities-GA rev'!AC202-'Stmt of activities-GAexp'!W202-AA202</f>
        <v>0</v>
      </c>
    </row>
    <row r="203" spans="1:30" s="47" customFormat="1" ht="12.75" customHeight="1">
      <c r="A203" s="47" t="s">
        <v>232</v>
      </c>
      <c r="B203" s="51"/>
      <c r="C203" s="47" t="s">
        <v>27</v>
      </c>
      <c r="E203" s="44">
        <f>5477289+4228508</f>
        <v>9705797</v>
      </c>
      <c r="F203" s="44"/>
      <c r="G203" s="44">
        <v>133196</v>
      </c>
      <c r="H203" s="44"/>
      <c r="I203" s="44">
        <v>585200</v>
      </c>
      <c r="J203" s="44"/>
      <c r="K203" s="44">
        <v>294638</v>
      </c>
      <c r="L203" s="44"/>
      <c r="M203" s="44">
        <v>3579503</v>
      </c>
      <c r="N203" s="44"/>
      <c r="O203" s="44">
        <v>3928628</v>
      </c>
      <c r="P203" s="44"/>
      <c r="Q203" s="44">
        <f>2819870+467629</f>
        <v>3287499</v>
      </c>
      <c r="R203" s="44"/>
      <c r="S203" s="44">
        <f>420665+770710</f>
        <v>1191375</v>
      </c>
      <c r="T203" s="44"/>
      <c r="U203" s="44">
        <v>1418744</v>
      </c>
      <c r="V203" s="44"/>
      <c r="W203" s="44">
        <f t="shared" si="3"/>
        <v>24124580</v>
      </c>
      <c r="X203" s="44"/>
      <c r="Y203" s="44">
        <v>45205714</v>
      </c>
      <c r="Z203" s="44"/>
      <c r="AA203" s="44">
        <f>+'[3]Stmt net assets'!Y203</f>
        <v>45655225</v>
      </c>
      <c r="AB203" s="44"/>
      <c r="AC203" s="44">
        <f>+Y203+'Stmt of activities-GA rev'!AC203-'Stmt of activities-GAexp'!W203-AA203</f>
        <v>0</v>
      </c>
    </row>
    <row r="204" spans="1:30" s="47" customFormat="1" ht="12.75" customHeight="1">
      <c r="A204" s="47" t="s">
        <v>233</v>
      </c>
      <c r="B204" s="51"/>
      <c r="C204" s="47" t="s">
        <v>111</v>
      </c>
      <c r="E204" s="44">
        <v>2982330</v>
      </c>
      <c r="F204" s="44"/>
      <c r="G204" s="44">
        <v>14060</v>
      </c>
      <c r="H204" s="44"/>
      <c r="I204" s="44">
        <v>626883</v>
      </c>
      <c r="J204" s="44"/>
      <c r="K204" s="44">
        <v>582985</v>
      </c>
      <c r="L204" s="44"/>
      <c r="M204" s="44">
        <v>2492616</v>
      </c>
      <c r="N204" s="44"/>
      <c r="O204" s="44">
        <v>0</v>
      </c>
      <c r="P204" s="44"/>
      <c r="Q204" s="44">
        <v>5545843</v>
      </c>
      <c r="R204" s="44"/>
      <c r="S204" s="44">
        <v>0</v>
      </c>
      <c r="T204" s="44"/>
      <c r="U204" s="44">
        <v>433470</v>
      </c>
      <c r="V204" s="44"/>
      <c r="W204" s="44">
        <f t="shared" si="3"/>
        <v>12678187</v>
      </c>
      <c r="X204" s="44"/>
      <c r="Y204" s="44">
        <v>50090963</v>
      </c>
      <c r="Z204" s="44"/>
      <c r="AA204" s="44">
        <f>+'[3]Stmt net assets'!Y204</f>
        <v>50563255</v>
      </c>
      <c r="AB204" s="44"/>
      <c r="AC204" s="44">
        <f>+Y204+'Stmt of activities-GA rev'!AC204-'Stmt of activities-GAexp'!W204-AA204</f>
        <v>0</v>
      </c>
    </row>
    <row r="205" spans="1:30" s="47" customFormat="1" ht="12.75" customHeight="1">
      <c r="A205" s="47" t="s">
        <v>234</v>
      </c>
      <c r="B205" s="51"/>
      <c r="C205" s="47" t="s">
        <v>45</v>
      </c>
      <c r="E205" s="44">
        <v>8621252</v>
      </c>
      <c r="F205" s="44"/>
      <c r="G205" s="44">
        <v>350211</v>
      </c>
      <c r="H205" s="44"/>
      <c r="I205" s="44">
        <v>2165723</v>
      </c>
      <c r="J205" s="44"/>
      <c r="K205" s="44">
        <v>569724</v>
      </c>
      <c r="L205" s="44"/>
      <c r="M205" s="44">
        <v>2640191</v>
      </c>
      <c r="N205" s="44"/>
      <c r="O205" s="44">
        <v>0</v>
      </c>
      <c r="P205" s="44"/>
      <c r="Q205" s="44">
        <v>6009237</v>
      </c>
      <c r="R205" s="44"/>
      <c r="S205" s="44">
        <v>0</v>
      </c>
      <c r="T205" s="44"/>
      <c r="U205" s="44">
        <v>333887</v>
      </c>
      <c r="V205" s="44"/>
      <c r="W205" s="44">
        <f t="shared" si="3"/>
        <v>20690225</v>
      </c>
      <c r="X205" s="44"/>
      <c r="Y205" s="44">
        <v>47987413</v>
      </c>
      <c r="Z205" s="44"/>
      <c r="AA205" s="44">
        <f>+'[3]Stmt net assets'!Y205</f>
        <v>48574162</v>
      </c>
      <c r="AB205" s="44"/>
      <c r="AC205" s="44">
        <f>+Y205+'Stmt of activities-GA rev'!AC205-'Stmt of activities-GAexp'!W205-AA205</f>
        <v>0</v>
      </c>
    </row>
    <row r="206" spans="1:30" s="47" customFormat="1" ht="12.75" customHeight="1">
      <c r="A206" s="47" t="s">
        <v>235</v>
      </c>
      <c r="C206" s="47" t="s">
        <v>183</v>
      </c>
      <c r="E206" s="44">
        <v>29580447</v>
      </c>
      <c r="F206" s="44"/>
      <c r="G206" s="44">
        <v>667039</v>
      </c>
      <c r="H206" s="44"/>
      <c r="I206" s="44">
        <v>2999452</v>
      </c>
      <c r="J206" s="44"/>
      <c r="K206" s="44">
        <v>8980190</v>
      </c>
      <c r="L206" s="44"/>
      <c r="M206" s="44">
        <v>5970823</v>
      </c>
      <c r="N206" s="44"/>
      <c r="O206" s="44">
        <v>398987</v>
      </c>
      <c r="P206" s="44"/>
      <c r="Q206" s="44">
        <v>11843556</v>
      </c>
      <c r="R206" s="44"/>
      <c r="S206" s="44">
        <v>0</v>
      </c>
      <c r="T206" s="44"/>
      <c r="U206" s="44">
        <v>704636</v>
      </c>
      <c r="V206" s="44"/>
      <c r="W206" s="44">
        <f t="shared" si="3"/>
        <v>61145130</v>
      </c>
      <c r="X206" s="44"/>
      <c r="Y206" s="44">
        <v>95134334</v>
      </c>
      <c r="Z206" s="44"/>
      <c r="AA206" s="44">
        <f>+'[3]Stmt net assets'!Y206</f>
        <v>97335686</v>
      </c>
      <c r="AB206" s="44"/>
      <c r="AC206" s="44">
        <f>+Y206+'Stmt of activities-GA rev'!AC206-'Stmt of activities-GAexp'!W206-AA206</f>
        <v>0</v>
      </c>
    </row>
    <row r="207" spans="1:30" s="47" customFormat="1" ht="12.75" customHeight="1">
      <c r="A207" s="47" t="s">
        <v>236</v>
      </c>
      <c r="B207" s="51"/>
      <c r="C207" s="47" t="s">
        <v>45</v>
      </c>
      <c r="E207" s="44">
        <v>4701433</v>
      </c>
      <c r="F207" s="44"/>
      <c r="G207" s="44">
        <v>93636</v>
      </c>
      <c r="H207" s="44"/>
      <c r="I207" s="44">
        <v>466951</v>
      </c>
      <c r="J207" s="44"/>
      <c r="K207" s="44">
        <v>2000</v>
      </c>
      <c r="L207" s="44"/>
      <c r="M207" s="44">
        <v>1056942</v>
      </c>
      <c r="N207" s="44"/>
      <c r="O207" s="44">
        <v>18721</v>
      </c>
      <c r="P207" s="44"/>
      <c r="Q207" s="44">
        <v>3840618</v>
      </c>
      <c r="R207" s="44"/>
      <c r="S207" s="44">
        <v>1353564</v>
      </c>
      <c r="T207" s="44"/>
      <c r="U207" s="44">
        <v>97747</v>
      </c>
      <c r="V207" s="44"/>
      <c r="W207" s="44">
        <f t="shared" si="3"/>
        <v>11631612</v>
      </c>
      <c r="X207" s="44"/>
      <c r="Y207" s="44">
        <v>19401826</v>
      </c>
      <c r="Z207" s="44"/>
      <c r="AA207" s="44">
        <f>+'[3]Stmt net assets'!Y207</f>
        <v>22624559</v>
      </c>
      <c r="AB207" s="44"/>
      <c r="AC207" s="44">
        <f>+Y207+'Stmt of activities-GA rev'!AC207-'Stmt of activities-GAexp'!W207-AA207</f>
        <v>0</v>
      </c>
    </row>
    <row r="208" spans="1:30" s="47" customFormat="1" ht="12.75" customHeight="1">
      <c r="A208" s="47" t="s">
        <v>237</v>
      </c>
      <c r="B208" s="51"/>
      <c r="C208" s="47" t="s">
        <v>33</v>
      </c>
      <c r="E208" s="44">
        <v>1049542</v>
      </c>
      <c r="F208" s="44"/>
      <c r="G208" s="44">
        <v>16300</v>
      </c>
      <c r="H208" s="44"/>
      <c r="I208" s="44">
        <v>494204</v>
      </c>
      <c r="J208" s="44"/>
      <c r="K208" s="44">
        <v>1121788</v>
      </c>
      <c r="L208" s="44"/>
      <c r="M208" s="44">
        <v>570477</v>
      </c>
      <c r="N208" s="44"/>
      <c r="O208" s="44">
        <v>0</v>
      </c>
      <c r="P208" s="44"/>
      <c r="Q208" s="44">
        <v>372272</v>
      </c>
      <c r="R208" s="44"/>
      <c r="S208" s="44">
        <v>0</v>
      </c>
      <c r="T208" s="44"/>
      <c r="U208" s="44">
        <v>52839</v>
      </c>
      <c r="V208" s="44"/>
      <c r="W208" s="44">
        <f t="shared" si="3"/>
        <v>3677422</v>
      </c>
      <c r="X208" s="44"/>
      <c r="Y208" s="44">
        <v>5895557</v>
      </c>
      <c r="Z208" s="44"/>
      <c r="AA208" s="44">
        <f>+'[3]Stmt net assets'!Y208</f>
        <v>6383091</v>
      </c>
      <c r="AB208" s="44"/>
      <c r="AC208" s="44">
        <f>+Y208+'Stmt of activities-GA rev'!AC208-'Stmt of activities-GAexp'!W208-AA208</f>
        <v>0</v>
      </c>
    </row>
    <row r="209" spans="1:29" s="47" customFormat="1" ht="12.75" customHeight="1">
      <c r="A209" s="47" t="s">
        <v>238</v>
      </c>
      <c r="B209" s="51"/>
      <c r="C209" s="47" t="s">
        <v>239</v>
      </c>
      <c r="E209" s="44">
        <v>3129436</v>
      </c>
      <c r="F209" s="44"/>
      <c r="G209" s="44">
        <v>13583</v>
      </c>
      <c r="H209" s="44"/>
      <c r="I209" s="44">
        <v>465614</v>
      </c>
      <c r="J209" s="44"/>
      <c r="K209" s="44">
        <v>23336</v>
      </c>
      <c r="L209" s="44"/>
      <c r="M209" s="44">
        <v>1769028</v>
      </c>
      <c r="N209" s="44"/>
      <c r="O209" s="44">
        <v>0</v>
      </c>
      <c r="P209" s="44"/>
      <c r="Q209" s="44">
        <v>1308917</v>
      </c>
      <c r="R209" s="44"/>
      <c r="S209" s="44">
        <v>12281</v>
      </c>
      <c r="T209" s="44"/>
      <c r="U209" s="44">
        <v>23949</v>
      </c>
      <c r="V209" s="44"/>
      <c r="W209" s="44">
        <f t="shared" si="3"/>
        <v>6746144</v>
      </c>
      <c r="X209" s="44"/>
      <c r="Y209" s="44">
        <v>32541142</v>
      </c>
      <c r="Z209" s="44"/>
      <c r="AA209" s="44">
        <f>+'[3]Stmt net assets'!Y209</f>
        <v>33178722</v>
      </c>
      <c r="AB209" s="44"/>
      <c r="AC209" s="44">
        <f>+Y209+'Stmt of activities-GA rev'!AC209-'Stmt of activities-GAexp'!W209-AA209</f>
        <v>0</v>
      </c>
    </row>
    <row r="210" spans="1:29" s="47" customFormat="1" ht="12.75" customHeight="1">
      <c r="A210" s="47" t="s">
        <v>486</v>
      </c>
      <c r="B210" s="51"/>
      <c r="C210" s="47" t="s">
        <v>249</v>
      </c>
      <c r="E210" s="44">
        <v>8339319</v>
      </c>
      <c r="F210" s="44"/>
      <c r="G210" s="44">
        <v>673311</v>
      </c>
      <c r="H210" s="44"/>
      <c r="I210" s="44">
        <v>1134775</v>
      </c>
      <c r="J210" s="44"/>
      <c r="K210" s="44">
        <v>798136</v>
      </c>
      <c r="L210" s="44"/>
      <c r="M210" s="44">
        <v>3128182</v>
      </c>
      <c r="N210" s="44"/>
      <c r="O210" s="44">
        <v>0</v>
      </c>
      <c r="P210" s="44"/>
      <c r="Q210" s="44">
        <v>3483576</v>
      </c>
      <c r="R210" s="44"/>
      <c r="S210" s="44">
        <v>0</v>
      </c>
      <c r="T210" s="44"/>
      <c r="U210" s="44">
        <v>166141</v>
      </c>
      <c r="V210" s="44"/>
      <c r="W210" s="44">
        <f>SUM(E210:U210)</f>
        <v>17723440</v>
      </c>
      <c r="X210" s="44"/>
      <c r="Y210" s="44">
        <v>25835663</v>
      </c>
      <c r="Z210" s="44"/>
      <c r="AA210" s="44">
        <f>+'[3]Stmt net assets'!Y210</f>
        <v>25105268</v>
      </c>
      <c r="AB210" s="44"/>
      <c r="AC210" s="44">
        <f>+Y210+'Stmt of activities-GA rev'!AC210-'Stmt of activities-GAexp'!W210-AA210</f>
        <v>0</v>
      </c>
    </row>
    <row r="211" spans="1:29" s="47" customFormat="1" ht="12.75" customHeight="1">
      <c r="A211" s="47" t="s">
        <v>240</v>
      </c>
      <c r="B211" s="51"/>
      <c r="C211" s="47" t="s">
        <v>13</v>
      </c>
      <c r="E211" s="44">
        <v>13859296</v>
      </c>
      <c r="F211" s="44"/>
      <c r="G211" s="44">
        <v>444519</v>
      </c>
      <c r="H211" s="44"/>
      <c r="I211" s="44">
        <v>2125978</v>
      </c>
      <c r="J211" s="44"/>
      <c r="K211" s="44">
        <v>1480075</v>
      </c>
      <c r="L211" s="44"/>
      <c r="M211" s="44">
        <v>3671513</v>
      </c>
      <c r="N211" s="44"/>
      <c r="O211" s="44">
        <v>0</v>
      </c>
      <c r="P211" s="44"/>
      <c r="Q211" s="44">
        <v>6404333</v>
      </c>
      <c r="R211" s="44"/>
      <c r="S211" s="44">
        <v>0</v>
      </c>
      <c r="T211" s="44"/>
      <c r="U211" s="44">
        <v>859793</v>
      </c>
      <c r="V211" s="44"/>
      <c r="W211" s="44">
        <f t="shared" si="3"/>
        <v>28845507</v>
      </c>
      <c r="X211" s="44"/>
      <c r="Y211" s="44">
        <v>43139025</v>
      </c>
      <c r="Z211" s="44"/>
      <c r="AA211" s="44">
        <f>+'[3]Stmt net assets'!Y211</f>
        <v>48574653</v>
      </c>
      <c r="AB211" s="44"/>
      <c r="AC211" s="44">
        <f>+Y211+'Stmt of activities-GA rev'!AC211-'Stmt of activities-GAexp'!W211-AA211</f>
        <v>0</v>
      </c>
    </row>
    <row r="212" spans="1:29" s="122" customFormat="1" ht="12.75" hidden="1" customHeight="1">
      <c r="A212" s="122" t="s">
        <v>241</v>
      </c>
      <c r="B212" s="124"/>
      <c r="C212" s="122" t="s">
        <v>22</v>
      </c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>
        <f t="shared" si="3"/>
        <v>0</v>
      </c>
      <c r="X212" s="121"/>
      <c r="Y212" s="121"/>
      <c r="Z212" s="121"/>
      <c r="AA212" s="121">
        <f>+'[3]Stmt net assets'!Y212</f>
        <v>0</v>
      </c>
      <c r="AB212" s="121"/>
      <c r="AC212" s="44">
        <f>+Y212+'Stmt of activities-GA rev'!AC212-'Stmt of activities-GAexp'!W212-AA212</f>
        <v>0</v>
      </c>
    </row>
    <row r="213" spans="1:29" s="47" customFormat="1" ht="12.75" customHeight="1">
      <c r="A213" s="47" t="s">
        <v>242</v>
      </c>
      <c r="B213" s="51"/>
      <c r="C213" s="47" t="s">
        <v>27</v>
      </c>
      <c r="E213" s="44">
        <v>19002791</v>
      </c>
      <c r="F213" s="44"/>
      <c r="G213" s="44">
        <v>673737</v>
      </c>
      <c r="H213" s="44"/>
      <c r="I213" s="44">
        <v>5683148</v>
      </c>
      <c r="J213" s="44"/>
      <c r="K213" s="44">
        <v>1315155</v>
      </c>
      <c r="L213" s="44"/>
      <c r="M213" s="44">
        <v>15736157</v>
      </c>
      <c r="N213" s="44"/>
      <c r="O213" s="44">
        <v>2535449</v>
      </c>
      <c r="P213" s="44"/>
      <c r="Q213" s="44">
        <v>7098680</v>
      </c>
      <c r="R213" s="44"/>
      <c r="S213" s="44">
        <v>0</v>
      </c>
      <c r="T213" s="44"/>
      <c r="U213" s="44">
        <v>2128048</v>
      </c>
      <c r="V213" s="44"/>
      <c r="W213" s="44">
        <f t="shared" si="3"/>
        <v>54173165</v>
      </c>
      <c r="X213" s="44"/>
      <c r="Y213" s="44">
        <v>167025602</v>
      </c>
      <c r="Z213" s="44"/>
      <c r="AA213" s="44">
        <f>+'[3]Stmt net assets'!Y213</f>
        <v>165907787</v>
      </c>
      <c r="AB213" s="44"/>
      <c r="AC213" s="44">
        <f>+Y213+'Stmt of activities-GA rev'!AC213-'Stmt of activities-GAexp'!W213-AA213</f>
        <v>0</v>
      </c>
    </row>
    <row r="214" spans="1:29" s="47" customFormat="1" ht="12.75" customHeight="1">
      <c r="A214" s="47" t="s">
        <v>243</v>
      </c>
      <c r="B214" s="51"/>
      <c r="C214" s="47" t="s">
        <v>163</v>
      </c>
      <c r="E214" s="44">
        <v>6218221</v>
      </c>
      <c r="F214" s="44"/>
      <c r="G214" s="44">
        <v>196963</v>
      </c>
      <c r="H214" s="44"/>
      <c r="I214" s="44">
        <v>1074180</v>
      </c>
      <c r="J214" s="44"/>
      <c r="K214" s="44">
        <v>815370</v>
      </c>
      <c r="L214" s="44"/>
      <c r="M214" s="44">
        <v>3055889</v>
      </c>
      <c r="N214" s="44"/>
      <c r="O214" s="44">
        <v>1173173</v>
      </c>
      <c r="P214" s="44"/>
      <c r="Q214" s="44">
        <v>5723176</v>
      </c>
      <c r="R214" s="44"/>
      <c r="S214" s="44">
        <v>0</v>
      </c>
      <c r="T214" s="44"/>
      <c r="U214" s="44">
        <v>960853</v>
      </c>
      <c r="V214" s="44"/>
      <c r="W214" s="44">
        <f t="shared" ref="W214" si="4">SUM(E214:U214)</f>
        <v>19217825</v>
      </c>
      <c r="X214" s="44"/>
      <c r="Y214" s="44">
        <v>46790297</v>
      </c>
      <c r="Z214" s="44"/>
      <c r="AA214" s="44">
        <f>+'[3]Stmt net assets'!Y214</f>
        <v>47289021</v>
      </c>
      <c r="AB214" s="44"/>
      <c r="AC214" s="44">
        <f>+Y214+'Stmt of activities-GA rev'!AC214-'Stmt of activities-GAexp'!W214-AA214</f>
        <v>0</v>
      </c>
    </row>
    <row r="215" spans="1:29" s="47" customFormat="1" ht="12.75" customHeight="1">
      <c r="A215" s="47" t="s">
        <v>244</v>
      </c>
      <c r="B215" s="51"/>
      <c r="C215" s="47" t="s">
        <v>13</v>
      </c>
      <c r="E215" s="44">
        <f>3816522+39208+2585492</f>
        <v>6441222</v>
      </c>
      <c r="F215" s="44"/>
      <c r="G215" s="44">
        <v>72170</v>
      </c>
      <c r="H215" s="44"/>
      <c r="I215" s="44">
        <v>1817187</v>
      </c>
      <c r="J215" s="44"/>
      <c r="K215" s="44">
        <v>657143</v>
      </c>
      <c r="L215" s="44"/>
      <c r="M215" s="44">
        <v>3778324</v>
      </c>
      <c r="N215" s="44"/>
      <c r="O215" s="44">
        <v>0</v>
      </c>
      <c r="P215" s="44"/>
      <c r="Q215" s="44">
        <v>3253790</v>
      </c>
      <c r="R215" s="44"/>
      <c r="S215" s="44">
        <v>0</v>
      </c>
      <c r="T215" s="44"/>
      <c r="U215" s="44">
        <v>482825</v>
      </c>
      <c r="V215" s="44"/>
      <c r="W215" s="44">
        <f t="shared" ref="W215:W255" si="5">SUM(E215:U215)</f>
        <v>16502661</v>
      </c>
      <c r="X215" s="44"/>
      <c r="Y215" s="44">
        <v>22536429</v>
      </c>
      <c r="Z215" s="44"/>
      <c r="AA215" s="44">
        <f>+'Stmt net assets'!Y215</f>
        <v>22316878</v>
      </c>
      <c r="AB215" s="44"/>
      <c r="AC215" s="44">
        <f>+Y215+'Stmt of activities-GA rev'!AC215-'Stmt of activities-GAexp'!W215-AA215</f>
        <v>0</v>
      </c>
    </row>
    <row r="216" spans="1:29" s="47" customFormat="1" ht="12.75" customHeight="1">
      <c r="A216" s="47" t="s">
        <v>245</v>
      </c>
      <c r="B216" s="51"/>
      <c r="C216" s="47" t="s">
        <v>110</v>
      </c>
      <c r="E216" s="44">
        <v>7144494</v>
      </c>
      <c r="F216" s="44"/>
      <c r="G216" s="44">
        <v>7648</v>
      </c>
      <c r="H216" s="44"/>
      <c r="I216" s="44">
        <v>467679</v>
      </c>
      <c r="J216" s="44"/>
      <c r="K216" s="44">
        <f>366940+107043</f>
        <v>473983</v>
      </c>
      <c r="L216" s="44"/>
      <c r="M216" s="44">
        <v>1679108</v>
      </c>
      <c r="N216" s="44"/>
      <c r="O216" s="44">
        <v>13</v>
      </c>
      <c r="P216" s="44"/>
      <c r="Q216" s="44">
        <v>2950965</v>
      </c>
      <c r="R216" s="44"/>
      <c r="S216" s="44">
        <v>0</v>
      </c>
      <c r="T216" s="44"/>
      <c r="U216" s="44">
        <v>61883</v>
      </c>
      <c r="V216" s="44"/>
      <c r="W216" s="44">
        <f t="shared" si="5"/>
        <v>12785773</v>
      </c>
      <c r="X216" s="44"/>
      <c r="Y216" s="44">
        <v>25413305</v>
      </c>
      <c r="Z216" s="44"/>
      <c r="AA216" s="44">
        <f>+'Stmt net assets'!Y216</f>
        <v>26025481</v>
      </c>
      <c r="AB216" s="44"/>
      <c r="AC216" s="44">
        <f>+Y216+'Stmt of activities-GA rev'!AC216-'Stmt of activities-GAexp'!W216-AA216</f>
        <v>0</v>
      </c>
    </row>
    <row r="217" spans="1:29" s="47" customFormat="1" ht="12.75" customHeight="1">
      <c r="A217" s="47" t="s">
        <v>246</v>
      </c>
      <c r="B217" s="51"/>
      <c r="C217" s="47" t="s">
        <v>209</v>
      </c>
      <c r="E217" s="44">
        <v>3319976</v>
      </c>
      <c r="F217" s="44"/>
      <c r="G217" s="44">
        <v>0</v>
      </c>
      <c r="H217" s="44"/>
      <c r="I217" s="44">
        <v>1285709</v>
      </c>
      <c r="J217" s="44"/>
      <c r="K217" s="44">
        <v>251345</v>
      </c>
      <c r="L217" s="44"/>
      <c r="M217" s="44">
        <v>1595113</v>
      </c>
      <c r="N217" s="44"/>
      <c r="O217" s="44">
        <v>247636</v>
      </c>
      <c r="P217" s="44"/>
      <c r="Q217" s="44">
        <v>1645898</v>
      </c>
      <c r="R217" s="44"/>
      <c r="S217" s="44">
        <v>0</v>
      </c>
      <c r="T217" s="44"/>
      <c r="U217" s="44">
        <v>264771</v>
      </c>
      <c r="V217" s="44"/>
      <c r="W217" s="44">
        <f t="shared" si="5"/>
        <v>8610448</v>
      </c>
      <c r="X217" s="44"/>
      <c r="Y217" s="44">
        <v>38046588</v>
      </c>
      <c r="Z217" s="44"/>
      <c r="AA217" s="44">
        <f>+'Stmt net assets'!Y217</f>
        <v>39940544</v>
      </c>
      <c r="AB217" s="44"/>
      <c r="AC217" s="44">
        <f>+Y217+'Stmt of activities-GA rev'!AC217-'Stmt of activities-GAexp'!W217-AA217</f>
        <v>0</v>
      </c>
    </row>
    <row r="218" spans="1:29" s="47" customFormat="1" ht="12.75" customHeight="1">
      <c r="A218" s="47" t="s">
        <v>247</v>
      </c>
      <c r="C218" s="47" t="s">
        <v>163</v>
      </c>
      <c r="E218" s="44">
        <v>170767000</v>
      </c>
      <c r="F218" s="44"/>
      <c r="G218" s="44">
        <v>19104000</v>
      </c>
      <c r="H218" s="44"/>
      <c r="I218" s="44">
        <v>0</v>
      </c>
      <c r="J218" s="44"/>
      <c r="K218" s="44">
        <v>18915000</v>
      </c>
      <c r="L218" s="44"/>
      <c r="M218" s="44">
        <v>0</v>
      </c>
      <c r="N218" s="44"/>
      <c r="O218" s="44">
        <v>167000</v>
      </c>
      <c r="P218" s="44"/>
      <c r="Q218" s="44">
        <v>28673000</v>
      </c>
      <c r="R218" s="44"/>
      <c r="S218" s="44">
        <f>7397000+57508000</f>
        <v>64905000</v>
      </c>
      <c r="T218" s="44"/>
      <c r="U218" s="44">
        <v>14731000</v>
      </c>
      <c r="V218" s="44"/>
      <c r="W218" s="44">
        <f t="shared" si="5"/>
        <v>317262000</v>
      </c>
      <c r="X218" s="44"/>
      <c r="Y218" s="44">
        <v>382784000</v>
      </c>
      <c r="Z218" s="44"/>
      <c r="AA218" s="44">
        <f>+'Stmt net assets'!Y218</f>
        <v>390460000</v>
      </c>
      <c r="AB218" s="44"/>
      <c r="AC218" s="44">
        <f>+Y218+'Stmt of activities-GA rev'!AC218-'Stmt of activities-GAexp'!W218-AA218</f>
        <v>0</v>
      </c>
    </row>
    <row r="219" spans="1:29" s="44" customFormat="1" ht="12.75" customHeight="1">
      <c r="A219" s="47" t="s">
        <v>248</v>
      </c>
      <c r="B219" s="51"/>
      <c r="C219" s="47" t="s">
        <v>249</v>
      </c>
      <c r="D219" s="47"/>
      <c r="E219" s="44">
        <v>1628492</v>
      </c>
      <c r="G219" s="44">
        <v>23108</v>
      </c>
      <c r="I219" s="44">
        <v>269271</v>
      </c>
      <c r="K219" s="44">
        <v>1362761</v>
      </c>
      <c r="M219" s="44">
        <v>565178</v>
      </c>
      <c r="O219" s="44">
        <v>0</v>
      </c>
      <c r="Q219" s="44">
        <v>636559</v>
      </c>
      <c r="S219" s="44">
        <v>0</v>
      </c>
      <c r="U219" s="44">
        <v>44759</v>
      </c>
      <c r="W219" s="44">
        <f t="shared" si="5"/>
        <v>4530128</v>
      </c>
      <c r="Y219" s="44">
        <v>5509699</v>
      </c>
      <c r="AA219" s="44">
        <f>+'Stmt net assets'!Y219</f>
        <v>6188674</v>
      </c>
      <c r="AC219" s="44">
        <f>+Y219+'Stmt of activities-GA rev'!AC219-'Stmt of activities-GAexp'!W219-AA219</f>
        <v>0</v>
      </c>
    </row>
    <row r="220" spans="1:29" s="47" customFormat="1" ht="12.75" customHeight="1">
      <c r="A220" s="47" t="s">
        <v>250</v>
      </c>
      <c r="B220" s="51"/>
      <c r="C220" s="47" t="s">
        <v>103</v>
      </c>
      <c r="E220" s="44">
        <v>2495850</v>
      </c>
      <c r="F220" s="44"/>
      <c r="G220" s="44">
        <v>72783</v>
      </c>
      <c r="H220" s="44"/>
      <c r="I220" s="44">
        <v>100277</v>
      </c>
      <c r="J220" s="44"/>
      <c r="K220" s="44">
        <v>319660</v>
      </c>
      <c r="L220" s="44"/>
      <c r="M220" s="44">
        <v>433474</v>
      </c>
      <c r="N220" s="44"/>
      <c r="O220" s="44">
        <v>0</v>
      </c>
      <c r="P220" s="44"/>
      <c r="Q220" s="44">
        <v>538639</v>
      </c>
      <c r="R220" s="44"/>
      <c r="S220" s="44">
        <v>65594</v>
      </c>
      <c r="T220" s="44"/>
      <c r="U220" s="44">
        <v>21859</v>
      </c>
      <c r="V220" s="44"/>
      <c r="W220" s="44">
        <f t="shared" si="5"/>
        <v>4048136</v>
      </c>
      <c r="X220" s="44"/>
      <c r="Y220" s="44">
        <v>6123288</v>
      </c>
      <c r="Z220" s="44"/>
      <c r="AA220" s="44">
        <f>+'Stmt net assets'!Y220</f>
        <v>6204533</v>
      </c>
      <c r="AB220" s="44"/>
      <c r="AC220" s="44">
        <f>+Y220+'Stmt of activities-GA rev'!AC220-'Stmt of activities-GAexp'!W220-AA220</f>
        <v>0</v>
      </c>
    </row>
    <row r="221" spans="1:29" s="47" customFormat="1" ht="12.75" customHeight="1">
      <c r="A221" s="47" t="s">
        <v>251</v>
      </c>
      <c r="B221" s="51"/>
      <c r="C221" s="47" t="s">
        <v>66</v>
      </c>
      <c r="E221" s="44">
        <v>10146961</v>
      </c>
      <c r="F221" s="44"/>
      <c r="G221" s="44">
        <v>0</v>
      </c>
      <c r="H221" s="44"/>
      <c r="I221" s="44">
        <v>452003</v>
      </c>
      <c r="J221" s="44"/>
      <c r="K221" s="44">
        <v>1604067</v>
      </c>
      <c r="L221" s="44"/>
      <c r="M221" s="44">
        <v>3077816</v>
      </c>
      <c r="N221" s="44"/>
      <c r="O221" s="44">
        <v>0</v>
      </c>
      <c r="P221" s="44"/>
      <c r="Q221" s="44">
        <v>3503943</v>
      </c>
      <c r="R221" s="44"/>
      <c r="S221" s="44">
        <v>0</v>
      </c>
      <c r="T221" s="44"/>
      <c r="U221" s="44">
        <v>780516</v>
      </c>
      <c r="V221" s="44"/>
      <c r="W221" s="44">
        <f t="shared" si="5"/>
        <v>19565306</v>
      </c>
      <c r="X221" s="44"/>
      <c r="Y221" s="44">
        <v>43161215</v>
      </c>
      <c r="Z221" s="44"/>
      <c r="AA221" s="44">
        <f>+'Stmt net assets'!Y221</f>
        <v>42547741</v>
      </c>
      <c r="AB221" s="44"/>
      <c r="AC221" s="44">
        <f>+Y221+'Stmt of activities-GA rev'!AC221-'Stmt of activities-GAexp'!W221-AA221</f>
        <v>0</v>
      </c>
    </row>
    <row r="222" spans="1:29" s="47" customFormat="1" ht="12.75" customHeight="1">
      <c r="A222" s="47" t="s">
        <v>252</v>
      </c>
      <c r="B222" s="51"/>
      <c r="C222" s="47" t="s">
        <v>209</v>
      </c>
      <c r="E222" s="44">
        <v>9746678</v>
      </c>
      <c r="F222" s="44"/>
      <c r="G222" s="44">
        <v>469365</v>
      </c>
      <c r="H222" s="44"/>
      <c r="I222" s="44">
        <v>1821739</v>
      </c>
      <c r="J222" s="44"/>
      <c r="K222" s="44">
        <v>695455</v>
      </c>
      <c r="L222" s="44"/>
      <c r="M222" s="44">
        <v>2206531</v>
      </c>
      <c r="N222" s="44"/>
      <c r="O222" s="44">
        <v>1195413</v>
      </c>
      <c r="P222" s="44"/>
      <c r="Q222" s="44">
        <v>5103878</v>
      </c>
      <c r="R222" s="44"/>
      <c r="S222" s="44">
        <v>0</v>
      </c>
      <c r="T222" s="44"/>
      <c r="U222" s="44">
        <v>512045</v>
      </c>
      <c r="V222" s="44"/>
      <c r="W222" s="44">
        <f t="shared" si="5"/>
        <v>21751104</v>
      </c>
      <c r="X222" s="44"/>
      <c r="Y222" s="44">
        <v>77319923</v>
      </c>
      <c r="Z222" s="44"/>
      <c r="AA222" s="44">
        <f>+'Stmt net assets'!Y222</f>
        <v>80605916</v>
      </c>
      <c r="AB222" s="44"/>
      <c r="AC222" s="44">
        <f>+Y222+'Stmt of activities-GA rev'!AC222-'Stmt of activities-GAexp'!W222-AA222</f>
        <v>0</v>
      </c>
    </row>
    <row r="223" spans="1:29" s="47" customFormat="1" ht="12.75" customHeight="1">
      <c r="A223" s="47" t="s">
        <v>253</v>
      </c>
      <c r="B223" s="51"/>
      <c r="C223" s="47" t="s">
        <v>13</v>
      </c>
      <c r="E223" s="44">
        <v>9786253</v>
      </c>
      <c r="F223" s="44"/>
      <c r="G223" s="44">
        <v>0</v>
      </c>
      <c r="H223" s="44"/>
      <c r="I223" s="44">
        <v>1919690</v>
      </c>
      <c r="J223" s="44"/>
      <c r="K223" s="44">
        <v>572972</v>
      </c>
      <c r="L223" s="44"/>
      <c r="M223" s="44">
        <v>8220881</v>
      </c>
      <c r="N223" s="44"/>
      <c r="O223" s="44">
        <v>13467</v>
      </c>
      <c r="P223" s="44"/>
      <c r="Q223" s="44">
        <v>3946466</v>
      </c>
      <c r="R223" s="44"/>
      <c r="S223" s="44">
        <v>0</v>
      </c>
      <c r="T223" s="44"/>
      <c r="U223" s="44">
        <v>830913</v>
      </c>
      <c r="V223" s="44"/>
      <c r="W223" s="44">
        <f>SUM(E223:U223)</f>
        <v>25290642</v>
      </c>
      <c r="X223" s="44"/>
      <c r="Y223" s="44">
        <v>127361974</v>
      </c>
      <c r="Z223" s="44"/>
      <c r="AA223" s="44">
        <f>+'Stmt net assets'!Y223</f>
        <v>128845930</v>
      </c>
      <c r="AB223" s="44"/>
      <c r="AC223" s="44">
        <f>+Y223+'Stmt of activities-GA rev'!AC223-'Stmt of activities-GAexp'!W223-AA223</f>
        <v>0</v>
      </c>
    </row>
    <row r="224" spans="1:29" s="47" customFormat="1" ht="12.75" customHeight="1">
      <c r="A224" s="47" t="s">
        <v>254</v>
      </c>
      <c r="B224" s="51"/>
      <c r="C224" s="47" t="s">
        <v>89</v>
      </c>
      <c r="E224" s="44">
        <v>1429233</v>
      </c>
      <c r="F224" s="44"/>
      <c r="G224" s="44">
        <v>627318</v>
      </c>
      <c r="H224" s="44"/>
      <c r="I224" s="44">
        <v>56862</v>
      </c>
      <c r="J224" s="44"/>
      <c r="K224" s="44">
        <v>285675</v>
      </c>
      <c r="L224" s="44"/>
      <c r="M224" s="44">
        <v>791008</v>
      </c>
      <c r="N224" s="44"/>
      <c r="O224" s="44">
        <v>0</v>
      </c>
      <c r="P224" s="44"/>
      <c r="Q224" s="44">
        <v>682343</v>
      </c>
      <c r="R224" s="44"/>
      <c r="S224" s="44">
        <v>0</v>
      </c>
      <c r="T224" s="44"/>
      <c r="U224" s="44">
        <v>37536</v>
      </c>
      <c r="V224" s="44"/>
      <c r="W224" s="44">
        <f t="shared" si="5"/>
        <v>3909975</v>
      </c>
      <c r="X224" s="44"/>
      <c r="Y224" s="44">
        <v>6512230</v>
      </c>
      <c r="Z224" s="44"/>
      <c r="AA224" s="44">
        <f>+'Stmt net assets'!Y224</f>
        <v>7422884</v>
      </c>
      <c r="AB224" s="44"/>
      <c r="AC224" s="44">
        <f>+Y224+'Stmt of activities-GA rev'!AC224-'Stmt of activities-GAexp'!W224-AA224</f>
        <v>0</v>
      </c>
    </row>
    <row r="225" spans="1:29" s="47" customFormat="1" ht="12.75" customHeight="1">
      <c r="A225" s="47" t="s">
        <v>159</v>
      </c>
      <c r="B225" s="51"/>
      <c r="C225" s="47" t="s">
        <v>66</v>
      </c>
      <c r="E225" s="44">
        <v>1591648</v>
      </c>
      <c r="F225" s="44"/>
      <c r="G225" s="44">
        <v>13551</v>
      </c>
      <c r="H225" s="44"/>
      <c r="I225" s="44">
        <v>102527</v>
      </c>
      <c r="J225" s="44"/>
      <c r="K225" s="44">
        <v>400281</v>
      </c>
      <c r="L225" s="44"/>
      <c r="M225" s="44">
        <v>684346</v>
      </c>
      <c r="N225" s="44"/>
      <c r="O225" s="44">
        <v>0</v>
      </c>
      <c r="P225" s="44"/>
      <c r="Q225" s="44">
        <v>846316</v>
      </c>
      <c r="R225" s="44"/>
      <c r="S225" s="44">
        <v>0</v>
      </c>
      <c r="T225" s="44"/>
      <c r="U225" s="44">
        <v>70457</v>
      </c>
      <c r="V225" s="44"/>
      <c r="W225" s="44">
        <f>SUM(E225:U225)</f>
        <v>3709126</v>
      </c>
      <c r="X225" s="44"/>
      <c r="Y225" s="44">
        <v>4742389</v>
      </c>
      <c r="Z225" s="44"/>
      <c r="AA225" s="44">
        <f>+'Stmt net assets'!Y225</f>
        <v>5706838</v>
      </c>
      <c r="AB225" s="44"/>
      <c r="AC225" s="44">
        <f>+Y225+'Stmt of activities-GA rev'!AC225-'Stmt of activities-GAexp'!W225-AA225</f>
        <v>0</v>
      </c>
    </row>
    <row r="226" spans="1:29" s="47" customFormat="1" ht="12.75" customHeight="1">
      <c r="A226" s="47" t="s">
        <v>255</v>
      </c>
      <c r="B226" s="51"/>
      <c r="C226" s="47" t="s">
        <v>27</v>
      </c>
      <c r="E226" s="44">
        <v>8340255</v>
      </c>
      <c r="F226" s="44"/>
      <c r="G226" s="44">
        <v>50926</v>
      </c>
      <c r="H226" s="44"/>
      <c r="I226" s="44">
        <v>397991</v>
      </c>
      <c r="J226" s="44"/>
      <c r="K226" s="44">
        <v>5238704</v>
      </c>
      <c r="L226" s="44"/>
      <c r="M226" s="44">
        <v>1685186</v>
      </c>
      <c r="N226" s="44"/>
      <c r="O226" s="44">
        <v>2642695</v>
      </c>
      <c r="P226" s="44"/>
      <c r="Q226" s="44">
        <v>1778452</v>
      </c>
      <c r="R226" s="44"/>
      <c r="S226" s="44">
        <v>0</v>
      </c>
      <c r="T226" s="44"/>
      <c r="U226" s="44">
        <v>247824</v>
      </c>
      <c r="V226" s="44"/>
      <c r="W226" s="44">
        <f t="shared" si="5"/>
        <v>20382033</v>
      </c>
      <c r="X226" s="44"/>
      <c r="Y226" s="44">
        <v>7111017</v>
      </c>
      <c r="Z226" s="44"/>
      <c r="AA226" s="44">
        <f>+'Stmt net assets'!Y226</f>
        <v>7977201</v>
      </c>
      <c r="AB226" s="44"/>
      <c r="AC226" s="44">
        <f>+Y226+'Stmt of activities-GA rev'!AC226-'Stmt of activities-GAexp'!W226-AA226</f>
        <v>0</v>
      </c>
    </row>
    <row r="227" spans="1:29" s="151" customFormat="1" ht="12.75" customHeight="1">
      <c r="A227" s="151" t="s">
        <v>256</v>
      </c>
      <c r="B227" s="152"/>
      <c r="C227" s="151" t="s">
        <v>43</v>
      </c>
      <c r="E227" s="44">
        <v>15775860</v>
      </c>
      <c r="F227" s="44"/>
      <c r="G227" s="44">
        <v>0</v>
      </c>
      <c r="H227" s="44"/>
      <c r="I227" s="44">
        <v>3330706</v>
      </c>
      <c r="J227" s="44"/>
      <c r="K227" s="44">
        <v>991681</v>
      </c>
      <c r="L227" s="44"/>
      <c r="M227" s="44">
        <v>0</v>
      </c>
      <c r="N227" s="44"/>
      <c r="O227" s="44">
        <v>4888768</v>
      </c>
      <c r="P227" s="44"/>
      <c r="Q227" s="44">
        <v>8850818</v>
      </c>
      <c r="R227" s="44"/>
      <c r="S227" s="44">
        <v>0</v>
      </c>
      <c r="T227" s="44"/>
      <c r="U227" s="44">
        <v>996509</v>
      </c>
      <c r="V227" s="44"/>
      <c r="W227" s="44">
        <f>SUM(E227:U227)</f>
        <v>34834342</v>
      </c>
      <c r="X227" s="44"/>
      <c r="Y227" s="44">
        <v>74069486</v>
      </c>
      <c r="Z227" s="44"/>
      <c r="AA227" s="44">
        <f>+'Stmt net assets'!Y227</f>
        <v>77307736</v>
      </c>
      <c r="AB227" s="44"/>
      <c r="AC227" s="44">
        <f>+Y227+'Stmt of activities-GA rev'!AC227-'Stmt of activities-GAexp'!W227-AA227</f>
        <v>0</v>
      </c>
    </row>
    <row r="228" spans="1:29" s="47" customFormat="1" ht="12.75" customHeight="1">
      <c r="A228" s="47" t="s">
        <v>257</v>
      </c>
      <c r="B228" s="51"/>
      <c r="C228" s="47" t="s">
        <v>258</v>
      </c>
      <c r="E228" s="44">
        <v>1614442</v>
      </c>
      <c r="F228" s="44"/>
      <c r="G228" s="44">
        <v>42899</v>
      </c>
      <c r="H228" s="44"/>
      <c r="I228" s="44">
        <v>561303</v>
      </c>
      <c r="J228" s="44"/>
      <c r="K228" s="44">
        <v>211590</v>
      </c>
      <c r="L228" s="44"/>
      <c r="M228" s="44">
        <v>510931</v>
      </c>
      <c r="N228" s="44"/>
      <c r="O228" s="44">
        <v>72352</v>
      </c>
      <c r="P228" s="44"/>
      <c r="Q228" s="44">
        <f>653651+774491</f>
        <v>1428142</v>
      </c>
      <c r="R228" s="44"/>
      <c r="S228" s="44">
        <v>2399</v>
      </c>
      <c r="T228" s="44"/>
      <c r="U228" s="44">
        <v>292742</v>
      </c>
      <c r="V228" s="44"/>
      <c r="W228" s="44">
        <f>SUM(E228:U228)</f>
        <v>4736800</v>
      </c>
      <c r="X228" s="44"/>
      <c r="Y228" s="44">
        <v>2235254</v>
      </c>
      <c r="Z228" s="44"/>
      <c r="AA228" s="44">
        <f>+'Stmt net assets'!Y228</f>
        <v>2945261</v>
      </c>
      <c r="AB228" s="44"/>
      <c r="AC228" s="44">
        <f>+Y228+'Stmt of activities-GA rev'!AC228-'Stmt of activities-GAexp'!W228-AA228</f>
        <v>0</v>
      </c>
    </row>
    <row r="229" spans="1:29" s="47" customFormat="1" ht="12.75" customHeight="1">
      <c r="A229" s="47" t="s">
        <v>259</v>
      </c>
      <c r="B229" s="51"/>
      <c r="C229" s="47" t="s">
        <v>260</v>
      </c>
      <c r="E229" s="44">
        <v>5171351</v>
      </c>
      <c r="F229" s="44"/>
      <c r="G229" s="44">
        <v>315102</v>
      </c>
      <c r="H229" s="44"/>
      <c r="I229" s="44">
        <v>436038</v>
      </c>
      <c r="J229" s="44"/>
      <c r="K229" s="44">
        <v>223536</v>
      </c>
      <c r="L229" s="44"/>
      <c r="M229" s="44">
        <v>2056696</v>
      </c>
      <c r="N229" s="44"/>
      <c r="O229" s="44">
        <v>0</v>
      </c>
      <c r="P229" s="44"/>
      <c r="Q229" s="44">
        <v>2192531</v>
      </c>
      <c r="R229" s="44"/>
      <c r="S229" s="44">
        <v>0</v>
      </c>
      <c r="T229" s="44"/>
      <c r="U229" s="44">
        <v>144178</v>
      </c>
      <c r="V229" s="44"/>
      <c r="W229" s="44">
        <f t="shared" si="5"/>
        <v>10539432</v>
      </c>
      <c r="X229" s="44"/>
      <c r="Y229" s="44">
        <v>21100816</v>
      </c>
      <c r="Z229" s="44"/>
      <c r="AA229" s="44">
        <f>+'Stmt net assets'!Y229</f>
        <v>22581830</v>
      </c>
      <c r="AB229" s="44"/>
      <c r="AC229" s="44">
        <f>+Y229+'Stmt of activities-GA rev'!AC229-'Stmt of activities-GAexp'!W229-AA229</f>
        <v>0</v>
      </c>
    </row>
    <row r="230" spans="1:29" s="47" customFormat="1" ht="12.75" customHeight="1">
      <c r="A230" s="47" t="s">
        <v>261</v>
      </c>
      <c r="B230" s="51"/>
      <c r="C230" s="47" t="s">
        <v>66</v>
      </c>
      <c r="E230" s="44">
        <f>4507680+2100789</f>
        <v>6608469</v>
      </c>
      <c r="F230" s="44"/>
      <c r="G230" s="44">
        <v>0</v>
      </c>
      <c r="H230" s="44"/>
      <c r="I230" s="44">
        <v>4016239</v>
      </c>
      <c r="J230" s="44"/>
      <c r="K230" s="44">
        <v>0</v>
      </c>
      <c r="L230" s="44"/>
      <c r="M230" s="44">
        <v>0</v>
      </c>
      <c r="N230" s="44"/>
      <c r="O230" s="44">
        <f>1087904+2588013+754679</f>
        <v>4430596</v>
      </c>
      <c r="P230" s="44"/>
      <c r="Q230" s="44">
        <f>4128879+2274612</f>
        <v>6403491</v>
      </c>
      <c r="R230" s="44"/>
      <c r="S230" s="44">
        <v>0</v>
      </c>
      <c r="T230" s="44"/>
      <c r="U230" s="44">
        <v>625917</v>
      </c>
      <c r="V230" s="44"/>
      <c r="W230" s="44">
        <f t="shared" si="5"/>
        <v>22084712</v>
      </c>
      <c r="X230" s="44"/>
      <c r="Y230" s="44">
        <v>61937614</v>
      </c>
      <c r="Z230" s="44"/>
      <c r="AA230" s="44">
        <f>+'Stmt net assets'!Y230</f>
        <v>62305832</v>
      </c>
      <c r="AB230" s="44"/>
      <c r="AC230" s="44">
        <f>+Y230+'Stmt of activities-GA rev'!AC230-'Stmt of activities-GAexp'!W230-AA230</f>
        <v>0</v>
      </c>
    </row>
    <row r="231" spans="1:29" s="47" customFormat="1" ht="12.75" hidden="1" customHeight="1">
      <c r="A231" s="47" t="s">
        <v>262</v>
      </c>
      <c r="B231" s="51"/>
      <c r="C231" s="47" t="s">
        <v>132</v>
      </c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>
        <f t="shared" si="5"/>
        <v>0</v>
      </c>
      <c r="X231" s="44"/>
      <c r="Y231" s="44"/>
      <c r="Z231" s="44"/>
      <c r="AA231" s="44">
        <f>+'Stmt net assets'!Y231</f>
        <v>0</v>
      </c>
      <c r="AB231" s="44"/>
      <c r="AC231" s="44">
        <f>+Y231+'Stmt of activities-GA rev'!AC231-'Stmt of activities-GAexp'!W231-AA231</f>
        <v>0</v>
      </c>
    </row>
    <row r="232" spans="1:29" s="47" customFormat="1" ht="12.75" customHeight="1">
      <c r="A232" s="47" t="s">
        <v>263</v>
      </c>
      <c r="B232" s="51"/>
      <c r="C232" s="47" t="s">
        <v>53</v>
      </c>
      <c r="E232" s="44">
        <v>5685852</v>
      </c>
      <c r="F232" s="44"/>
      <c r="G232" s="44">
        <v>145433</v>
      </c>
      <c r="H232" s="44"/>
      <c r="I232" s="44">
        <v>2080885</v>
      </c>
      <c r="J232" s="44"/>
      <c r="K232" s="44">
        <v>737503</v>
      </c>
      <c r="L232" s="44"/>
      <c r="M232" s="44">
        <v>2941263</v>
      </c>
      <c r="N232" s="44"/>
      <c r="O232" s="44">
        <v>9700</v>
      </c>
      <c r="P232" s="44"/>
      <c r="Q232" s="44">
        <v>6055239</v>
      </c>
      <c r="R232" s="44"/>
      <c r="S232" s="44">
        <v>11057</v>
      </c>
      <c r="T232" s="44"/>
      <c r="U232" s="44">
        <v>151362</v>
      </c>
      <c r="V232" s="44"/>
      <c r="W232" s="44">
        <f t="shared" si="5"/>
        <v>17818294</v>
      </c>
      <c r="X232" s="44"/>
      <c r="Y232" s="44">
        <v>49250375</v>
      </c>
      <c r="Z232" s="44"/>
      <c r="AA232" s="44">
        <f>+'Stmt net assets'!Y232</f>
        <v>52379864</v>
      </c>
      <c r="AB232" s="44"/>
      <c r="AC232" s="44">
        <f>+Y232+'Stmt of activities-GA rev'!AC232-'Stmt of activities-GAexp'!W232-AA232</f>
        <v>0</v>
      </c>
    </row>
    <row r="233" spans="1:29" s="47" customFormat="1" ht="12.75" customHeight="1">
      <c r="A233" s="47" t="s">
        <v>264</v>
      </c>
      <c r="B233" s="51"/>
      <c r="C233" s="47" t="s">
        <v>239</v>
      </c>
      <c r="E233" s="44">
        <f>1353354+1287195+27849</f>
        <v>2668398</v>
      </c>
      <c r="F233" s="44"/>
      <c r="G233" s="44">
        <v>231505</v>
      </c>
      <c r="H233" s="44"/>
      <c r="I233" s="44">
        <v>304089</v>
      </c>
      <c r="J233" s="44"/>
      <c r="K233" s="44">
        <v>109785</v>
      </c>
      <c r="L233" s="44"/>
      <c r="M233" s="44">
        <v>1312919</v>
      </c>
      <c r="N233" s="44"/>
      <c r="O233" s="44">
        <v>0</v>
      </c>
      <c r="P233" s="44"/>
      <c r="Q233" s="44">
        <v>494897</v>
      </c>
      <c r="R233" s="44"/>
      <c r="S233" s="44">
        <v>0</v>
      </c>
      <c r="T233" s="44"/>
      <c r="U233" s="44">
        <v>70941</v>
      </c>
      <c r="V233" s="44"/>
      <c r="W233" s="44">
        <f t="shared" si="5"/>
        <v>5192534</v>
      </c>
      <c r="X233" s="44"/>
      <c r="Y233" s="44">
        <v>27145966</v>
      </c>
      <c r="Z233" s="44"/>
      <c r="AA233" s="44">
        <f>+'Stmt net assets'!Y233</f>
        <v>28292208</v>
      </c>
      <c r="AB233" s="44"/>
      <c r="AC233" s="44">
        <f>+Y233+'Stmt of activities-GA rev'!AC233-'Stmt of activities-GAexp'!W233-AA233</f>
        <v>0</v>
      </c>
    </row>
    <row r="234" spans="1:29" s="47" customFormat="1" ht="12.75" customHeight="1">
      <c r="A234" s="47" t="s">
        <v>111</v>
      </c>
      <c r="B234" s="51"/>
      <c r="C234" s="47" t="s">
        <v>80</v>
      </c>
      <c r="E234" s="44">
        <v>19953538</v>
      </c>
      <c r="F234" s="44"/>
      <c r="G234" s="44">
        <v>1322647</v>
      </c>
      <c r="H234" s="44"/>
      <c r="I234" s="44">
        <v>742052</v>
      </c>
      <c r="J234" s="44"/>
      <c r="K234" s="44">
        <v>3023339</v>
      </c>
      <c r="L234" s="44"/>
      <c r="M234" s="44">
        <v>4658920</v>
      </c>
      <c r="N234" s="44"/>
      <c r="O234" s="44">
        <v>0</v>
      </c>
      <c r="P234" s="44"/>
      <c r="Q234" s="44">
        <v>7261229</v>
      </c>
      <c r="R234" s="44"/>
      <c r="S234" s="44">
        <v>2225519</v>
      </c>
      <c r="T234" s="44"/>
      <c r="U234" s="44">
        <v>631425</v>
      </c>
      <c r="V234" s="44"/>
      <c r="W234" s="44">
        <f t="shared" si="5"/>
        <v>39818669</v>
      </c>
      <c r="X234" s="44"/>
      <c r="Y234" s="44">
        <v>47112651</v>
      </c>
      <c r="Z234" s="44"/>
      <c r="AA234" s="44">
        <f>+'Stmt net assets'!Y234</f>
        <v>44126971</v>
      </c>
      <c r="AB234" s="44"/>
      <c r="AC234" s="44">
        <f>+Y234+'Stmt of activities-GA rev'!AC234-'Stmt of activities-GAexp'!W234-AA234</f>
        <v>0</v>
      </c>
    </row>
    <row r="235" spans="1:29" s="47" customFormat="1" ht="12.75" customHeight="1">
      <c r="A235" s="47" t="s">
        <v>265</v>
      </c>
      <c r="B235" s="51"/>
      <c r="C235" s="47" t="s">
        <v>27</v>
      </c>
      <c r="E235" s="44">
        <f>6024849+3685852</f>
        <v>9710701</v>
      </c>
      <c r="F235" s="44"/>
      <c r="G235" s="44">
        <v>54833</v>
      </c>
      <c r="H235" s="44"/>
      <c r="I235" s="44">
        <v>326782</v>
      </c>
      <c r="J235" s="44"/>
      <c r="K235" s="44">
        <v>1256777</v>
      </c>
      <c r="L235" s="44"/>
      <c r="M235" s="44">
        <v>2209178</v>
      </c>
      <c r="N235" s="44"/>
      <c r="O235" s="44">
        <v>1772473</v>
      </c>
      <c r="P235" s="44"/>
      <c r="Q235" s="44">
        <v>3078419</v>
      </c>
      <c r="R235" s="44"/>
      <c r="S235" s="44">
        <v>0</v>
      </c>
      <c r="T235" s="44"/>
      <c r="U235" s="44">
        <v>627851</v>
      </c>
      <c r="V235" s="44"/>
      <c r="W235" s="44">
        <f t="shared" si="5"/>
        <v>19037014</v>
      </c>
      <c r="X235" s="44"/>
      <c r="Y235" s="44">
        <v>516948</v>
      </c>
      <c r="Z235" s="44"/>
      <c r="AA235" s="44">
        <f>+'Stmt net assets'!Y235</f>
        <v>-414941</v>
      </c>
      <c r="AB235" s="44"/>
      <c r="AC235" s="44">
        <f>+Y235+'Stmt of activities-GA rev'!AC235-'Stmt of activities-GAexp'!W235-AA235</f>
        <v>0</v>
      </c>
    </row>
    <row r="236" spans="1:29" s="47" customFormat="1" ht="12.75" customHeight="1">
      <c r="A236" s="47" t="s">
        <v>40</v>
      </c>
      <c r="B236" s="51"/>
      <c r="C236" s="47" t="s">
        <v>451</v>
      </c>
      <c r="E236" s="44">
        <v>4499035</v>
      </c>
      <c r="F236" s="44"/>
      <c r="G236" s="44">
        <v>293153</v>
      </c>
      <c r="H236" s="44"/>
      <c r="I236" s="44">
        <v>66621</v>
      </c>
      <c r="J236" s="44"/>
      <c r="K236" s="44">
        <v>2274275</v>
      </c>
      <c r="L236" s="44"/>
      <c r="M236" s="44">
        <v>3459372</v>
      </c>
      <c r="N236" s="44"/>
      <c r="O236" s="44">
        <v>0</v>
      </c>
      <c r="P236" s="44"/>
      <c r="Q236" s="44">
        <v>2837895</v>
      </c>
      <c r="R236" s="44"/>
      <c r="S236" s="44">
        <v>0</v>
      </c>
      <c r="T236" s="44"/>
      <c r="U236" s="44">
        <v>593591</v>
      </c>
      <c r="V236" s="44"/>
      <c r="W236" s="44">
        <f t="shared" si="5"/>
        <v>14023942</v>
      </c>
      <c r="X236" s="44"/>
      <c r="Y236" s="44">
        <v>22035813</v>
      </c>
      <c r="Z236" s="44"/>
      <c r="AA236" s="44">
        <f>+'Stmt net assets'!Y236</f>
        <v>20575043</v>
      </c>
      <c r="AB236" s="44"/>
      <c r="AC236" s="44">
        <f>+Y236+'Stmt of activities-GA rev'!AC236-'Stmt of activities-GAexp'!W236-AA236</f>
        <v>0</v>
      </c>
    </row>
    <row r="237" spans="1:29" s="47" customFormat="1" ht="12.75" customHeight="1">
      <c r="A237" s="47" t="s">
        <v>266</v>
      </c>
      <c r="B237" s="51"/>
      <c r="C237" s="47" t="s">
        <v>267</v>
      </c>
      <c r="E237" s="44">
        <v>2297555</v>
      </c>
      <c r="F237" s="44"/>
      <c r="G237" s="44">
        <v>0</v>
      </c>
      <c r="H237" s="44"/>
      <c r="I237" s="44">
        <v>757242</v>
      </c>
      <c r="J237" s="44"/>
      <c r="K237" s="44">
        <v>273870</v>
      </c>
      <c r="L237" s="44"/>
      <c r="M237" s="44">
        <v>912117</v>
      </c>
      <c r="N237" s="44"/>
      <c r="O237" s="44">
        <v>89477</v>
      </c>
      <c r="P237" s="44"/>
      <c r="Q237" s="44">
        <v>903315</v>
      </c>
      <c r="R237" s="44"/>
      <c r="S237" s="44">
        <v>0</v>
      </c>
      <c r="T237" s="44"/>
      <c r="U237" s="44">
        <v>149578</v>
      </c>
      <c r="V237" s="44"/>
      <c r="W237" s="44">
        <f t="shared" si="5"/>
        <v>5383154</v>
      </c>
      <c r="X237" s="44"/>
      <c r="Y237" s="44">
        <v>14819639</v>
      </c>
      <c r="Z237" s="44"/>
      <c r="AA237" s="44">
        <f>+'Stmt net assets'!Y237</f>
        <v>14747860</v>
      </c>
      <c r="AB237" s="44"/>
      <c r="AC237" s="44">
        <f>+Y237+'Stmt of activities-GA rev'!AC237-'Stmt of activities-GAexp'!W237-AA237</f>
        <v>0</v>
      </c>
    </row>
    <row r="238" spans="1:29" s="47" customFormat="1" ht="12.75" customHeight="1">
      <c r="A238" s="47" t="s">
        <v>268</v>
      </c>
      <c r="B238" s="51"/>
      <c r="C238" s="47" t="s">
        <v>269</v>
      </c>
      <c r="E238" s="44">
        <v>1697324</v>
      </c>
      <c r="F238" s="44"/>
      <c r="G238" s="44">
        <v>1470</v>
      </c>
      <c r="H238" s="44"/>
      <c r="I238" s="44">
        <v>7975</v>
      </c>
      <c r="J238" s="44"/>
      <c r="K238" s="44">
        <v>3907</v>
      </c>
      <c r="L238" s="44"/>
      <c r="M238" s="44">
        <v>684958</v>
      </c>
      <c r="N238" s="44"/>
      <c r="O238" s="44">
        <v>0</v>
      </c>
      <c r="P238" s="44"/>
      <c r="Q238" s="44">
        <v>1043235</v>
      </c>
      <c r="R238" s="44"/>
      <c r="S238" s="44">
        <v>0</v>
      </c>
      <c r="T238" s="44"/>
      <c r="U238" s="44">
        <v>33581</v>
      </c>
      <c r="V238" s="44"/>
      <c r="W238" s="44">
        <f t="shared" si="5"/>
        <v>3472450</v>
      </c>
      <c r="X238" s="44"/>
      <c r="Y238" s="44">
        <v>4522764</v>
      </c>
      <c r="Z238" s="44"/>
      <c r="AA238" s="44">
        <f>+'Stmt net assets'!Y238</f>
        <v>5253164</v>
      </c>
      <c r="AB238" s="44"/>
      <c r="AC238" s="44">
        <f>+Y238+'Stmt of activities-GA rev'!AC238-'Stmt of activities-GAexp'!W238-AA238</f>
        <v>0</v>
      </c>
    </row>
    <row r="239" spans="1:29" s="47" customFormat="1" ht="12.75" hidden="1" customHeight="1">
      <c r="A239" s="47" t="s">
        <v>270</v>
      </c>
      <c r="B239" s="51"/>
      <c r="C239" s="47" t="s">
        <v>136</v>
      </c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>
        <f>SUM(E239:U239)</f>
        <v>0</v>
      </c>
      <c r="X239" s="44"/>
      <c r="Y239" s="44"/>
      <c r="Z239" s="44"/>
      <c r="AA239" s="44">
        <f>+'Stmt net assets'!Y239</f>
        <v>0</v>
      </c>
      <c r="AB239" s="44"/>
      <c r="AC239" s="44">
        <f>+Y239+'Stmt of activities-GA rev'!AC239-'Stmt of activities-GAexp'!W239-AA239</f>
        <v>0</v>
      </c>
    </row>
    <row r="240" spans="1:29" s="47" customFormat="1" ht="12.75" customHeight="1">
      <c r="A240" s="47" t="s">
        <v>271</v>
      </c>
      <c r="B240" s="51"/>
      <c r="C240" s="47" t="s">
        <v>66</v>
      </c>
      <c r="E240" s="44">
        <v>5163027</v>
      </c>
      <c r="F240" s="44"/>
      <c r="G240" s="44">
        <v>0</v>
      </c>
      <c r="H240" s="44"/>
      <c r="I240" s="44">
        <v>1011930</v>
      </c>
      <c r="J240" s="44"/>
      <c r="K240" s="44">
        <v>1423984</v>
      </c>
      <c r="L240" s="44"/>
      <c r="M240" s="44">
        <v>1166127</v>
      </c>
      <c r="N240" s="44"/>
      <c r="O240" s="44">
        <v>0</v>
      </c>
      <c r="P240" s="44"/>
      <c r="Q240" s="44">
        <v>1362147</v>
      </c>
      <c r="R240" s="44"/>
      <c r="S240" s="44">
        <v>0</v>
      </c>
      <c r="T240" s="44"/>
      <c r="U240" s="44">
        <v>175492</v>
      </c>
      <c r="V240" s="44"/>
      <c r="W240" s="44">
        <f t="shared" si="5"/>
        <v>10302707</v>
      </c>
      <c r="X240" s="44"/>
      <c r="Y240" s="44">
        <v>17597365</v>
      </c>
      <c r="Z240" s="44"/>
      <c r="AA240" s="44">
        <f>+'Stmt net assets'!Y240</f>
        <v>18988887</v>
      </c>
      <c r="AB240" s="44"/>
      <c r="AC240" s="44">
        <f>+Y240+'Stmt of activities-GA rev'!AC240-'Stmt of activities-GAexp'!W240-AA240</f>
        <v>0</v>
      </c>
    </row>
    <row r="241" spans="1:29" s="47" customFormat="1" ht="12.75" customHeight="1">
      <c r="A241" s="47" t="s">
        <v>272</v>
      </c>
      <c r="B241" s="51"/>
      <c r="C241" s="47" t="s">
        <v>43</v>
      </c>
      <c r="E241" s="44">
        <v>23812277</v>
      </c>
      <c r="F241" s="44"/>
      <c r="G241" s="44">
        <v>56156</v>
      </c>
      <c r="H241" s="44"/>
      <c r="I241" s="44">
        <v>8837447</v>
      </c>
      <c r="J241" s="44"/>
      <c r="K241" s="44">
        <v>2434545</v>
      </c>
      <c r="L241" s="44"/>
      <c r="M241" s="44">
        <v>3988338</v>
      </c>
      <c r="N241" s="44"/>
      <c r="O241" s="44">
        <v>1193430</v>
      </c>
      <c r="P241" s="44"/>
      <c r="Q241" s="44">
        <v>11437810</v>
      </c>
      <c r="R241" s="44"/>
      <c r="S241" s="44">
        <v>0</v>
      </c>
      <c r="T241" s="44"/>
      <c r="U241" s="44">
        <v>1184204</v>
      </c>
      <c r="V241" s="44"/>
      <c r="W241" s="44">
        <f t="shared" si="5"/>
        <v>52944207</v>
      </c>
      <c r="X241" s="44"/>
      <c r="Y241" s="44">
        <v>223279342</v>
      </c>
      <c r="Z241" s="44"/>
      <c r="AA241" s="44">
        <f>+'Stmt net assets'!Y241</f>
        <v>226366459</v>
      </c>
      <c r="AB241" s="44"/>
      <c r="AC241" s="44">
        <f>+Y241+'Stmt of activities-GA rev'!AC241-'Stmt of activities-GAexp'!W241-AA241</f>
        <v>0</v>
      </c>
    </row>
    <row r="242" spans="1:29" s="47" customFormat="1" ht="12.75" customHeight="1">
      <c r="A242" s="47" t="s">
        <v>273</v>
      </c>
      <c r="B242" s="51"/>
      <c r="C242" s="47" t="s">
        <v>27</v>
      </c>
      <c r="E242" s="44">
        <v>15023844</v>
      </c>
      <c r="F242" s="44"/>
      <c r="G242" s="44">
        <v>1040137</v>
      </c>
      <c r="H242" s="44"/>
      <c r="I242" s="44">
        <v>3990032</v>
      </c>
      <c r="J242" s="44"/>
      <c r="K242" s="44">
        <v>1436256</v>
      </c>
      <c r="L242" s="44"/>
      <c r="M242" s="44">
        <v>11143476</v>
      </c>
      <c r="N242" s="44"/>
      <c r="O242" s="44">
        <v>1925985</v>
      </c>
      <c r="P242" s="44"/>
      <c r="Q242" s="44">
        <v>22355014</v>
      </c>
      <c r="R242" s="44"/>
      <c r="S242" s="44">
        <v>0</v>
      </c>
      <c r="T242" s="44"/>
      <c r="U242" s="44">
        <v>832754</v>
      </c>
      <c r="V242" s="44"/>
      <c r="W242" s="44">
        <f t="shared" si="5"/>
        <v>57747498</v>
      </c>
      <c r="X242" s="44"/>
      <c r="Y242" s="44">
        <v>180613152</v>
      </c>
      <c r="Z242" s="44"/>
      <c r="AA242" s="44">
        <f>+'Stmt net assets'!Y242</f>
        <v>171207806</v>
      </c>
      <c r="AB242" s="44"/>
      <c r="AC242" s="44">
        <f>+Y242+'Stmt of activities-GA rev'!AC242-'Stmt of activities-GAexp'!W242-AA242</f>
        <v>0</v>
      </c>
    </row>
    <row r="243" spans="1:29" s="47" customFormat="1" ht="12.75" customHeight="1">
      <c r="A243" s="47" t="s">
        <v>274</v>
      </c>
      <c r="B243" s="51"/>
      <c r="C243" s="47" t="s">
        <v>43</v>
      </c>
      <c r="E243" s="44">
        <v>10554951</v>
      </c>
      <c r="F243" s="44"/>
      <c r="G243" s="44">
        <v>123546</v>
      </c>
      <c r="H243" s="44"/>
      <c r="I243" s="44">
        <v>662338</v>
      </c>
      <c r="J243" s="44"/>
      <c r="K243" s="44">
        <v>61374</v>
      </c>
      <c r="L243" s="44"/>
      <c r="M243" s="44">
        <v>2360155</v>
      </c>
      <c r="N243" s="44"/>
      <c r="O243" s="44">
        <v>849300</v>
      </c>
      <c r="P243" s="44"/>
      <c r="Q243" s="44">
        <v>5234821</v>
      </c>
      <c r="R243" s="44"/>
      <c r="S243" s="44">
        <v>0</v>
      </c>
      <c r="T243" s="44"/>
      <c r="U243" s="44">
        <v>125940</v>
      </c>
      <c r="V243" s="44"/>
      <c r="W243" s="44">
        <f t="shared" si="5"/>
        <v>19972425</v>
      </c>
      <c r="X243" s="44"/>
      <c r="Y243" s="44">
        <v>28299123</v>
      </c>
      <c r="Z243" s="44"/>
      <c r="AA243" s="44">
        <f>+'Stmt net assets'!Y243</f>
        <v>28706084</v>
      </c>
      <c r="AB243" s="44"/>
      <c r="AC243" s="44">
        <f>+Y243+'Stmt of activities-GA rev'!AC243-'Stmt of activities-GAexp'!W243-AA243</f>
        <v>0</v>
      </c>
    </row>
    <row r="244" spans="1:29" s="47" customFormat="1" ht="12.75" customHeight="1">
      <c r="A244" s="47" t="s">
        <v>275</v>
      </c>
      <c r="B244" s="51"/>
      <c r="C244" s="47" t="s">
        <v>92</v>
      </c>
      <c r="E244" s="44">
        <v>8031748</v>
      </c>
      <c r="F244" s="44"/>
      <c r="G244" s="44">
        <v>338278</v>
      </c>
      <c r="H244" s="44"/>
      <c r="I244" s="44">
        <v>924889</v>
      </c>
      <c r="J244" s="44"/>
      <c r="K244" s="44">
        <v>264470</v>
      </c>
      <c r="L244" s="44"/>
      <c r="M244" s="44">
        <v>2789312</v>
      </c>
      <c r="N244" s="44"/>
      <c r="O244" s="44">
        <v>1417086</v>
      </c>
      <c r="P244" s="44"/>
      <c r="Q244" s="44">
        <v>6725871</v>
      </c>
      <c r="R244" s="44"/>
      <c r="S244" s="44">
        <v>0</v>
      </c>
      <c r="T244" s="44"/>
      <c r="U244" s="44">
        <v>101968</v>
      </c>
      <c r="V244" s="44"/>
      <c r="W244" s="44">
        <f t="shared" si="5"/>
        <v>20593622</v>
      </c>
      <c r="X244" s="44"/>
      <c r="Y244" s="44">
        <v>101775609</v>
      </c>
      <c r="Z244" s="44"/>
      <c r="AA244" s="44">
        <f>+'Stmt net assets'!Y244</f>
        <v>100172314</v>
      </c>
      <c r="AB244" s="44"/>
      <c r="AC244" s="44">
        <f>+Y244+'Stmt of activities-GA rev'!AC244-'Stmt of activities-GAexp'!W244-AA244</f>
        <v>0</v>
      </c>
    </row>
    <row r="245" spans="1:29" s="47" customFormat="1" ht="12.75" customHeight="1">
      <c r="A245" s="47" t="s">
        <v>276</v>
      </c>
      <c r="B245" s="51"/>
      <c r="C245" s="47" t="s">
        <v>38</v>
      </c>
      <c r="E245" s="44">
        <v>2741723</v>
      </c>
      <c r="F245" s="44"/>
      <c r="G245" s="44">
        <v>50747</v>
      </c>
      <c r="H245" s="44"/>
      <c r="I245" s="44">
        <v>287391</v>
      </c>
      <c r="J245" s="44"/>
      <c r="K245" s="44">
        <v>221125</v>
      </c>
      <c r="L245" s="44"/>
      <c r="M245" s="44">
        <v>929847</v>
      </c>
      <c r="N245" s="44"/>
      <c r="O245" s="44">
        <v>0</v>
      </c>
      <c r="P245" s="44"/>
      <c r="Q245" s="44">
        <v>689427</v>
      </c>
      <c r="R245" s="44"/>
      <c r="S245" s="44">
        <v>0</v>
      </c>
      <c r="T245" s="44"/>
      <c r="U245" s="44">
        <v>58771</v>
      </c>
      <c r="V245" s="44"/>
      <c r="W245" s="44">
        <f t="shared" si="5"/>
        <v>4979031</v>
      </c>
      <c r="X245" s="44"/>
      <c r="Y245" s="44">
        <v>10115652</v>
      </c>
      <c r="Z245" s="44"/>
      <c r="AA245" s="44">
        <f>+'Stmt net assets'!Y245</f>
        <v>10410536</v>
      </c>
      <c r="AB245" s="44"/>
      <c r="AC245" s="44">
        <f>+Y245+'Stmt of activities-GA rev'!AC245-'Stmt of activities-GAexp'!W245-AA245</f>
        <v>0</v>
      </c>
    </row>
    <row r="246" spans="1:29" s="47" customFormat="1" ht="12.75" customHeight="1">
      <c r="A246" s="47" t="s">
        <v>277</v>
      </c>
      <c r="B246" s="51"/>
      <c r="C246" s="47" t="s">
        <v>92</v>
      </c>
      <c r="E246" s="44">
        <v>14184392</v>
      </c>
      <c r="F246" s="44"/>
      <c r="G246" s="44">
        <v>475828</v>
      </c>
      <c r="H246" s="44"/>
      <c r="I246" s="44">
        <v>2319489</v>
      </c>
      <c r="J246" s="44"/>
      <c r="K246" s="44">
        <v>985934</v>
      </c>
      <c r="L246" s="44"/>
      <c r="M246" s="44">
        <v>3526993</v>
      </c>
      <c r="N246" s="44"/>
      <c r="O246" s="44">
        <v>1648956</v>
      </c>
      <c r="P246" s="44"/>
      <c r="Q246" s="44">
        <v>7464343</v>
      </c>
      <c r="R246" s="44"/>
      <c r="S246" s="44">
        <v>0</v>
      </c>
      <c r="T246" s="44"/>
      <c r="U246" s="44">
        <v>842569</v>
      </c>
      <c r="V246" s="44"/>
      <c r="W246" s="44">
        <f t="shared" si="5"/>
        <v>31448504</v>
      </c>
      <c r="X246" s="44"/>
      <c r="Y246" s="44">
        <v>61036153</v>
      </c>
      <c r="Z246" s="44"/>
      <c r="AA246" s="44">
        <f>+'Stmt net assets'!Y246</f>
        <v>61928961</v>
      </c>
      <c r="AB246" s="44"/>
      <c r="AC246" s="44">
        <f>+Y246+'Stmt of activities-GA rev'!AC246-'Stmt of activities-GAexp'!W246-AA246</f>
        <v>0</v>
      </c>
    </row>
    <row r="247" spans="1:29" s="47" customFormat="1" ht="12.75" customHeight="1">
      <c r="A247" s="47" t="s">
        <v>278</v>
      </c>
      <c r="B247" s="51"/>
      <c r="C247" s="47" t="s">
        <v>92</v>
      </c>
      <c r="E247" s="44">
        <f>3158631+2184723</f>
        <v>5343354</v>
      </c>
      <c r="F247" s="44"/>
      <c r="G247" s="44">
        <v>0</v>
      </c>
      <c r="H247" s="44"/>
      <c r="I247" s="44">
        <v>265446</v>
      </c>
      <c r="J247" s="44"/>
      <c r="K247" s="44">
        <v>128400</v>
      </c>
      <c r="L247" s="44"/>
      <c r="M247" s="44">
        <v>1575255</v>
      </c>
      <c r="N247" s="44"/>
      <c r="O247" s="44">
        <v>0</v>
      </c>
      <c r="P247" s="44"/>
      <c r="Q247" s="44">
        <v>1921545</v>
      </c>
      <c r="R247" s="44"/>
      <c r="S247" s="44">
        <v>0</v>
      </c>
      <c r="T247" s="44"/>
      <c r="U247" s="44">
        <v>102587</v>
      </c>
      <c r="V247" s="44"/>
      <c r="W247" s="44">
        <f t="shared" si="5"/>
        <v>9336587</v>
      </c>
      <c r="X247" s="44"/>
      <c r="Y247" s="44">
        <v>9382474</v>
      </c>
      <c r="Z247" s="44"/>
      <c r="AA247" s="44">
        <f>+'Stmt net assets'!Y247</f>
        <v>9824412</v>
      </c>
      <c r="AB247" s="44"/>
      <c r="AC247" s="44">
        <f>+Y247+'Stmt of activities-GA rev'!AC247-'Stmt of activities-GAexp'!W247-AA247</f>
        <v>0</v>
      </c>
    </row>
    <row r="248" spans="1:29" s="47" customFormat="1" ht="12.75" customHeight="1">
      <c r="A248" s="47" t="s">
        <v>279</v>
      </c>
      <c r="B248" s="51"/>
      <c r="C248" s="47" t="s">
        <v>92</v>
      </c>
      <c r="E248" s="44">
        <v>5371416</v>
      </c>
      <c r="F248" s="44"/>
      <c r="G248" s="44">
        <v>117568</v>
      </c>
      <c r="H248" s="44"/>
      <c r="I248" s="44">
        <v>1107299</v>
      </c>
      <c r="J248" s="44"/>
      <c r="K248" s="44">
        <v>496885</v>
      </c>
      <c r="L248" s="44"/>
      <c r="M248" s="44">
        <v>2802458</v>
      </c>
      <c r="N248" s="44"/>
      <c r="O248" s="44">
        <v>1144721</v>
      </c>
      <c r="P248" s="44"/>
      <c r="Q248" s="44">
        <v>1864505</v>
      </c>
      <c r="R248" s="44"/>
      <c r="S248" s="44">
        <v>0</v>
      </c>
      <c r="T248" s="44"/>
      <c r="U248" s="44">
        <v>107227</v>
      </c>
      <c r="V248" s="44"/>
      <c r="W248" s="44">
        <f t="shared" si="5"/>
        <v>13012079</v>
      </c>
      <c r="X248" s="44"/>
      <c r="Y248" s="44">
        <v>37330949</v>
      </c>
      <c r="Z248" s="44"/>
      <c r="AA248" s="44">
        <f>+'Stmt net assets'!Y248</f>
        <v>36549665</v>
      </c>
      <c r="AB248" s="44"/>
      <c r="AC248" s="44">
        <f>+Y248+'Stmt of activities-GA rev'!AC248-'Stmt of activities-GAexp'!W248-AA248</f>
        <v>0</v>
      </c>
    </row>
    <row r="249" spans="1:29" s="47" customFormat="1" ht="12.75" customHeight="1">
      <c r="A249" s="47" t="s">
        <v>280</v>
      </c>
      <c r="B249" s="51"/>
      <c r="C249" s="47" t="s">
        <v>281</v>
      </c>
      <c r="E249" s="44">
        <v>5370926</v>
      </c>
      <c r="F249" s="44"/>
      <c r="G249" s="44">
        <v>380559</v>
      </c>
      <c r="H249" s="44"/>
      <c r="I249" s="44">
        <v>806202</v>
      </c>
      <c r="J249" s="44"/>
      <c r="K249" s="44">
        <v>0</v>
      </c>
      <c r="L249" s="44"/>
      <c r="M249" s="44">
        <v>2990680</v>
      </c>
      <c r="N249" s="44"/>
      <c r="O249" s="44">
        <v>0</v>
      </c>
      <c r="P249" s="44"/>
      <c r="Q249" s="44">
        <v>4701659</v>
      </c>
      <c r="R249" s="44"/>
      <c r="S249" s="44">
        <v>0</v>
      </c>
      <c r="T249" s="44"/>
      <c r="U249" s="44">
        <v>312885</v>
      </c>
      <c r="V249" s="44"/>
      <c r="W249" s="44">
        <f t="shared" si="5"/>
        <v>14562911</v>
      </c>
      <c r="X249" s="44"/>
      <c r="Y249" s="44">
        <v>15679208</v>
      </c>
      <c r="Z249" s="44"/>
      <c r="AA249" s="44">
        <f>+'Stmt net assets'!Y249</f>
        <v>17853026</v>
      </c>
      <c r="AB249" s="44"/>
      <c r="AC249" s="44">
        <f>+Y249+'Stmt of activities-GA rev'!AC249-'Stmt of activities-GAexp'!W249-AA249</f>
        <v>0</v>
      </c>
    </row>
    <row r="250" spans="1:29" s="47" customFormat="1" ht="12.75" customHeight="1">
      <c r="A250" s="47" t="s">
        <v>282</v>
      </c>
      <c r="B250" s="51"/>
      <c r="C250" s="47" t="s">
        <v>199</v>
      </c>
      <c r="E250" s="44">
        <v>10494378</v>
      </c>
      <c r="F250" s="44"/>
      <c r="G250" s="44">
        <v>148865</v>
      </c>
      <c r="H250" s="44"/>
      <c r="I250" s="44">
        <v>2258037</v>
      </c>
      <c r="J250" s="44"/>
      <c r="K250" s="44">
        <v>1280442</v>
      </c>
      <c r="L250" s="44"/>
      <c r="M250" s="44">
        <v>3338133</v>
      </c>
      <c r="N250" s="44"/>
      <c r="O250" s="44">
        <v>440106</v>
      </c>
      <c r="P250" s="44"/>
      <c r="Q250" s="44">
        <v>3835471</v>
      </c>
      <c r="R250" s="44"/>
      <c r="S250" s="44">
        <v>-1698156</v>
      </c>
      <c r="T250" s="44"/>
      <c r="U250" s="44">
        <v>227073</v>
      </c>
      <c r="V250" s="44"/>
      <c r="W250" s="44">
        <f t="shared" si="5"/>
        <v>20324349</v>
      </c>
      <c r="X250" s="44"/>
      <c r="Y250" s="44">
        <v>60223715</v>
      </c>
      <c r="Z250" s="44"/>
      <c r="AA250" s="44">
        <f>+'Stmt net assets'!Y250</f>
        <v>59887148</v>
      </c>
      <c r="AB250" s="44"/>
      <c r="AC250" s="44">
        <f>+Y250+'Stmt of activities-GA rev'!AC250-'Stmt of activities-GAexp'!W250-AA250</f>
        <v>0</v>
      </c>
    </row>
    <row r="251" spans="1:29" s="47" customFormat="1" ht="12.75" customHeight="1">
      <c r="A251" s="47" t="s">
        <v>283</v>
      </c>
      <c r="B251" s="51"/>
      <c r="C251" s="47" t="s">
        <v>43</v>
      </c>
      <c r="E251" s="44">
        <v>10093924</v>
      </c>
      <c r="F251" s="44"/>
      <c r="G251" s="44">
        <v>37381</v>
      </c>
      <c r="H251" s="44"/>
      <c r="I251" s="44">
        <v>4012164</v>
      </c>
      <c r="J251" s="44"/>
      <c r="K251" s="44">
        <v>684986</v>
      </c>
      <c r="L251" s="44"/>
      <c r="M251" s="44">
        <v>3980406</v>
      </c>
      <c r="N251" s="44"/>
      <c r="O251" s="44">
        <v>1762973</v>
      </c>
      <c r="P251" s="44"/>
      <c r="Q251" s="44">
        <v>5159142</v>
      </c>
      <c r="R251" s="44"/>
      <c r="S251" s="44">
        <v>44491</v>
      </c>
      <c r="T251" s="44"/>
      <c r="U251" s="44">
        <v>393111</v>
      </c>
      <c r="V251" s="44"/>
      <c r="W251" s="44">
        <f t="shared" si="5"/>
        <v>26168578</v>
      </c>
      <c r="X251" s="44"/>
      <c r="Y251" s="44">
        <v>47017307</v>
      </c>
      <c r="Z251" s="44"/>
      <c r="AA251" s="44">
        <f>+'Stmt net assets'!Y251</f>
        <v>47840505</v>
      </c>
      <c r="AB251" s="44"/>
      <c r="AC251" s="44">
        <f>+Y251+'Stmt of activities-GA rev'!AC251-'Stmt of activities-GAexp'!W251-AA251</f>
        <v>0</v>
      </c>
    </row>
    <row r="252" spans="1:29" s="47" customFormat="1" ht="12.75" customHeight="1">
      <c r="A252" s="47" t="s">
        <v>284</v>
      </c>
      <c r="B252" s="51"/>
      <c r="C252" s="47" t="s">
        <v>45</v>
      </c>
      <c r="E252" s="44">
        <v>3075285</v>
      </c>
      <c r="F252" s="44"/>
      <c r="G252" s="44">
        <v>66179</v>
      </c>
      <c r="H252" s="44"/>
      <c r="I252" s="44">
        <v>1713875</v>
      </c>
      <c r="J252" s="44"/>
      <c r="K252" s="44">
        <v>394290</v>
      </c>
      <c r="L252" s="44"/>
      <c r="M252" s="44">
        <v>1668726</v>
      </c>
      <c r="N252" s="44"/>
      <c r="O252" s="44">
        <v>547843</v>
      </c>
      <c r="P252" s="44"/>
      <c r="Q252" s="44">
        <v>3960383</v>
      </c>
      <c r="R252" s="44"/>
      <c r="S252" s="44">
        <v>0</v>
      </c>
      <c r="T252" s="44"/>
      <c r="U252" s="44">
        <v>379349</v>
      </c>
      <c r="V252" s="44"/>
      <c r="W252" s="44">
        <f t="shared" si="5"/>
        <v>11805930</v>
      </c>
      <c r="X252" s="44"/>
      <c r="Y252" s="44">
        <v>25256141</v>
      </c>
      <c r="Z252" s="44"/>
      <c r="AA252" s="44">
        <f>+'Stmt net assets'!Y252</f>
        <v>24798020</v>
      </c>
      <c r="AB252" s="44"/>
      <c r="AC252" s="44">
        <f>+Y252+'Stmt of activities-GA rev'!AC252-'Stmt of activities-GAexp'!W252-AA252</f>
        <v>0</v>
      </c>
    </row>
    <row r="253" spans="1:29" s="47" customFormat="1" ht="12.75" customHeight="1">
      <c r="A253" s="47" t="s">
        <v>285</v>
      </c>
      <c r="B253" s="51"/>
      <c r="C253" s="47" t="s">
        <v>30</v>
      </c>
      <c r="E253" s="44">
        <v>11372519</v>
      </c>
      <c r="F253" s="44"/>
      <c r="G253" s="44">
        <v>67910</v>
      </c>
      <c r="H253" s="44"/>
      <c r="I253" s="44">
        <v>481111</v>
      </c>
      <c r="J253" s="44"/>
      <c r="K253" s="44">
        <v>360443</v>
      </c>
      <c r="L253" s="44"/>
      <c r="M253" s="44">
        <v>2054733</v>
      </c>
      <c r="N253" s="44"/>
      <c r="O253" s="44">
        <v>0</v>
      </c>
      <c r="P253" s="44"/>
      <c r="Q253" s="44">
        <v>3883747</v>
      </c>
      <c r="R253" s="44"/>
      <c r="S253" s="44">
        <v>0</v>
      </c>
      <c r="T253" s="44"/>
      <c r="U253" s="44">
        <v>129250</v>
      </c>
      <c r="V253" s="44"/>
      <c r="W253" s="44">
        <f t="shared" si="5"/>
        <v>18349713</v>
      </c>
      <c r="X253" s="44"/>
      <c r="Y253" s="44">
        <v>38978946</v>
      </c>
      <c r="Z253" s="44"/>
      <c r="AA253" s="44">
        <f>+'Stmt net assets'!Y253</f>
        <v>40624694</v>
      </c>
      <c r="AB253" s="44"/>
      <c r="AC253" s="44">
        <f>+Y253+'Stmt of activities-GA rev'!AC253-'Stmt of activities-GAexp'!W253-AA253</f>
        <v>0</v>
      </c>
    </row>
    <row r="254" spans="1:29" s="47" customFormat="1" ht="12.75" customHeight="1">
      <c r="A254" s="47" t="s">
        <v>286</v>
      </c>
      <c r="B254" s="51"/>
      <c r="C254" s="47" t="s">
        <v>61</v>
      </c>
      <c r="E254" s="44">
        <v>38720781</v>
      </c>
      <c r="F254" s="44"/>
      <c r="G254" s="44">
        <v>2551934</v>
      </c>
      <c r="H254" s="44"/>
      <c r="I254" s="44">
        <v>3170502</v>
      </c>
      <c r="J254" s="44"/>
      <c r="K254" s="44">
        <v>5257638</v>
      </c>
      <c r="L254" s="44"/>
      <c r="M254" s="44">
        <v>9788976</v>
      </c>
      <c r="N254" s="44"/>
      <c r="O254" s="44">
        <v>3144131</v>
      </c>
      <c r="P254" s="44"/>
      <c r="Q254" s="44">
        <v>13526671</v>
      </c>
      <c r="R254" s="44"/>
      <c r="S254" s="44">
        <v>0</v>
      </c>
      <c r="T254" s="44"/>
      <c r="U254" s="44">
        <v>2282241</v>
      </c>
      <c r="V254" s="44"/>
      <c r="W254" s="44">
        <f t="shared" si="5"/>
        <v>78442874</v>
      </c>
      <c r="X254" s="44"/>
      <c r="Y254" s="44">
        <v>68640361</v>
      </c>
      <c r="Z254" s="44"/>
      <c r="AA254" s="44">
        <f>+'Stmt net assets'!Y254</f>
        <v>72217771</v>
      </c>
      <c r="AB254" s="44"/>
      <c r="AC254" s="44">
        <f>+Y254+'Stmt of activities-GA rev'!AC254-'Stmt of activities-GAexp'!W254-AA254</f>
        <v>0</v>
      </c>
    </row>
    <row r="255" spans="1:29" s="47" customFormat="1" ht="12.75" customHeight="1">
      <c r="A255" s="47" t="s">
        <v>287</v>
      </c>
      <c r="B255" s="51"/>
      <c r="C255" s="47" t="s">
        <v>288</v>
      </c>
      <c r="E255" s="44">
        <v>13366558</v>
      </c>
      <c r="F255" s="44"/>
      <c r="G255" s="44">
        <v>1799246</v>
      </c>
      <c r="H255" s="44"/>
      <c r="I255" s="44">
        <v>1198346</v>
      </c>
      <c r="J255" s="44"/>
      <c r="K255" s="44">
        <v>967609</v>
      </c>
      <c r="L255" s="44"/>
      <c r="M255" s="44">
        <v>3129671</v>
      </c>
      <c r="N255" s="44"/>
      <c r="O255" s="44">
        <v>0</v>
      </c>
      <c r="P255" s="44"/>
      <c r="Q255" s="44">
        <v>4273200</v>
      </c>
      <c r="R255" s="44"/>
      <c r="S255" s="44">
        <v>0</v>
      </c>
      <c r="T255" s="44"/>
      <c r="U255" s="44">
        <v>234902</v>
      </c>
      <c r="V255" s="44"/>
      <c r="W255" s="44">
        <f t="shared" si="5"/>
        <v>24969532</v>
      </c>
      <c r="X255" s="44"/>
      <c r="Y255" s="44">
        <v>20006528</v>
      </c>
      <c r="Z255" s="44"/>
      <c r="AA255" s="44">
        <f>+'Stmt net assets'!Y255</f>
        <v>19873708</v>
      </c>
      <c r="AB255" s="44"/>
      <c r="AC255" s="44">
        <f>+Y255+'Stmt of activities-GA rev'!AC255-'Stmt of activities-GAexp'!W255-AA255</f>
        <v>0</v>
      </c>
    </row>
    <row r="256" spans="1:29" s="47" customFormat="1" ht="12.75" customHeight="1">
      <c r="A256" s="49"/>
      <c r="B256" s="51"/>
      <c r="C256" s="49"/>
    </row>
    <row r="257" spans="2:2" s="47" customFormat="1" ht="12.75" customHeight="1">
      <c r="B257" s="51"/>
    </row>
    <row r="258" spans="2:2" s="47" customFormat="1" ht="12.75" customHeight="1">
      <c r="B258" s="51"/>
    </row>
    <row r="259" spans="2:2" s="47" customFormat="1" ht="12.75" customHeight="1">
      <c r="B259" s="51"/>
    </row>
    <row r="260" spans="2:2" s="47" customFormat="1" ht="12.75" customHeight="1">
      <c r="B260" s="51"/>
    </row>
    <row r="261" spans="2:2" s="47" customFormat="1" ht="12.75" customHeight="1">
      <c r="B261" s="51"/>
    </row>
  </sheetData>
  <mergeCells count="1">
    <mergeCell ref="E5:P5"/>
  </mergeCells>
  <phoneticPr fontId="4" type="noConversion"/>
  <printOptions horizontalCentered="1"/>
  <pageMargins left="0.75" right="0.75" top="0.5" bottom="0.5" header="0" footer="0.25"/>
  <pageSetup scale="81" firstPageNumber="20" pageOrder="overThenDown" orientation="portrait" useFirstPageNumber="1" r:id="rId1"/>
  <headerFooter alignWithMargins="0">
    <oddFooter>&amp;C&amp;"Times New Roman,Regular"&amp;11&amp;P</oddFooter>
  </headerFooter>
  <rowBreaks count="3" manualBreakCount="3">
    <brk id="69" max="26" man="1"/>
    <brk id="130" max="26" man="1"/>
    <brk id="195" max="26" man="1"/>
  </rowBreaks>
  <colBreaks count="1" manualBreakCount="1">
    <brk id="14" min="9" max="256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V324"/>
  <sheetViews>
    <sheetView view="pageBreakPreview" zoomScale="75" zoomScaleNormal="150" zoomScaleSheetLayoutView="75" workbookViewId="0">
      <pane xSplit="3" ySplit="8" topLeftCell="D191" activePane="bottomRight" state="frozen"/>
      <selection pane="topRight" activeCell="D1" sqref="D1"/>
      <selection pane="bottomLeft" activeCell="A9" sqref="A9"/>
      <selection pane="bottomRight" activeCell="S195" sqref="S195"/>
    </sheetView>
  </sheetViews>
  <sheetFormatPr defaultColWidth="9.109375" defaultRowHeight="12.75" customHeight="1"/>
  <cols>
    <col min="1" max="1" width="15.33203125" style="2" customWidth="1"/>
    <col min="2" max="2" width="1.6640625" customWidth="1"/>
    <col min="3" max="3" width="11" style="2" customWidth="1"/>
    <col min="4" max="4" width="1.6640625" style="2" customWidth="1"/>
    <col min="5" max="5" width="11.6640625" style="2" customWidth="1"/>
    <col min="6" max="6" width="1.6640625" style="2" customWidth="1"/>
    <col min="7" max="7" width="11.6640625" style="2" customWidth="1"/>
    <col min="8" max="8" width="1.6640625" style="2" customWidth="1"/>
    <col min="9" max="9" width="11.6640625" style="2" customWidth="1"/>
    <col min="10" max="10" width="1.6640625" style="2" customWidth="1"/>
    <col min="11" max="11" width="11.6640625" style="2" customWidth="1"/>
    <col min="12" max="12" width="1.6640625" style="2" customWidth="1"/>
    <col min="13" max="13" width="11.6640625" style="2" customWidth="1"/>
    <col min="14" max="14" width="1.6640625" style="2" customWidth="1"/>
    <col min="15" max="15" width="11.6640625" style="2" customWidth="1"/>
    <col min="16" max="16" width="1.6640625" style="2" customWidth="1"/>
    <col min="17" max="17" width="11.6640625" style="2" customWidth="1"/>
    <col min="18" max="18" width="1.6640625" style="2" customWidth="1"/>
    <col min="19" max="19" width="11.6640625" style="2" customWidth="1"/>
    <col min="20" max="20" width="1.6640625" style="2" customWidth="1"/>
    <col min="21" max="21" width="10.6640625" style="2" hidden="1" customWidth="1"/>
    <col min="22" max="22" width="10" style="2" customWidth="1"/>
    <col min="23" max="16384" width="9.109375" style="2"/>
  </cols>
  <sheetData>
    <row r="1" spans="1:22" ht="12.75" customHeight="1">
      <c r="A1" s="20" t="s">
        <v>416</v>
      </c>
      <c r="C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</row>
    <row r="2" spans="1:22" ht="12.75" customHeight="1">
      <c r="A2" s="20" t="s">
        <v>495</v>
      </c>
      <c r="C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</row>
    <row r="3" spans="1:22" ht="12.75" customHeight="1">
      <c r="A3" s="22" t="s">
        <v>289</v>
      </c>
      <c r="C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2" ht="12.75" customHeight="1">
      <c r="A4" s="22"/>
      <c r="C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6" spans="1:22" ht="12.75" customHeight="1">
      <c r="A6" s="5"/>
      <c r="C6" s="5"/>
      <c r="D6" s="3"/>
      <c r="E6" s="6"/>
      <c r="F6" s="6"/>
      <c r="G6" s="6"/>
      <c r="H6" s="6"/>
      <c r="I6" s="6"/>
      <c r="J6" s="6"/>
      <c r="K6" s="6"/>
      <c r="L6" s="6"/>
      <c r="M6" s="6" t="s">
        <v>317</v>
      </c>
      <c r="N6" s="6"/>
      <c r="O6" s="6"/>
      <c r="P6" s="6"/>
      <c r="Q6" s="6" t="s">
        <v>318</v>
      </c>
      <c r="R6" s="6"/>
      <c r="S6" s="6" t="s">
        <v>6</v>
      </c>
      <c r="T6" s="5"/>
    </row>
    <row r="7" spans="1:22" ht="12.75" customHeight="1">
      <c r="A7" s="5"/>
      <c r="C7" s="5"/>
      <c r="D7" s="5"/>
      <c r="E7" s="6" t="s">
        <v>319</v>
      </c>
      <c r="F7" s="6"/>
      <c r="G7" s="6" t="s">
        <v>6</v>
      </c>
      <c r="H7" s="6"/>
      <c r="I7" s="6" t="s">
        <v>5</v>
      </c>
      <c r="J7" s="6"/>
      <c r="K7" s="6" t="s">
        <v>6</v>
      </c>
      <c r="L7" s="6"/>
      <c r="M7" s="6" t="s">
        <v>320</v>
      </c>
      <c r="N7" s="6"/>
      <c r="O7" s="8" t="s">
        <v>437</v>
      </c>
      <c r="P7" s="6"/>
      <c r="Q7" s="6" t="s">
        <v>321</v>
      </c>
      <c r="R7" s="6"/>
      <c r="S7" s="6" t="s">
        <v>320</v>
      </c>
      <c r="T7" s="5"/>
      <c r="V7" s="3" t="s">
        <v>428</v>
      </c>
    </row>
    <row r="8" spans="1:22" s="44" customFormat="1" ht="12.75" customHeight="1">
      <c r="A8" s="78" t="s">
        <v>8</v>
      </c>
      <c r="B8" s="51"/>
      <c r="C8" s="78" t="s">
        <v>9</v>
      </c>
      <c r="D8" s="35"/>
      <c r="E8" s="78" t="s">
        <v>322</v>
      </c>
      <c r="F8" s="8"/>
      <c r="G8" s="78" t="s">
        <v>0</v>
      </c>
      <c r="H8" s="8"/>
      <c r="I8" s="78" t="s">
        <v>323</v>
      </c>
      <c r="J8" s="8"/>
      <c r="K8" s="78" t="s">
        <v>1</v>
      </c>
      <c r="L8" s="8"/>
      <c r="M8" s="78" t="s">
        <v>324</v>
      </c>
      <c r="N8" s="8"/>
      <c r="O8" s="78" t="s">
        <v>325</v>
      </c>
      <c r="P8" s="8"/>
      <c r="Q8" s="78" t="s">
        <v>325</v>
      </c>
      <c r="R8" s="8"/>
      <c r="S8" s="78" t="s">
        <v>324</v>
      </c>
      <c r="T8" s="35"/>
      <c r="V8" s="104" t="s">
        <v>430</v>
      </c>
    </row>
    <row r="9" spans="1:22" s="44" customFormat="1" ht="12.75" customHeight="1">
      <c r="A9" s="8"/>
      <c r="B9" s="51"/>
      <c r="C9" s="8"/>
      <c r="D9" s="35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35"/>
    </row>
    <row r="10" spans="1:22" s="46" customFormat="1" ht="12.75" customHeight="1">
      <c r="A10" s="44" t="s">
        <v>12</v>
      </c>
      <c r="B10" s="51"/>
      <c r="C10" s="44" t="s">
        <v>13</v>
      </c>
      <c r="D10" s="35"/>
      <c r="E10" s="94">
        <v>1640615</v>
      </c>
      <c r="F10" s="94"/>
      <c r="G10" s="94">
        <v>57297167</v>
      </c>
      <c r="H10" s="94"/>
      <c r="I10" s="94">
        <v>35004069</v>
      </c>
      <c r="J10" s="94"/>
      <c r="K10" s="94">
        <v>48082821</v>
      </c>
      <c r="L10" s="94"/>
      <c r="M10" s="94">
        <f>1805736+580969</f>
        <v>2386705</v>
      </c>
      <c r="N10" s="94"/>
      <c r="O10" s="94">
        <v>230387</v>
      </c>
      <c r="P10" s="94"/>
      <c r="Q10" s="94">
        <v>6597254</v>
      </c>
      <c r="R10" s="94"/>
      <c r="S10" s="94">
        <f t="shared" ref="S10:S72" si="0">+Q10+O10+M10</f>
        <v>9214346</v>
      </c>
      <c r="T10" s="45"/>
      <c r="U10" s="46">
        <f t="shared" ref="U10:U72" si="1">+G10-K10-S10</f>
        <v>0</v>
      </c>
      <c r="V10" s="44">
        <f t="shared" ref="V10:V72" si="2">+G10-K10-S10</f>
        <v>0</v>
      </c>
    </row>
    <row r="11" spans="1:22" s="44" customFormat="1" ht="12.75" customHeight="1">
      <c r="A11" s="44" t="s">
        <v>14</v>
      </c>
      <c r="B11" s="65"/>
      <c r="C11" s="44" t="s">
        <v>15</v>
      </c>
      <c r="D11" s="35"/>
      <c r="E11" s="45">
        <v>1602045</v>
      </c>
      <c r="F11" s="45"/>
      <c r="G11" s="45">
        <v>6372346</v>
      </c>
      <c r="H11" s="45"/>
      <c r="I11" s="45">
        <v>1977472</v>
      </c>
      <c r="J11" s="45"/>
      <c r="K11" s="45">
        <v>3902500</v>
      </c>
      <c r="L11" s="45"/>
      <c r="M11" s="45">
        <f>5335+15756+32943</f>
        <v>54034</v>
      </c>
      <c r="N11" s="45"/>
      <c r="O11" s="45">
        <v>0</v>
      </c>
      <c r="P11" s="45"/>
      <c r="Q11" s="45">
        <v>2415812</v>
      </c>
      <c r="R11" s="45"/>
      <c r="S11" s="45">
        <f>+Q11+O11+M11</f>
        <v>2469846</v>
      </c>
      <c r="T11" s="45"/>
      <c r="U11" s="44">
        <f t="shared" si="1"/>
        <v>0</v>
      </c>
      <c r="V11" s="44">
        <f t="shared" si="2"/>
        <v>0</v>
      </c>
    </row>
    <row r="12" spans="1:22" s="44" customFormat="1" ht="12.75" customHeight="1">
      <c r="A12" s="44" t="s">
        <v>16</v>
      </c>
      <c r="B12" s="51"/>
      <c r="C12" s="44" t="s">
        <v>17</v>
      </c>
      <c r="D12" s="35"/>
      <c r="E12" s="45">
        <v>1621203</v>
      </c>
      <c r="F12" s="45"/>
      <c r="G12" s="45">
        <v>4187645</v>
      </c>
      <c r="H12" s="45"/>
      <c r="I12" s="45">
        <v>1573045</v>
      </c>
      <c r="J12" s="45"/>
      <c r="K12" s="45">
        <v>1964664</v>
      </c>
      <c r="L12" s="45"/>
      <c r="M12" s="45">
        <v>48845</v>
      </c>
      <c r="N12" s="45"/>
      <c r="O12" s="45">
        <v>0</v>
      </c>
      <c r="P12" s="45"/>
      <c r="Q12" s="45">
        <v>2174136</v>
      </c>
      <c r="R12" s="45"/>
      <c r="S12" s="45">
        <f t="shared" si="0"/>
        <v>2222981</v>
      </c>
      <c r="T12" s="45"/>
      <c r="U12" s="44">
        <f t="shared" si="1"/>
        <v>0</v>
      </c>
      <c r="V12" s="44">
        <f t="shared" si="2"/>
        <v>0</v>
      </c>
    </row>
    <row r="13" spans="1:22" s="44" customFormat="1" ht="12.75" customHeight="1">
      <c r="A13" s="44" t="s">
        <v>18</v>
      </c>
      <c r="B13" s="51"/>
      <c r="C13" s="44" t="s">
        <v>18</v>
      </c>
      <c r="D13" s="35"/>
      <c r="E13" s="45">
        <v>1017550</v>
      </c>
      <c r="F13" s="45"/>
      <c r="G13" s="45">
        <v>3335354</v>
      </c>
      <c r="H13" s="45"/>
      <c r="I13" s="45">
        <v>1351496</v>
      </c>
      <c r="J13" s="45"/>
      <c r="K13" s="45">
        <v>2073592</v>
      </c>
      <c r="L13" s="45"/>
      <c r="M13" s="45">
        <v>36406</v>
      </c>
      <c r="N13" s="45"/>
      <c r="O13" s="45">
        <v>0</v>
      </c>
      <c r="P13" s="45"/>
      <c r="Q13" s="45">
        <v>1225356</v>
      </c>
      <c r="R13" s="45"/>
      <c r="S13" s="45">
        <f t="shared" si="0"/>
        <v>1261762</v>
      </c>
      <c r="T13" s="45"/>
      <c r="U13" s="44">
        <f t="shared" si="1"/>
        <v>0</v>
      </c>
      <c r="V13" s="44">
        <f t="shared" si="2"/>
        <v>0</v>
      </c>
    </row>
    <row r="14" spans="1:22" s="44" customFormat="1" ht="12.75" customHeight="1">
      <c r="A14" s="44" t="s">
        <v>19</v>
      </c>
      <c r="B14" s="51"/>
      <c r="C14" s="44" t="s">
        <v>19</v>
      </c>
      <c r="D14" s="35"/>
      <c r="E14" s="45">
        <v>203804</v>
      </c>
      <c r="F14" s="45"/>
      <c r="G14" s="45">
        <v>3723024</v>
      </c>
      <c r="H14" s="45"/>
      <c r="I14" s="45">
        <v>2696820</v>
      </c>
      <c r="J14" s="45"/>
      <c r="K14" s="45">
        <v>3204925</v>
      </c>
      <c r="L14" s="45"/>
      <c r="M14" s="45">
        <f>41038+14217</f>
        <v>55255</v>
      </c>
      <c r="N14" s="45"/>
      <c r="O14" s="45">
        <v>0</v>
      </c>
      <c r="P14" s="45"/>
      <c r="Q14" s="45">
        <v>462844</v>
      </c>
      <c r="R14" s="45"/>
      <c r="S14" s="45">
        <f t="shared" si="0"/>
        <v>518099</v>
      </c>
      <c r="T14" s="45"/>
      <c r="U14" s="44">
        <f t="shared" si="1"/>
        <v>0</v>
      </c>
      <c r="V14" s="44">
        <f t="shared" si="2"/>
        <v>0</v>
      </c>
    </row>
    <row r="15" spans="1:22" s="44" customFormat="1" ht="12.75" customHeight="1">
      <c r="A15" s="44" t="s">
        <v>20</v>
      </c>
      <c r="B15" s="51"/>
      <c r="C15" s="44" t="s">
        <v>20</v>
      </c>
      <c r="D15" s="35"/>
      <c r="E15" s="45">
        <v>1234286</v>
      </c>
      <c r="F15" s="45"/>
      <c r="G15" s="45">
        <v>2896816</v>
      </c>
      <c r="H15" s="45"/>
      <c r="I15" s="45">
        <v>807305</v>
      </c>
      <c r="J15" s="45"/>
      <c r="K15" s="45">
        <v>1310682</v>
      </c>
      <c r="L15" s="45"/>
      <c r="M15" s="45">
        <v>87767</v>
      </c>
      <c r="N15" s="45"/>
      <c r="O15" s="45">
        <v>0</v>
      </c>
      <c r="P15" s="45"/>
      <c r="Q15" s="45">
        <v>1498367</v>
      </c>
      <c r="R15" s="45"/>
      <c r="S15" s="45">
        <f t="shared" si="0"/>
        <v>1586134</v>
      </c>
      <c r="T15" s="45"/>
      <c r="U15" s="44">
        <f t="shared" si="1"/>
        <v>0</v>
      </c>
      <c r="V15" s="44">
        <f t="shared" si="2"/>
        <v>0</v>
      </c>
    </row>
    <row r="16" spans="1:22" s="44" customFormat="1" ht="12.75" customHeight="1">
      <c r="A16" s="44" t="s">
        <v>21</v>
      </c>
      <c r="C16" s="44" t="s">
        <v>22</v>
      </c>
      <c r="D16" s="35"/>
      <c r="E16" s="45">
        <v>5912605</v>
      </c>
      <c r="F16" s="45"/>
      <c r="G16" s="45">
        <v>10838700</v>
      </c>
      <c r="H16" s="45"/>
      <c r="I16" s="45">
        <v>1509632</v>
      </c>
      <c r="J16" s="45"/>
      <c r="K16" s="45">
        <v>3834910</v>
      </c>
      <c r="L16" s="45"/>
      <c r="M16" s="45">
        <f>238203+34294+35179</f>
        <v>307676</v>
      </c>
      <c r="N16" s="45"/>
      <c r="O16" s="45">
        <v>0</v>
      </c>
      <c r="P16" s="45"/>
      <c r="Q16" s="45">
        <v>6696114</v>
      </c>
      <c r="R16" s="45"/>
      <c r="S16" s="45">
        <f t="shared" si="0"/>
        <v>7003790</v>
      </c>
      <c r="T16" s="45"/>
      <c r="U16" s="44">
        <f t="shared" si="1"/>
        <v>0</v>
      </c>
      <c r="V16" s="44">
        <f t="shared" si="2"/>
        <v>0</v>
      </c>
    </row>
    <row r="17" spans="1:22" s="44" customFormat="1" ht="12.75" customHeight="1">
      <c r="A17" s="44" t="s">
        <v>23</v>
      </c>
      <c r="B17" s="51"/>
      <c r="C17" s="44" t="s">
        <v>17</v>
      </c>
      <c r="D17" s="35"/>
      <c r="E17" s="45">
        <v>3598963</v>
      </c>
      <c r="F17" s="45"/>
      <c r="G17" s="45">
        <v>9267723</v>
      </c>
      <c r="H17" s="45"/>
      <c r="I17" s="45">
        <v>2577057</v>
      </c>
      <c r="J17" s="45"/>
      <c r="K17" s="45">
        <v>2769530</v>
      </c>
      <c r="L17" s="45"/>
      <c r="M17" s="45">
        <v>178261</v>
      </c>
      <c r="N17" s="45"/>
      <c r="O17" s="45">
        <v>0</v>
      </c>
      <c r="P17" s="45"/>
      <c r="Q17" s="45">
        <v>6319932</v>
      </c>
      <c r="R17" s="45"/>
      <c r="S17" s="45">
        <f t="shared" si="0"/>
        <v>6498193</v>
      </c>
      <c r="T17" s="45"/>
      <c r="U17" s="44">
        <f t="shared" si="1"/>
        <v>0</v>
      </c>
      <c r="V17" s="44">
        <f t="shared" si="2"/>
        <v>0</v>
      </c>
    </row>
    <row r="18" spans="1:22" s="44" customFormat="1" ht="12.75" customHeight="1">
      <c r="A18" s="44" t="s">
        <v>24</v>
      </c>
      <c r="B18" s="51"/>
      <c r="C18" s="44" t="s">
        <v>17</v>
      </c>
      <c r="D18" s="35"/>
      <c r="E18" s="45">
        <v>2353782</v>
      </c>
      <c r="F18" s="45"/>
      <c r="G18" s="45">
        <v>8218931</v>
      </c>
      <c r="H18" s="45"/>
      <c r="I18" s="45">
        <v>0</v>
      </c>
      <c r="J18" s="45"/>
      <c r="K18" s="45">
        <v>5188902</v>
      </c>
      <c r="L18" s="45"/>
      <c r="M18" s="45">
        <f>34857+125120</f>
        <v>159977</v>
      </c>
      <c r="N18" s="45"/>
      <c r="O18" s="45">
        <v>0</v>
      </c>
      <c r="P18" s="45"/>
      <c r="Q18" s="45">
        <v>2870052</v>
      </c>
      <c r="R18" s="45"/>
      <c r="S18" s="45">
        <f t="shared" si="0"/>
        <v>3030029</v>
      </c>
      <c r="T18" s="45"/>
      <c r="U18" s="44">
        <f t="shared" si="1"/>
        <v>0</v>
      </c>
      <c r="V18" s="44">
        <f t="shared" si="2"/>
        <v>0</v>
      </c>
    </row>
    <row r="19" spans="1:22" s="44" customFormat="1" ht="12.75" customHeight="1">
      <c r="A19" s="44" t="s">
        <v>25</v>
      </c>
      <c r="C19" s="44" t="s">
        <v>13</v>
      </c>
      <c r="D19" s="35"/>
      <c r="E19" s="45">
        <v>2288276</v>
      </c>
      <c r="F19" s="45"/>
      <c r="G19" s="45">
        <v>6892009</v>
      </c>
      <c r="H19" s="45"/>
      <c r="I19" s="45">
        <v>939828</v>
      </c>
      <c r="J19" s="45"/>
      <c r="K19" s="45">
        <v>3515577</v>
      </c>
      <c r="L19" s="45"/>
      <c r="M19" s="45">
        <f>267491+53805+1777</f>
        <v>323073</v>
      </c>
      <c r="N19" s="45"/>
      <c r="O19" s="45">
        <v>0</v>
      </c>
      <c r="P19" s="45"/>
      <c r="Q19" s="45">
        <v>3053359</v>
      </c>
      <c r="R19" s="45"/>
      <c r="S19" s="45">
        <f t="shared" si="0"/>
        <v>3376432</v>
      </c>
      <c r="T19" s="45"/>
      <c r="U19" s="44">
        <f t="shared" si="1"/>
        <v>0</v>
      </c>
      <c r="V19" s="44">
        <f>+G19-K19-S19</f>
        <v>0</v>
      </c>
    </row>
    <row r="20" spans="1:22" s="44" customFormat="1" ht="12.75" customHeight="1">
      <c r="A20" s="44" t="s">
        <v>26</v>
      </c>
      <c r="B20" s="51"/>
      <c r="C20" s="44" t="s">
        <v>27</v>
      </c>
      <c r="D20" s="35"/>
      <c r="E20" s="45">
        <v>2369919</v>
      </c>
      <c r="F20" s="45"/>
      <c r="G20" s="45">
        <v>9556890</v>
      </c>
      <c r="H20" s="45"/>
      <c r="I20" s="45">
        <v>2022978</v>
      </c>
      <c r="J20" s="45"/>
      <c r="K20" s="45">
        <v>6044187</v>
      </c>
      <c r="L20" s="45"/>
      <c r="M20" s="45">
        <v>37586</v>
      </c>
      <c r="N20" s="45"/>
      <c r="O20" s="45">
        <v>1373960</v>
      </c>
      <c r="P20" s="45"/>
      <c r="Q20" s="45">
        <v>2101157</v>
      </c>
      <c r="R20" s="45"/>
      <c r="S20" s="45">
        <f t="shared" si="0"/>
        <v>3512703</v>
      </c>
      <c r="T20" s="45"/>
      <c r="U20" s="44">
        <f t="shared" si="1"/>
        <v>0</v>
      </c>
      <c r="V20" s="44">
        <f t="shared" si="2"/>
        <v>0</v>
      </c>
    </row>
    <row r="21" spans="1:22" s="44" customFormat="1" ht="12.75" customHeight="1">
      <c r="A21" s="44" t="s">
        <v>28</v>
      </c>
      <c r="B21" s="51"/>
      <c r="C21" s="44" t="s">
        <v>27</v>
      </c>
      <c r="D21" s="35"/>
      <c r="E21" s="45">
        <v>22439973</v>
      </c>
      <c r="F21" s="45"/>
      <c r="G21" s="45">
        <v>33164037</v>
      </c>
      <c r="H21" s="45"/>
      <c r="I21" s="45">
        <v>4676226</v>
      </c>
      <c r="J21" s="45"/>
      <c r="K21" s="45">
        <v>6565477</v>
      </c>
      <c r="L21" s="45"/>
      <c r="M21" s="45">
        <f>1187490+14063</f>
        <v>1201553</v>
      </c>
      <c r="N21" s="45"/>
      <c r="O21" s="45">
        <v>0</v>
      </c>
      <c r="P21" s="45"/>
      <c r="Q21" s="45">
        <v>25397007</v>
      </c>
      <c r="R21" s="45"/>
      <c r="S21" s="45">
        <f t="shared" si="0"/>
        <v>26598560</v>
      </c>
      <c r="T21" s="45"/>
      <c r="U21" s="44">
        <f t="shared" si="1"/>
        <v>0</v>
      </c>
      <c r="V21" s="44">
        <f t="shared" si="2"/>
        <v>0</v>
      </c>
    </row>
    <row r="22" spans="1:22" s="44" customFormat="1" ht="12.75" customHeight="1">
      <c r="A22" s="44" t="s">
        <v>29</v>
      </c>
      <c r="B22" s="51"/>
      <c r="C22" s="44" t="s">
        <v>30</v>
      </c>
      <c r="D22" s="35"/>
      <c r="E22" s="45">
        <v>1313731</v>
      </c>
      <c r="F22" s="45"/>
      <c r="G22" s="45">
        <v>4607960</v>
      </c>
      <c r="H22" s="45"/>
      <c r="I22" s="45">
        <v>2022271</v>
      </c>
      <c r="J22" s="45"/>
      <c r="K22" s="45">
        <v>2180746</v>
      </c>
      <c r="L22" s="45"/>
      <c r="M22" s="45">
        <v>70082</v>
      </c>
      <c r="N22" s="45"/>
      <c r="O22" s="45">
        <v>0</v>
      </c>
      <c r="P22" s="45"/>
      <c r="Q22" s="45">
        <v>2357132</v>
      </c>
      <c r="R22" s="45"/>
      <c r="S22" s="45">
        <f t="shared" si="0"/>
        <v>2427214</v>
      </c>
      <c r="T22" s="45"/>
      <c r="U22" s="44">
        <f t="shared" si="1"/>
        <v>0</v>
      </c>
      <c r="V22" s="44">
        <f t="shared" si="2"/>
        <v>0</v>
      </c>
    </row>
    <row r="23" spans="1:22" s="44" customFormat="1" ht="12.75" customHeight="1">
      <c r="A23" s="44" t="s">
        <v>31</v>
      </c>
      <c r="B23" s="51"/>
      <c r="C23" s="44" t="s">
        <v>27</v>
      </c>
      <c r="D23" s="35"/>
      <c r="E23" s="45">
        <v>8084476</v>
      </c>
      <c r="F23" s="45"/>
      <c r="G23" s="45">
        <v>15140983</v>
      </c>
      <c r="H23" s="45"/>
      <c r="I23" s="45">
        <v>5131906</v>
      </c>
      <c r="J23" s="45"/>
      <c r="K23" s="45">
        <v>5654204</v>
      </c>
      <c r="L23" s="45"/>
      <c r="M23" s="45">
        <v>51122</v>
      </c>
      <c r="N23" s="45"/>
      <c r="O23" s="45">
        <v>0</v>
      </c>
      <c r="P23" s="45"/>
      <c r="Q23" s="45">
        <v>9435657</v>
      </c>
      <c r="R23" s="45"/>
      <c r="S23" s="45">
        <f t="shared" si="0"/>
        <v>9486779</v>
      </c>
      <c r="T23" s="45"/>
      <c r="U23" s="44">
        <f t="shared" si="1"/>
        <v>0</v>
      </c>
      <c r="V23" s="44">
        <f t="shared" si="2"/>
        <v>0</v>
      </c>
    </row>
    <row r="24" spans="1:22" s="44" customFormat="1" ht="12.75" customHeight="1">
      <c r="A24" s="44" t="s">
        <v>32</v>
      </c>
      <c r="B24" s="51"/>
      <c r="C24" s="44" t="s">
        <v>27</v>
      </c>
      <c r="D24" s="35"/>
      <c r="E24" s="45">
        <v>4657232</v>
      </c>
      <c r="F24" s="45"/>
      <c r="G24" s="45">
        <v>9346086</v>
      </c>
      <c r="H24" s="45"/>
      <c r="I24" s="45">
        <v>2228110</v>
      </c>
      <c r="J24" s="45"/>
      <c r="K24" s="45">
        <v>3003359</v>
      </c>
      <c r="L24" s="45"/>
      <c r="M24" s="45">
        <f>31964+22839+46637</f>
        <v>101440</v>
      </c>
      <c r="N24" s="45"/>
      <c r="O24" s="45">
        <v>0</v>
      </c>
      <c r="P24" s="45"/>
      <c r="Q24" s="45">
        <v>6241287</v>
      </c>
      <c r="R24" s="45"/>
      <c r="S24" s="45">
        <f t="shared" si="0"/>
        <v>6342727</v>
      </c>
      <c r="T24" s="45"/>
      <c r="U24" s="44">
        <f t="shared" si="1"/>
        <v>0</v>
      </c>
      <c r="V24" s="44">
        <f t="shared" si="2"/>
        <v>0</v>
      </c>
    </row>
    <row r="25" spans="1:22" s="44" customFormat="1" ht="12.75" customHeight="1">
      <c r="A25" s="44" t="s">
        <v>34</v>
      </c>
      <c r="B25" s="51"/>
      <c r="C25" s="44" t="s">
        <v>30</v>
      </c>
      <c r="D25" s="35"/>
      <c r="E25" s="155">
        <v>859315</v>
      </c>
      <c r="F25" s="155"/>
      <c r="G25" s="155">
        <v>1553335</v>
      </c>
      <c r="H25" s="155"/>
      <c r="I25" s="155">
        <v>130000</v>
      </c>
      <c r="J25" s="155"/>
      <c r="K25" s="155">
        <v>716988</v>
      </c>
      <c r="L25" s="155"/>
      <c r="M25" s="155">
        <f>85317+5426</f>
        <v>90743</v>
      </c>
      <c r="N25" s="155"/>
      <c r="O25" s="155">
        <v>0</v>
      </c>
      <c r="P25" s="155"/>
      <c r="Q25" s="155">
        <v>745604</v>
      </c>
      <c r="R25" s="155"/>
      <c r="S25" s="155">
        <f t="shared" si="0"/>
        <v>836347</v>
      </c>
      <c r="T25" s="45"/>
      <c r="U25" s="44">
        <f t="shared" si="1"/>
        <v>0</v>
      </c>
      <c r="V25" s="44">
        <f t="shared" si="2"/>
        <v>0</v>
      </c>
    </row>
    <row r="26" spans="1:22" s="44" customFormat="1" ht="12.75" customHeight="1">
      <c r="A26" s="44" t="s">
        <v>35</v>
      </c>
      <c r="B26" s="51"/>
      <c r="C26" s="44" t="s">
        <v>36</v>
      </c>
      <c r="D26" s="35"/>
      <c r="E26" s="45">
        <v>3405697</v>
      </c>
      <c r="F26" s="45"/>
      <c r="G26" s="45">
        <v>5298803</v>
      </c>
      <c r="H26" s="45"/>
      <c r="I26" s="45">
        <v>1162768</v>
      </c>
      <c r="J26" s="45"/>
      <c r="K26" s="45">
        <v>1533598</v>
      </c>
      <c r="L26" s="45"/>
      <c r="M26" s="45">
        <v>312479</v>
      </c>
      <c r="N26" s="45"/>
      <c r="O26" s="45">
        <v>0</v>
      </c>
      <c r="P26" s="45" t="s">
        <v>450</v>
      </c>
      <c r="Q26" s="45">
        <v>3452726</v>
      </c>
      <c r="R26" s="45"/>
      <c r="S26" s="45">
        <f t="shared" si="0"/>
        <v>3765205</v>
      </c>
      <c r="T26" s="45"/>
      <c r="U26" s="44">
        <f t="shared" si="1"/>
        <v>0</v>
      </c>
      <c r="V26" s="44">
        <f t="shared" si="2"/>
        <v>0</v>
      </c>
    </row>
    <row r="27" spans="1:22" s="44" customFormat="1" ht="12.75" customHeight="1">
      <c r="A27" s="44" t="s">
        <v>37</v>
      </c>
      <c r="B27" s="51"/>
      <c r="C27" s="44" t="s">
        <v>38</v>
      </c>
      <c r="D27" s="35"/>
      <c r="E27" s="45">
        <f>1456357+495</f>
        <v>1456852</v>
      </c>
      <c r="F27" s="45"/>
      <c r="G27" s="45">
        <v>3324860</v>
      </c>
      <c r="H27" s="45"/>
      <c r="I27" s="45">
        <v>1614151</v>
      </c>
      <c r="J27" s="45"/>
      <c r="K27" s="45">
        <v>1909378</v>
      </c>
      <c r="L27" s="45"/>
      <c r="M27" s="45">
        <v>7943</v>
      </c>
      <c r="N27" s="45"/>
      <c r="O27" s="45">
        <v>0</v>
      </c>
      <c r="P27" s="45"/>
      <c r="Q27" s="45">
        <v>1407539</v>
      </c>
      <c r="R27" s="45"/>
      <c r="S27" s="45">
        <f t="shared" si="0"/>
        <v>1415482</v>
      </c>
      <c r="T27" s="45"/>
      <c r="U27" s="44">
        <f t="shared" si="1"/>
        <v>0</v>
      </c>
      <c r="V27" s="44">
        <f t="shared" si="2"/>
        <v>0</v>
      </c>
    </row>
    <row r="28" spans="1:22" s="44" customFormat="1" ht="12.75" customHeight="1">
      <c r="A28" s="44" t="s">
        <v>39</v>
      </c>
      <c r="C28" s="44" t="s">
        <v>40</v>
      </c>
      <c r="D28" s="35"/>
      <c r="E28" s="45">
        <f>1369949+4268+6598</f>
        <v>1380815</v>
      </c>
      <c r="F28" s="45"/>
      <c r="G28" s="45">
        <v>2482578</v>
      </c>
      <c r="H28" s="45"/>
      <c r="I28" s="45">
        <v>728722</v>
      </c>
      <c r="J28" s="45"/>
      <c r="K28" s="45">
        <v>852803</v>
      </c>
      <c r="L28" s="45"/>
      <c r="M28" s="45">
        <f>10595+288+6598</f>
        <v>17481</v>
      </c>
      <c r="N28" s="45"/>
      <c r="O28" s="45">
        <v>0</v>
      </c>
      <c r="P28" s="45"/>
      <c r="Q28" s="45">
        <v>1612294</v>
      </c>
      <c r="R28" s="45"/>
      <c r="S28" s="45">
        <f t="shared" si="0"/>
        <v>1629775</v>
      </c>
      <c r="T28" s="45"/>
      <c r="U28" s="44">
        <f t="shared" si="1"/>
        <v>0</v>
      </c>
      <c r="V28" s="44">
        <f t="shared" si="2"/>
        <v>0</v>
      </c>
    </row>
    <row r="29" spans="1:22" s="44" customFormat="1" ht="12.75" customHeight="1">
      <c r="A29" s="44" t="s">
        <v>41</v>
      </c>
      <c r="B29" s="51"/>
      <c r="C29" s="44" t="s">
        <v>27</v>
      </c>
      <c r="D29" s="35"/>
      <c r="E29" s="45">
        <v>1863570</v>
      </c>
      <c r="F29" s="45"/>
      <c r="G29" s="45">
        <v>7605613</v>
      </c>
      <c r="H29" s="45"/>
      <c r="I29" s="45">
        <v>3292571</v>
      </c>
      <c r="J29" s="45"/>
      <c r="K29" s="45">
        <v>3992749</v>
      </c>
      <c r="L29" s="45"/>
      <c r="M29" s="45">
        <f>10007+150000</f>
        <v>160007</v>
      </c>
      <c r="N29" s="45"/>
      <c r="O29" s="45">
        <v>0</v>
      </c>
      <c r="P29" s="45"/>
      <c r="Q29" s="45">
        <v>3452857</v>
      </c>
      <c r="R29" s="45"/>
      <c r="S29" s="45">
        <f t="shared" si="0"/>
        <v>3612864</v>
      </c>
      <c r="T29" s="45"/>
      <c r="U29" s="44">
        <f t="shared" si="1"/>
        <v>0</v>
      </c>
      <c r="V29" s="44">
        <f t="shared" si="2"/>
        <v>0</v>
      </c>
    </row>
    <row r="30" spans="1:22" s="44" customFormat="1" ht="12.75" customHeight="1">
      <c r="A30" s="44" t="s">
        <v>42</v>
      </c>
      <c r="B30" s="51"/>
      <c r="C30" s="44" t="s">
        <v>43</v>
      </c>
      <c r="D30" s="35"/>
      <c r="E30" s="45">
        <v>4238258</v>
      </c>
      <c r="F30" s="45"/>
      <c r="G30" s="45">
        <v>8034735</v>
      </c>
      <c r="H30" s="45"/>
      <c r="I30" s="45">
        <v>2255304</v>
      </c>
      <c r="J30" s="45"/>
      <c r="K30" s="45">
        <v>3343665</v>
      </c>
      <c r="L30" s="45"/>
      <c r="M30" s="45">
        <v>7310959</v>
      </c>
      <c r="N30" s="45"/>
      <c r="O30" s="45">
        <v>1000000</v>
      </c>
      <c r="P30" s="45"/>
      <c r="Q30" s="45">
        <v>-3619889</v>
      </c>
      <c r="R30" s="45"/>
      <c r="S30" s="45">
        <f t="shared" si="0"/>
        <v>4691070</v>
      </c>
      <c r="T30" s="45"/>
      <c r="U30" s="44">
        <f t="shared" si="1"/>
        <v>0</v>
      </c>
      <c r="V30" s="44">
        <f t="shared" si="2"/>
        <v>0</v>
      </c>
    </row>
    <row r="31" spans="1:22" s="44" customFormat="1" ht="12.75" customHeight="1">
      <c r="A31" s="44" t="s">
        <v>44</v>
      </c>
      <c r="B31" s="51"/>
      <c r="C31" s="44" t="s">
        <v>45</v>
      </c>
      <c r="D31" s="35"/>
      <c r="E31" s="45">
        <v>13461357</v>
      </c>
      <c r="F31" s="45"/>
      <c r="G31" s="45">
        <v>22622834</v>
      </c>
      <c r="H31" s="45"/>
      <c r="I31" s="45">
        <v>4964846</v>
      </c>
      <c r="J31" s="45"/>
      <c r="K31" s="45">
        <v>6562713</v>
      </c>
      <c r="L31" s="45"/>
      <c r="M31" s="45">
        <f>813233+79948+23618+15143322</f>
        <v>16060121</v>
      </c>
      <c r="N31" s="45"/>
      <c r="O31" s="45">
        <v>0</v>
      </c>
      <c r="P31" s="45"/>
      <c r="Q31" s="45">
        <v>0</v>
      </c>
      <c r="R31" s="45"/>
      <c r="S31" s="45">
        <f t="shared" si="0"/>
        <v>16060121</v>
      </c>
      <c r="T31" s="45"/>
      <c r="U31" s="44">
        <f t="shared" si="1"/>
        <v>0</v>
      </c>
      <c r="V31" s="44">
        <f t="shared" si="2"/>
        <v>0</v>
      </c>
    </row>
    <row r="32" spans="1:22" s="44" customFormat="1" ht="12.75" customHeight="1">
      <c r="A32" s="44" t="s">
        <v>46</v>
      </c>
      <c r="B32" s="51"/>
      <c r="C32" s="44" t="s">
        <v>47</v>
      </c>
      <c r="D32" s="35"/>
      <c r="E32" s="45">
        <v>1997739</v>
      </c>
      <c r="F32" s="45"/>
      <c r="G32" s="45">
        <v>7780891</v>
      </c>
      <c r="H32" s="45"/>
      <c r="I32" s="45">
        <v>4150129</v>
      </c>
      <c r="J32" s="45"/>
      <c r="K32" s="45">
        <v>5358091</v>
      </c>
      <c r="L32" s="45"/>
      <c r="M32" s="45">
        <f>173850+31674+217652</f>
        <v>423176</v>
      </c>
      <c r="N32" s="45"/>
      <c r="O32" s="45">
        <v>0</v>
      </c>
      <c r="P32" s="45"/>
      <c r="Q32" s="45">
        <v>1999624</v>
      </c>
      <c r="R32" s="45"/>
      <c r="S32" s="45">
        <f t="shared" si="0"/>
        <v>2422800</v>
      </c>
      <c r="T32" s="45"/>
      <c r="U32" s="44">
        <f t="shared" si="1"/>
        <v>0</v>
      </c>
      <c r="V32" s="44">
        <f t="shared" si="2"/>
        <v>0</v>
      </c>
    </row>
    <row r="33" spans="1:22" s="44" customFormat="1" ht="12.75" customHeight="1">
      <c r="A33" s="44" t="s">
        <v>48</v>
      </c>
      <c r="C33" s="44" t="s">
        <v>27</v>
      </c>
      <c r="D33" s="35"/>
      <c r="E33" s="45">
        <v>5949918</v>
      </c>
      <c r="F33" s="45"/>
      <c r="G33" s="45">
        <v>11565597</v>
      </c>
      <c r="H33" s="45"/>
      <c r="I33" s="45">
        <v>2733248</v>
      </c>
      <c r="J33" s="45"/>
      <c r="K33" s="45">
        <v>3429654</v>
      </c>
      <c r="L33" s="45"/>
      <c r="M33" s="45">
        <v>286045</v>
      </c>
      <c r="N33" s="45"/>
      <c r="O33" s="45">
        <v>0</v>
      </c>
      <c r="P33" s="45"/>
      <c r="Q33" s="45">
        <v>7849898</v>
      </c>
      <c r="R33" s="45"/>
      <c r="S33" s="45">
        <f t="shared" si="0"/>
        <v>8135943</v>
      </c>
      <c r="T33" s="45"/>
      <c r="U33" s="44">
        <f t="shared" si="1"/>
        <v>0</v>
      </c>
      <c r="V33" s="44">
        <f t="shared" si="2"/>
        <v>0</v>
      </c>
    </row>
    <row r="34" spans="1:22" s="44" customFormat="1" ht="12.75" customHeight="1">
      <c r="A34" s="44" t="s">
        <v>49</v>
      </c>
      <c r="C34" s="44" t="s">
        <v>27</v>
      </c>
      <c r="D34" s="35"/>
      <c r="E34" s="45">
        <v>1167995</v>
      </c>
      <c r="F34" s="45"/>
      <c r="G34" s="45">
        <v>5181627</v>
      </c>
      <c r="H34" s="45"/>
      <c r="I34" s="45">
        <v>2600663</v>
      </c>
      <c r="J34" s="45"/>
      <c r="K34" s="45">
        <v>3228434</v>
      </c>
      <c r="L34" s="45"/>
      <c r="M34" s="45">
        <v>80484</v>
      </c>
      <c r="N34" s="45"/>
      <c r="O34" s="45">
        <v>0</v>
      </c>
      <c r="P34" s="45"/>
      <c r="Q34" s="45">
        <v>1872709</v>
      </c>
      <c r="R34" s="45"/>
      <c r="S34" s="45">
        <f t="shared" si="0"/>
        <v>1953193</v>
      </c>
      <c r="T34" s="45"/>
      <c r="U34" s="44">
        <f t="shared" si="1"/>
        <v>0</v>
      </c>
      <c r="V34" s="44">
        <f t="shared" si="2"/>
        <v>0</v>
      </c>
    </row>
    <row r="35" spans="1:22" s="44" customFormat="1" ht="12.75" customHeight="1">
      <c r="A35" s="44" t="s">
        <v>50</v>
      </c>
      <c r="B35" s="51"/>
      <c r="C35" s="44" t="s">
        <v>27</v>
      </c>
      <c r="D35" s="35"/>
      <c r="E35" s="45">
        <v>4458992</v>
      </c>
      <c r="F35" s="45"/>
      <c r="G35" s="45">
        <v>9774990</v>
      </c>
      <c r="H35" s="45"/>
      <c r="I35" s="45">
        <v>2965770</v>
      </c>
      <c r="J35" s="45"/>
      <c r="K35" s="45">
        <v>4307366</v>
      </c>
      <c r="L35" s="45"/>
      <c r="M35" s="45">
        <f>285138+150673+125915</f>
        <v>561726</v>
      </c>
      <c r="N35" s="45"/>
      <c r="O35" s="45">
        <v>0</v>
      </c>
      <c r="P35" s="45"/>
      <c r="Q35" s="45">
        <v>4905898</v>
      </c>
      <c r="R35" s="45"/>
      <c r="S35" s="45">
        <f t="shared" si="0"/>
        <v>5467624</v>
      </c>
      <c r="T35" s="45"/>
      <c r="U35" s="44">
        <f t="shared" si="1"/>
        <v>0</v>
      </c>
      <c r="V35" s="44">
        <f t="shared" si="2"/>
        <v>0</v>
      </c>
    </row>
    <row r="36" spans="1:22" s="44" customFormat="1" ht="12.75" customHeight="1">
      <c r="A36" s="44" t="s">
        <v>51</v>
      </c>
      <c r="B36" s="51"/>
      <c r="C36" s="44" t="s">
        <v>27</v>
      </c>
      <c r="D36" s="35"/>
      <c r="E36" s="45">
        <v>1852280</v>
      </c>
      <c r="F36" s="45"/>
      <c r="G36" s="45">
        <v>8518083</v>
      </c>
      <c r="H36" s="45"/>
      <c r="I36" s="45">
        <v>1957510</v>
      </c>
      <c r="J36" s="45"/>
      <c r="K36" s="45">
        <v>3024007</v>
      </c>
      <c r="L36" s="45"/>
      <c r="M36" s="45">
        <f>177017+3686087</f>
        <v>3863104</v>
      </c>
      <c r="N36" s="45"/>
      <c r="O36" s="45">
        <v>0</v>
      </c>
      <c r="P36" s="45"/>
      <c r="Q36" s="45">
        <v>1630972</v>
      </c>
      <c r="R36" s="45"/>
      <c r="S36" s="45">
        <f t="shared" si="0"/>
        <v>5494076</v>
      </c>
      <c r="T36" s="45"/>
      <c r="U36" s="44">
        <f t="shared" si="1"/>
        <v>0</v>
      </c>
      <c r="V36" s="44">
        <f t="shared" si="2"/>
        <v>0</v>
      </c>
    </row>
    <row r="37" spans="1:22" s="44" customFormat="1" ht="12.75" customHeight="1">
      <c r="A37" s="44" t="s">
        <v>462</v>
      </c>
      <c r="B37" s="51"/>
      <c r="C37" s="44" t="s">
        <v>66</v>
      </c>
      <c r="D37" s="35"/>
      <c r="E37" s="45">
        <v>940344</v>
      </c>
      <c r="F37" s="45"/>
      <c r="G37" s="45">
        <v>2165815</v>
      </c>
      <c r="H37" s="45"/>
      <c r="I37" s="45">
        <v>679193</v>
      </c>
      <c r="J37" s="45"/>
      <c r="K37" s="45">
        <v>937253</v>
      </c>
      <c r="L37" s="45"/>
      <c r="M37" s="45">
        <f>252+29705+16865</f>
        <v>46822</v>
      </c>
      <c r="N37" s="45"/>
      <c r="O37" s="45">
        <v>0</v>
      </c>
      <c r="P37" s="45"/>
      <c r="Q37" s="45">
        <v>1181740</v>
      </c>
      <c r="R37" s="45"/>
      <c r="S37" s="45">
        <f t="shared" si="0"/>
        <v>1228562</v>
      </c>
      <c r="T37" s="45"/>
      <c r="U37" s="44">
        <f t="shared" si="1"/>
        <v>0</v>
      </c>
      <c r="V37" s="44">
        <f t="shared" si="2"/>
        <v>0</v>
      </c>
    </row>
    <row r="38" spans="1:22" s="44" customFormat="1" ht="12.75" customHeight="1">
      <c r="A38" s="44" t="s">
        <v>52</v>
      </c>
      <c r="B38" s="51"/>
      <c r="C38" s="44" t="s">
        <v>53</v>
      </c>
      <c r="D38" s="35"/>
      <c r="E38" s="45">
        <v>1945319</v>
      </c>
      <c r="F38" s="45"/>
      <c r="G38" s="45">
        <v>8525923</v>
      </c>
      <c r="H38" s="45"/>
      <c r="I38" s="45">
        <v>4100906</v>
      </c>
      <c r="J38" s="45"/>
      <c r="K38" s="45">
        <v>5414678</v>
      </c>
      <c r="L38" s="45"/>
      <c r="M38" s="45">
        <f>255233+15424+1711286</f>
        <v>1981943</v>
      </c>
      <c r="N38" s="45"/>
      <c r="O38" s="45">
        <v>0</v>
      </c>
      <c r="P38" s="45"/>
      <c r="Q38" s="45">
        <v>1129302</v>
      </c>
      <c r="R38" s="45"/>
      <c r="S38" s="45">
        <f t="shared" si="0"/>
        <v>3111245</v>
      </c>
      <c r="T38" s="45"/>
      <c r="U38" s="44">
        <f t="shared" si="1"/>
        <v>0</v>
      </c>
      <c r="V38" s="44">
        <f t="shared" si="2"/>
        <v>0</v>
      </c>
    </row>
    <row r="39" spans="1:22" s="44" customFormat="1" ht="12.75" customHeight="1">
      <c r="A39" s="44" t="s">
        <v>54</v>
      </c>
      <c r="B39" s="51"/>
      <c r="C39" s="44" t="s">
        <v>55</v>
      </c>
      <c r="D39" s="35"/>
      <c r="E39" s="45">
        <v>1359191</v>
      </c>
      <c r="F39" s="45"/>
      <c r="G39" s="45">
        <v>2321671</v>
      </c>
      <c r="H39" s="45"/>
      <c r="I39" s="45">
        <v>636374</v>
      </c>
      <c r="J39" s="45"/>
      <c r="K39" s="45">
        <v>1057085</v>
      </c>
      <c r="L39" s="45"/>
      <c r="M39" s="45">
        <f>151606+25085</f>
        <v>176691</v>
      </c>
      <c r="N39" s="45"/>
      <c r="O39" s="45">
        <v>0</v>
      </c>
      <c r="P39" s="45"/>
      <c r="Q39" s="45">
        <v>1087895</v>
      </c>
      <c r="R39" s="45"/>
      <c r="S39" s="45">
        <f t="shared" si="0"/>
        <v>1264586</v>
      </c>
      <c r="T39" s="45"/>
      <c r="U39" s="44">
        <f t="shared" si="1"/>
        <v>0</v>
      </c>
      <c r="V39" s="44">
        <f t="shared" si="2"/>
        <v>0</v>
      </c>
    </row>
    <row r="40" spans="1:22" s="44" customFormat="1" ht="12.75" customHeight="1">
      <c r="A40" s="44" t="s">
        <v>56</v>
      </c>
      <c r="B40" s="51"/>
      <c r="C40" s="44" t="s">
        <v>57</v>
      </c>
      <c r="D40" s="35"/>
      <c r="E40" s="45">
        <v>1945378</v>
      </c>
      <c r="F40" s="45"/>
      <c r="G40" s="45">
        <v>4007441</v>
      </c>
      <c r="H40" s="45"/>
      <c r="I40" s="45">
        <v>1321578</v>
      </c>
      <c r="J40" s="45"/>
      <c r="K40" s="45">
        <v>1700123</v>
      </c>
      <c r="L40" s="45"/>
      <c r="M40" s="45">
        <v>20904</v>
      </c>
      <c r="N40" s="45"/>
      <c r="O40" s="45">
        <v>0</v>
      </c>
      <c r="P40" s="45"/>
      <c r="Q40" s="45">
        <v>2286414</v>
      </c>
      <c r="R40" s="45"/>
      <c r="S40" s="45">
        <f t="shared" si="0"/>
        <v>2307318</v>
      </c>
      <c r="T40" s="45"/>
      <c r="U40" s="44">
        <f t="shared" si="1"/>
        <v>0</v>
      </c>
      <c r="V40" s="44">
        <f t="shared" si="2"/>
        <v>0</v>
      </c>
    </row>
    <row r="41" spans="1:22" s="44" customFormat="1" ht="12.75" customHeight="1">
      <c r="A41" s="44" t="s">
        <v>58</v>
      </c>
      <c r="B41" s="51"/>
      <c r="C41" s="44" t="s">
        <v>59</v>
      </c>
      <c r="D41" s="35"/>
      <c r="E41" s="45">
        <v>597416</v>
      </c>
      <c r="F41" s="45"/>
      <c r="G41" s="45">
        <v>2354993</v>
      </c>
      <c r="H41" s="45"/>
      <c r="I41" s="45">
        <v>840769</v>
      </c>
      <c r="J41" s="45"/>
      <c r="K41" s="45">
        <v>1230150</v>
      </c>
      <c r="L41" s="45"/>
      <c r="M41" s="45">
        <v>17445</v>
      </c>
      <c r="N41" s="45"/>
      <c r="O41" s="45">
        <v>0</v>
      </c>
      <c r="P41" s="45"/>
      <c r="Q41" s="45">
        <v>1107398</v>
      </c>
      <c r="R41" s="45"/>
      <c r="S41" s="45">
        <f t="shared" si="0"/>
        <v>1124843</v>
      </c>
      <c r="T41" s="45"/>
      <c r="U41" s="44">
        <f t="shared" si="1"/>
        <v>0</v>
      </c>
      <c r="V41" s="44">
        <f t="shared" si="2"/>
        <v>0</v>
      </c>
    </row>
    <row r="42" spans="1:22" s="44" customFormat="1" ht="12.75" customHeight="1">
      <c r="A42" s="44" t="s">
        <v>476</v>
      </c>
      <c r="B42" s="51"/>
      <c r="C42" s="44" t="s">
        <v>15</v>
      </c>
      <c r="D42" s="35"/>
      <c r="E42" s="45">
        <v>404784</v>
      </c>
      <c r="F42" s="45"/>
      <c r="G42" s="45">
        <v>1203051</v>
      </c>
      <c r="H42" s="45"/>
      <c r="I42" s="45">
        <v>600045</v>
      </c>
      <c r="J42" s="45"/>
      <c r="K42" s="45">
        <v>1238696</v>
      </c>
      <c r="L42" s="45"/>
      <c r="M42" s="45">
        <v>48417</v>
      </c>
      <c r="N42" s="45"/>
      <c r="O42" s="45">
        <v>0</v>
      </c>
      <c r="P42" s="45"/>
      <c r="Q42" s="45">
        <v>-84062</v>
      </c>
      <c r="R42" s="45"/>
      <c r="S42" s="45">
        <f>+Q42+O42+M42</f>
        <v>-35645</v>
      </c>
      <c r="T42" s="45"/>
      <c r="U42" s="44">
        <f>+G42-K42-S42</f>
        <v>0</v>
      </c>
      <c r="V42" s="44">
        <f>+G42-K42-S42</f>
        <v>0</v>
      </c>
    </row>
    <row r="43" spans="1:22" s="44" customFormat="1" ht="12.75" customHeight="1">
      <c r="A43" s="44" t="s">
        <v>60</v>
      </c>
      <c r="B43" s="51"/>
      <c r="C43" s="44" t="s">
        <v>61</v>
      </c>
      <c r="D43" s="35"/>
      <c r="E43" s="45">
        <v>1861909</v>
      </c>
      <c r="F43" s="45"/>
      <c r="G43" s="45">
        <v>2787855</v>
      </c>
      <c r="H43" s="45"/>
      <c r="I43" s="45">
        <v>307757</v>
      </c>
      <c r="J43" s="45"/>
      <c r="K43" s="45">
        <v>551578</v>
      </c>
      <c r="L43" s="45"/>
      <c r="M43" s="45">
        <f>108722+37531+2259</f>
        <v>148512</v>
      </c>
      <c r="N43" s="45"/>
      <c r="O43" s="45">
        <v>0</v>
      </c>
      <c r="P43" s="45"/>
      <c r="Q43" s="45">
        <v>2087765</v>
      </c>
      <c r="R43" s="45"/>
      <c r="S43" s="45">
        <f t="shared" si="0"/>
        <v>2236277</v>
      </c>
      <c r="T43" s="45"/>
      <c r="U43" s="44">
        <f t="shared" si="1"/>
        <v>0</v>
      </c>
      <c r="V43" s="44">
        <f t="shared" si="2"/>
        <v>0</v>
      </c>
    </row>
    <row r="44" spans="1:22" s="44" customFormat="1" ht="12.75" customHeight="1">
      <c r="A44" s="44" t="s">
        <v>62</v>
      </c>
      <c r="B44" s="51"/>
      <c r="C44" s="44" t="s">
        <v>15</v>
      </c>
      <c r="D44" s="35"/>
      <c r="E44" s="45">
        <v>2735071</v>
      </c>
      <c r="F44" s="45"/>
      <c r="G44" s="45">
        <v>20416044</v>
      </c>
      <c r="H44" s="45"/>
      <c r="I44" s="45">
        <v>10565615</v>
      </c>
      <c r="J44" s="45"/>
      <c r="K44" s="45">
        <v>12720155</v>
      </c>
      <c r="L44" s="45"/>
      <c r="M44" s="45">
        <f>204637+541949+1923</f>
        <v>748509</v>
      </c>
      <c r="N44" s="45"/>
      <c r="O44" s="45">
        <v>0</v>
      </c>
      <c r="P44" s="45"/>
      <c r="Q44" s="45">
        <v>6947380</v>
      </c>
      <c r="R44" s="45"/>
      <c r="S44" s="45">
        <f t="shared" si="0"/>
        <v>7695889</v>
      </c>
      <c r="T44" s="45"/>
      <c r="U44" s="44">
        <f t="shared" si="1"/>
        <v>0</v>
      </c>
      <c r="V44" s="44">
        <f t="shared" si="2"/>
        <v>0</v>
      </c>
    </row>
    <row r="45" spans="1:22" s="44" customFormat="1" ht="12.75" customHeight="1">
      <c r="A45" s="44" t="s">
        <v>485</v>
      </c>
      <c r="B45" s="51"/>
      <c r="C45" s="44" t="s">
        <v>111</v>
      </c>
      <c r="D45" s="35"/>
      <c r="E45" s="45">
        <v>682603</v>
      </c>
      <c r="F45" s="45"/>
      <c r="G45" s="45">
        <v>1070950</v>
      </c>
      <c r="H45" s="45"/>
      <c r="I45" s="45">
        <v>93346</v>
      </c>
      <c r="J45" s="45"/>
      <c r="K45" s="45">
        <v>200521</v>
      </c>
      <c r="L45" s="45"/>
      <c r="M45" s="45">
        <f>18627+22358+11217</f>
        <v>52202</v>
      </c>
      <c r="N45" s="45"/>
      <c r="O45" s="45">
        <v>0</v>
      </c>
      <c r="P45" s="45"/>
      <c r="Q45" s="45">
        <v>818227</v>
      </c>
      <c r="R45" s="45"/>
      <c r="S45" s="45">
        <f>+Q45+O45+M45</f>
        <v>870429</v>
      </c>
      <c r="T45" s="45"/>
      <c r="U45" s="44">
        <f>+G45-K45-S45</f>
        <v>0</v>
      </c>
      <c r="V45" s="44">
        <f>+G45-K45-S45</f>
        <v>0</v>
      </c>
    </row>
    <row r="46" spans="1:22" s="44" customFormat="1" ht="12.75" customHeight="1">
      <c r="A46" s="44" t="s">
        <v>63</v>
      </c>
      <c r="B46" s="51"/>
      <c r="C46" s="44" t="s">
        <v>64</v>
      </c>
      <c r="D46" s="35"/>
      <c r="E46" s="45">
        <v>1210154</v>
      </c>
      <c r="F46" s="45"/>
      <c r="G46" s="45">
        <v>2735312</v>
      </c>
      <c r="H46" s="45"/>
      <c r="I46" s="45">
        <v>855884</v>
      </c>
      <c r="J46" s="45"/>
      <c r="K46" s="45">
        <v>1295122</v>
      </c>
      <c r="L46" s="45"/>
      <c r="M46" s="45">
        <f>108469+9840</f>
        <v>118309</v>
      </c>
      <c r="N46" s="45"/>
      <c r="O46" s="45">
        <v>0</v>
      </c>
      <c r="P46" s="45"/>
      <c r="Q46" s="45">
        <v>1321881</v>
      </c>
      <c r="R46" s="45"/>
      <c r="S46" s="45">
        <f t="shared" si="0"/>
        <v>1440190</v>
      </c>
      <c r="T46" s="45"/>
      <c r="U46" s="44">
        <f t="shared" si="1"/>
        <v>0</v>
      </c>
      <c r="V46" s="44">
        <f t="shared" si="2"/>
        <v>0</v>
      </c>
    </row>
    <row r="47" spans="1:22" s="44" customFormat="1" ht="12.75" customHeight="1">
      <c r="A47" s="44" t="s">
        <v>65</v>
      </c>
      <c r="B47" s="51"/>
      <c r="C47" s="44" t="s">
        <v>66</v>
      </c>
      <c r="D47" s="35"/>
      <c r="E47" s="45">
        <v>350288</v>
      </c>
      <c r="F47" s="45"/>
      <c r="G47" s="45">
        <v>14369793</v>
      </c>
      <c r="H47" s="45"/>
      <c r="I47" s="45">
        <v>3078060</v>
      </c>
      <c r="J47" s="45"/>
      <c r="K47" s="45">
        <v>3789114</v>
      </c>
      <c r="L47" s="45"/>
      <c r="M47" s="45">
        <f>106592+3136+81635</f>
        <v>191363</v>
      </c>
      <c r="N47" s="45"/>
      <c r="O47" s="45">
        <v>0</v>
      </c>
      <c r="P47" s="45"/>
      <c r="Q47" s="45">
        <v>10389316</v>
      </c>
      <c r="R47" s="45"/>
      <c r="S47" s="45">
        <f>+Q47+O47+M47</f>
        <v>10580679</v>
      </c>
      <c r="T47" s="45"/>
      <c r="U47" s="44">
        <f>+G47-K47-S47</f>
        <v>0</v>
      </c>
      <c r="V47" s="44">
        <f>+G47-K47-S47</f>
        <v>0</v>
      </c>
    </row>
    <row r="48" spans="1:22" s="44" customFormat="1" ht="12.75" customHeight="1">
      <c r="A48" s="44" t="s">
        <v>67</v>
      </c>
      <c r="B48" s="51"/>
      <c r="C48" s="44" t="s">
        <v>375</v>
      </c>
      <c r="D48" s="35"/>
      <c r="E48" s="45">
        <v>2521477</v>
      </c>
      <c r="F48" s="45"/>
      <c r="G48" s="45">
        <v>4483863</v>
      </c>
      <c r="H48" s="45"/>
      <c r="I48" s="45">
        <v>1225038</v>
      </c>
      <c r="J48" s="45"/>
      <c r="K48" s="45">
        <v>1544339</v>
      </c>
      <c r="L48" s="45"/>
      <c r="M48" s="45">
        <f>341030+209460</f>
        <v>550490</v>
      </c>
      <c r="N48" s="45"/>
      <c r="O48" s="45">
        <v>0</v>
      </c>
      <c r="P48" s="45"/>
      <c r="Q48" s="45">
        <v>2389034</v>
      </c>
      <c r="R48" s="45"/>
      <c r="S48" s="45">
        <f t="shared" ref="S48:S53" si="3">+Q48+O48+M48</f>
        <v>2939524</v>
      </c>
      <c r="T48" s="45"/>
      <c r="U48" s="44">
        <f t="shared" ref="U48:U57" si="4">+G48-K48-S48</f>
        <v>0</v>
      </c>
      <c r="V48" s="44">
        <f t="shared" ref="V48:V57" si="5">+G48-K48-S48</f>
        <v>0</v>
      </c>
    </row>
    <row r="49" spans="1:22" s="44" customFormat="1" ht="12.75" customHeight="1">
      <c r="A49" s="44" t="s">
        <v>68</v>
      </c>
      <c r="B49" s="51"/>
      <c r="C49" s="44" t="s">
        <v>45</v>
      </c>
      <c r="D49" s="35"/>
      <c r="E49" s="45">
        <v>159820</v>
      </c>
      <c r="F49" s="45"/>
      <c r="G49" s="45">
        <v>2377454</v>
      </c>
      <c r="H49" s="45"/>
      <c r="I49" s="45">
        <v>1618482</v>
      </c>
      <c r="J49" s="45"/>
      <c r="K49" s="45">
        <v>1964667</v>
      </c>
      <c r="L49" s="45"/>
      <c r="M49" s="45">
        <f>54043+11080+11331</f>
        <v>76454</v>
      </c>
      <c r="N49" s="45"/>
      <c r="O49" s="45">
        <v>0</v>
      </c>
      <c r="P49" s="45"/>
      <c r="Q49" s="45">
        <v>336333</v>
      </c>
      <c r="R49" s="45"/>
      <c r="S49" s="45">
        <f t="shared" si="3"/>
        <v>412787</v>
      </c>
      <c r="T49" s="45"/>
      <c r="U49" s="44">
        <f t="shared" si="4"/>
        <v>0</v>
      </c>
      <c r="V49" s="44">
        <f t="shared" si="5"/>
        <v>0</v>
      </c>
    </row>
    <row r="50" spans="1:22" s="44" customFormat="1" ht="12.75" customHeight="1">
      <c r="A50" s="44" t="s">
        <v>69</v>
      </c>
      <c r="B50" s="51"/>
      <c r="C50" s="44" t="s">
        <v>70</v>
      </c>
      <c r="D50" s="35"/>
      <c r="E50" s="45">
        <v>2813786</v>
      </c>
      <c r="F50" s="45"/>
      <c r="G50" s="45">
        <v>7277628</v>
      </c>
      <c r="H50" s="45"/>
      <c r="I50" s="45">
        <v>1530189</v>
      </c>
      <c r="J50" s="45"/>
      <c r="K50" s="45">
        <v>2702518</v>
      </c>
      <c r="L50" s="45"/>
      <c r="M50" s="45">
        <v>112003</v>
      </c>
      <c r="N50" s="45"/>
      <c r="O50" s="45">
        <v>0</v>
      </c>
      <c r="P50" s="45"/>
      <c r="Q50" s="45">
        <v>4463107</v>
      </c>
      <c r="R50" s="45"/>
      <c r="S50" s="45">
        <f t="shared" si="3"/>
        <v>4575110</v>
      </c>
      <c r="T50" s="45"/>
      <c r="U50" s="44">
        <f t="shared" si="4"/>
        <v>0</v>
      </c>
      <c r="V50" s="44">
        <f t="shared" si="5"/>
        <v>0</v>
      </c>
    </row>
    <row r="51" spans="1:22" s="44" customFormat="1" ht="12.75" customHeight="1">
      <c r="A51" s="46" t="s">
        <v>71</v>
      </c>
      <c r="B51" s="46"/>
      <c r="C51" s="46" t="s">
        <v>45</v>
      </c>
      <c r="D51" s="64"/>
      <c r="E51" s="45">
        <f>119+59447+170</f>
        <v>59736</v>
      </c>
      <c r="F51" s="45"/>
      <c r="G51" s="45">
        <v>154076</v>
      </c>
      <c r="H51" s="45"/>
      <c r="I51" s="45">
        <v>55778</v>
      </c>
      <c r="J51" s="45"/>
      <c r="K51" s="45">
        <v>87379</v>
      </c>
      <c r="L51" s="45"/>
      <c r="M51" s="45">
        <f>170+9706+302+3048</f>
        <v>13226</v>
      </c>
      <c r="N51" s="45"/>
      <c r="O51" s="45">
        <v>0</v>
      </c>
      <c r="P51" s="45"/>
      <c r="Q51" s="45">
        <f>51044+1500+927</f>
        <v>53471</v>
      </c>
      <c r="R51" s="45"/>
      <c r="S51" s="45">
        <f t="shared" si="3"/>
        <v>66697</v>
      </c>
      <c r="T51" s="45"/>
      <c r="U51" s="44">
        <f t="shared" si="4"/>
        <v>0</v>
      </c>
      <c r="V51" s="44">
        <f>+G51-K51-S51</f>
        <v>0</v>
      </c>
    </row>
    <row r="52" spans="1:22" s="44" customFormat="1" ht="12.75" customHeight="1">
      <c r="A52" s="44" t="s">
        <v>463</v>
      </c>
      <c r="C52" s="44" t="s">
        <v>464</v>
      </c>
      <c r="D52" s="35"/>
      <c r="E52" s="45">
        <v>1180847</v>
      </c>
      <c r="F52" s="45"/>
      <c r="G52" s="45">
        <v>3056514</v>
      </c>
      <c r="H52" s="45"/>
      <c r="I52" s="45">
        <v>1557875</v>
      </c>
      <c r="J52" s="45"/>
      <c r="K52" s="45">
        <v>1871251</v>
      </c>
      <c r="L52" s="45"/>
      <c r="M52" s="45">
        <v>149996</v>
      </c>
      <c r="N52" s="45"/>
      <c r="O52" s="45">
        <v>0</v>
      </c>
      <c r="P52" s="45"/>
      <c r="Q52" s="45">
        <v>1035267</v>
      </c>
      <c r="R52" s="45"/>
      <c r="S52" s="45">
        <f t="shared" si="3"/>
        <v>1185263</v>
      </c>
      <c r="T52" s="45"/>
      <c r="U52" s="44">
        <f t="shared" si="4"/>
        <v>0</v>
      </c>
      <c r="V52" s="44">
        <f t="shared" si="5"/>
        <v>0</v>
      </c>
    </row>
    <row r="53" spans="1:22" s="44" customFormat="1" ht="12.75" customHeight="1">
      <c r="A53" s="46" t="s">
        <v>72</v>
      </c>
      <c r="B53" s="46"/>
      <c r="C53" s="46" t="s">
        <v>66</v>
      </c>
      <c r="D53" s="64"/>
      <c r="E53" s="45">
        <v>631432</v>
      </c>
      <c r="F53" s="45"/>
      <c r="G53" s="45">
        <v>2784172</v>
      </c>
      <c r="H53" s="45"/>
      <c r="I53" s="45">
        <v>1144518</v>
      </c>
      <c r="J53" s="45"/>
      <c r="K53" s="45">
        <v>1219473</v>
      </c>
      <c r="L53" s="45"/>
      <c r="M53" s="45">
        <v>121485</v>
      </c>
      <c r="N53" s="45"/>
      <c r="O53" s="45">
        <v>0</v>
      </c>
      <c r="P53" s="45"/>
      <c r="Q53" s="45">
        <v>1443214</v>
      </c>
      <c r="R53" s="45"/>
      <c r="S53" s="45">
        <f t="shared" si="3"/>
        <v>1564699</v>
      </c>
      <c r="T53" s="45"/>
      <c r="U53" s="44">
        <f t="shared" si="4"/>
        <v>0</v>
      </c>
      <c r="V53" s="44">
        <f t="shared" si="5"/>
        <v>0</v>
      </c>
    </row>
    <row r="54" spans="1:22" s="44" customFormat="1" ht="12.75" customHeight="1">
      <c r="A54" s="44" t="s">
        <v>73</v>
      </c>
      <c r="C54" s="44" t="s">
        <v>27</v>
      </c>
      <c r="D54" s="35"/>
      <c r="E54" s="45">
        <v>40685000</v>
      </c>
      <c r="F54" s="45"/>
      <c r="G54" s="45">
        <v>193888000</v>
      </c>
      <c r="H54" s="45"/>
      <c r="I54" s="45">
        <v>100006000</v>
      </c>
      <c r="J54" s="45"/>
      <c r="K54" s="45">
        <v>162343000</v>
      </c>
      <c r="L54" s="45"/>
      <c r="M54" s="45">
        <f>77000+6230000+8382000</f>
        <v>14689000</v>
      </c>
      <c r="N54" s="45"/>
      <c r="O54" s="45">
        <v>0</v>
      </c>
      <c r="P54" s="45"/>
      <c r="Q54" s="45">
        <f>23000+16833000</f>
        <v>16856000</v>
      </c>
      <c r="R54" s="45"/>
      <c r="S54" s="45">
        <f t="shared" ref="S54:S57" si="6">+Q54+O54+M54</f>
        <v>31545000</v>
      </c>
      <c r="T54" s="45"/>
      <c r="U54" s="44">
        <f t="shared" si="4"/>
        <v>0</v>
      </c>
      <c r="V54" s="44">
        <f t="shared" si="5"/>
        <v>0</v>
      </c>
    </row>
    <row r="55" spans="1:22" s="44" customFormat="1" ht="12.75" hidden="1" customHeight="1">
      <c r="A55" s="44" t="s">
        <v>74</v>
      </c>
      <c r="B55" s="51"/>
      <c r="C55" s="44" t="s">
        <v>27</v>
      </c>
      <c r="D55" s="3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>
        <f t="shared" si="6"/>
        <v>0</v>
      </c>
      <c r="T55" s="45"/>
      <c r="U55" s="44">
        <f t="shared" si="4"/>
        <v>0</v>
      </c>
      <c r="V55" s="44">
        <f t="shared" si="5"/>
        <v>0</v>
      </c>
    </row>
    <row r="56" spans="1:22" s="44" customFormat="1" ht="12.75" customHeight="1">
      <c r="A56" s="44" t="s">
        <v>75</v>
      </c>
      <c r="B56" s="51"/>
      <c r="C56" s="44" t="s">
        <v>76</v>
      </c>
      <c r="D56" s="35"/>
      <c r="E56" s="45">
        <v>355795</v>
      </c>
      <c r="F56" s="45"/>
      <c r="G56" s="45">
        <v>1400992</v>
      </c>
      <c r="H56" s="45"/>
      <c r="I56" s="45">
        <v>276659</v>
      </c>
      <c r="J56" s="45"/>
      <c r="K56" s="45">
        <v>785332</v>
      </c>
      <c r="L56" s="45"/>
      <c r="M56" s="45">
        <f>50057+23585+6235</f>
        <v>79877</v>
      </c>
      <c r="N56" s="45"/>
      <c r="O56" s="45">
        <v>0</v>
      </c>
      <c r="P56" s="45"/>
      <c r="Q56" s="45">
        <v>535783</v>
      </c>
      <c r="R56" s="45"/>
      <c r="S56" s="45">
        <f t="shared" si="6"/>
        <v>615660</v>
      </c>
      <c r="T56" s="45"/>
      <c r="U56" s="44">
        <f t="shared" si="4"/>
        <v>0</v>
      </c>
      <c r="V56" s="44">
        <f t="shared" si="5"/>
        <v>0</v>
      </c>
    </row>
    <row r="57" spans="1:22" s="44" customFormat="1" ht="12.75" customHeight="1">
      <c r="A57" s="44" t="s">
        <v>77</v>
      </c>
      <c r="B57" s="51"/>
      <c r="C57" s="44" t="s">
        <v>43</v>
      </c>
      <c r="D57" s="35"/>
      <c r="E57" s="45">
        <v>61047000</v>
      </c>
      <c r="F57" s="45"/>
      <c r="G57" s="45">
        <v>199824000</v>
      </c>
      <c r="H57" s="45"/>
      <c r="I57" s="45">
        <v>100864000</v>
      </c>
      <c r="J57" s="45"/>
      <c r="K57" s="45">
        <v>135264000</v>
      </c>
      <c r="L57" s="45"/>
      <c r="M57" s="45">
        <v>9196000</v>
      </c>
      <c r="N57" s="45"/>
      <c r="O57" s="45">
        <v>0</v>
      </c>
      <c r="P57" s="45"/>
      <c r="Q57" s="45">
        <f>45373000+9991000</f>
        <v>55364000</v>
      </c>
      <c r="R57" s="45"/>
      <c r="S57" s="45">
        <f t="shared" si="6"/>
        <v>64560000</v>
      </c>
      <c r="T57" s="45"/>
      <c r="U57" s="44">
        <f t="shared" si="4"/>
        <v>0</v>
      </c>
      <c r="V57" s="44">
        <f t="shared" si="5"/>
        <v>0</v>
      </c>
    </row>
    <row r="58" spans="1:22" s="44" customFormat="1" ht="12.75" customHeight="1">
      <c r="A58" s="44" t="s">
        <v>94</v>
      </c>
      <c r="B58" s="51"/>
      <c r="C58" s="44" t="s">
        <v>94</v>
      </c>
      <c r="D58" s="35"/>
      <c r="E58" s="45">
        <f>42120+265666</f>
        <v>307786</v>
      </c>
      <c r="F58" s="45"/>
      <c r="G58" s="45">
        <v>853888</v>
      </c>
      <c r="H58" s="45"/>
      <c r="I58" s="45">
        <v>403596</v>
      </c>
      <c r="J58" s="45"/>
      <c r="K58" s="45">
        <v>520475</v>
      </c>
      <c r="L58" s="45"/>
      <c r="M58" s="45">
        <f>25318+66215</f>
        <v>91533</v>
      </c>
      <c r="N58" s="45"/>
      <c r="O58" s="45">
        <v>0</v>
      </c>
      <c r="P58" s="45"/>
      <c r="Q58" s="45">
        <v>241880</v>
      </c>
      <c r="R58" s="45"/>
      <c r="S58" s="45">
        <f>+Q58+O58+M58</f>
        <v>333413</v>
      </c>
      <c r="T58" s="45"/>
      <c r="U58" s="44">
        <f>+G58-K58-S58</f>
        <v>0</v>
      </c>
      <c r="V58" s="44">
        <f>+G58-K58-S58</f>
        <v>0</v>
      </c>
    </row>
    <row r="59" spans="1:22" s="44" customFormat="1" ht="12.75" customHeight="1">
      <c r="A59" s="44" t="s">
        <v>78</v>
      </c>
      <c r="B59" s="51"/>
      <c r="C59" s="44" t="s">
        <v>19</v>
      </c>
      <c r="D59" s="35"/>
      <c r="E59" s="45">
        <v>108742</v>
      </c>
      <c r="F59" s="45"/>
      <c r="G59" s="45">
        <v>1794704</v>
      </c>
      <c r="H59" s="45"/>
      <c r="I59" s="45">
        <v>1134486</v>
      </c>
      <c r="J59" s="45"/>
      <c r="K59" s="45">
        <v>1579461</v>
      </c>
      <c r="L59" s="45"/>
      <c r="M59" s="45">
        <v>10063</v>
      </c>
      <c r="N59" s="45"/>
      <c r="O59" s="45">
        <v>0</v>
      </c>
      <c r="P59" s="45"/>
      <c r="Q59" s="45">
        <v>205180</v>
      </c>
      <c r="R59" s="45"/>
      <c r="S59" s="45">
        <f>+Q59+O59+M59</f>
        <v>215243</v>
      </c>
      <c r="T59" s="45"/>
      <c r="U59" s="44">
        <f>+G59-K59-S59</f>
        <v>0</v>
      </c>
      <c r="V59" s="44">
        <f>+G59-K59-S59</f>
        <v>0</v>
      </c>
    </row>
    <row r="60" spans="1:22" s="44" customFormat="1" ht="12.75" customHeight="1">
      <c r="A60" s="44" t="s">
        <v>79</v>
      </c>
      <c r="B60" s="51"/>
      <c r="C60" s="44" t="s">
        <v>80</v>
      </c>
      <c r="D60" s="35"/>
      <c r="E60" s="45">
        <v>571029</v>
      </c>
      <c r="F60" s="45"/>
      <c r="G60" s="45">
        <v>1267714</v>
      </c>
      <c r="H60" s="45"/>
      <c r="I60" s="45">
        <v>672103</v>
      </c>
      <c r="J60" s="45"/>
      <c r="K60" s="45">
        <v>702528</v>
      </c>
      <c r="L60" s="45"/>
      <c r="M60" s="45">
        <v>5</v>
      </c>
      <c r="N60" s="45"/>
      <c r="O60" s="45">
        <v>0</v>
      </c>
      <c r="P60" s="45"/>
      <c r="Q60" s="45">
        <v>565181</v>
      </c>
      <c r="R60" s="45"/>
      <c r="S60" s="45">
        <f>+Q60+O60+M60</f>
        <v>565186</v>
      </c>
      <c r="T60" s="45"/>
      <c r="U60" s="44">
        <f>+G60-K60-S60</f>
        <v>0</v>
      </c>
      <c r="V60" s="44">
        <f>+G60-K60-S60</f>
        <v>0</v>
      </c>
    </row>
    <row r="61" spans="1:22" s="44" customFormat="1" ht="12.75" customHeight="1">
      <c r="A61" s="44" t="s">
        <v>81</v>
      </c>
      <c r="B61" s="51"/>
      <c r="C61" s="44" t="s">
        <v>81</v>
      </c>
      <c r="D61" s="35"/>
      <c r="E61" s="45">
        <v>0</v>
      </c>
      <c r="F61" s="45"/>
      <c r="G61" s="45">
        <v>1388175</v>
      </c>
      <c r="H61" s="45"/>
      <c r="I61" s="45">
        <v>562326</v>
      </c>
      <c r="J61" s="45"/>
      <c r="K61" s="45">
        <v>1744110</v>
      </c>
      <c r="L61" s="45"/>
      <c r="M61" s="45">
        <f>5443+2251</f>
        <v>7694</v>
      </c>
      <c r="N61" s="45"/>
      <c r="O61" s="45">
        <v>0</v>
      </c>
      <c r="P61" s="45"/>
      <c r="Q61" s="45">
        <v>-363629</v>
      </c>
      <c r="R61" s="45"/>
      <c r="S61" s="45">
        <f>+Q61+O61+M61</f>
        <v>-355935</v>
      </c>
      <c r="T61" s="45"/>
      <c r="U61" s="44">
        <f>+G61-K61-S61</f>
        <v>0</v>
      </c>
      <c r="V61" s="44">
        <f>+G61-K61-S61</f>
        <v>0</v>
      </c>
    </row>
    <row r="62" spans="1:22" s="46" customFormat="1" ht="12.75" customHeight="1">
      <c r="A62" s="47" t="s">
        <v>465</v>
      </c>
      <c r="B62" s="47"/>
      <c r="C62" s="47" t="s">
        <v>57</v>
      </c>
      <c r="D62" s="35"/>
      <c r="E62" s="45">
        <f>9389+514459</f>
        <v>523848</v>
      </c>
      <c r="F62" s="45"/>
      <c r="G62" s="45">
        <v>1226330</v>
      </c>
      <c r="H62" s="45"/>
      <c r="I62" s="45">
        <v>445335</v>
      </c>
      <c r="J62" s="45"/>
      <c r="K62" s="45">
        <v>761068</v>
      </c>
      <c r="L62" s="45"/>
      <c r="M62" s="45">
        <f>11576+13985</f>
        <v>25561</v>
      </c>
      <c r="N62" s="45"/>
      <c r="O62" s="45">
        <v>0</v>
      </c>
      <c r="P62" s="45"/>
      <c r="Q62" s="45">
        <v>439701</v>
      </c>
      <c r="R62" s="45"/>
      <c r="S62" s="45">
        <f>+Q62+O62+M62</f>
        <v>465262</v>
      </c>
      <c r="T62" s="45"/>
      <c r="U62" s="44">
        <f>+G62-K62-S62</f>
        <v>0</v>
      </c>
      <c r="V62" s="44">
        <f>+G62-K62-S62</f>
        <v>0</v>
      </c>
    </row>
    <row r="63" spans="1:22" s="44" customFormat="1" ht="12.75" customHeight="1">
      <c r="A63" s="44" t="s">
        <v>82</v>
      </c>
      <c r="B63" s="51"/>
      <c r="C63" s="44" t="s">
        <v>13</v>
      </c>
      <c r="D63" s="35"/>
      <c r="E63" s="45">
        <v>6240232</v>
      </c>
      <c r="F63" s="45"/>
      <c r="G63" s="45">
        <v>20691022</v>
      </c>
      <c r="H63" s="45"/>
      <c r="I63" s="45">
        <v>11650613</v>
      </c>
      <c r="J63" s="45"/>
      <c r="K63" s="45">
        <v>12646710</v>
      </c>
      <c r="L63" s="45"/>
      <c r="M63" s="45">
        <f>149355+100450+194673</f>
        <v>444478</v>
      </c>
      <c r="N63" s="45"/>
      <c r="O63" s="45">
        <v>0</v>
      </c>
      <c r="P63" s="45"/>
      <c r="Q63" s="45">
        <v>7599834</v>
      </c>
      <c r="R63" s="45"/>
      <c r="S63" s="45">
        <f t="shared" ref="S63:S65" si="7">+Q63+O63+M63</f>
        <v>8044312</v>
      </c>
      <c r="T63" s="45"/>
      <c r="U63" s="44">
        <f t="shared" si="1"/>
        <v>0</v>
      </c>
      <c r="V63" s="44">
        <f t="shared" si="2"/>
        <v>0</v>
      </c>
    </row>
    <row r="64" spans="1:22" s="44" customFormat="1" ht="12.75" customHeight="1">
      <c r="A64" s="44" t="s">
        <v>83</v>
      </c>
      <c r="B64" s="51"/>
      <c r="C64" s="44" t="s">
        <v>66</v>
      </c>
      <c r="D64" s="35"/>
      <c r="E64" s="45">
        <v>40384697</v>
      </c>
      <c r="F64" s="45"/>
      <c r="G64" s="45">
        <v>83565083</v>
      </c>
      <c r="H64" s="45"/>
      <c r="I64" s="45">
        <v>17258759</v>
      </c>
      <c r="J64" s="45"/>
      <c r="K64" s="45">
        <v>39970779</v>
      </c>
      <c r="L64" s="45"/>
      <c r="M64" s="45">
        <f>1703624+340001+375130</f>
        <v>2418755</v>
      </c>
      <c r="N64" s="45"/>
      <c r="O64" s="45">
        <v>10172634</v>
      </c>
      <c r="P64" s="45"/>
      <c r="Q64" s="45">
        <v>31002915</v>
      </c>
      <c r="R64" s="45"/>
      <c r="S64" s="45">
        <f t="shared" si="7"/>
        <v>43594304</v>
      </c>
      <c r="T64" s="45"/>
      <c r="U64" s="44">
        <f t="shared" si="1"/>
        <v>0</v>
      </c>
      <c r="V64" s="44">
        <f t="shared" si="2"/>
        <v>0</v>
      </c>
    </row>
    <row r="65" spans="1:22" s="44" customFormat="1" ht="12" customHeight="1">
      <c r="A65" s="44" t="s">
        <v>84</v>
      </c>
      <c r="B65" s="51"/>
      <c r="C65" s="44" t="s">
        <v>45</v>
      </c>
      <c r="D65" s="35"/>
      <c r="E65" s="45">
        <v>1074783</v>
      </c>
      <c r="F65" s="45"/>
      <c r="G65" s="45">
        <v>2843027</v>
      </c>
      <c r="H65" s="45"/>
      <c r="I65" s="45">
        <v>1442908</v>
      </c>
      <c r="J65" s="45"/>
      <c r="K65" s="45">
        <v>1592891</v>
      </c>
      <c r="L65" s="45"/>
      <c r="M65" s="45">
        <v>0</v>
      </c>
      <c r="N65" s="45"/>
      <c r="O65" s="45">
        <v>0</v>
      </c>
      <c r="P65" s="45"/>
      <c r="Q65" s="45">
        <v>1250136</v>
      </c>
      <c r="R65" s="45"/>
      <c r="S65" s="45">
        <f t="shared" si="7"/>
        <v>1250136</v>
      </c>
      <c r="T65" s="45"/>
      <c r="U65" s="44">
        <f t="shared" si="1"/>
        <v>0</v>
      </c>
      <c r="V65" s="44">
        <f t="shared" si="2"/>
        <v>0</v>
      </c>
    </row>
    <row r="66" spans="1:22" s="46" customFormat="1" ht="12.75" customHeight="1">
      <c r="A66" s="44" t="s">
        <v>85</v>
      </c>
      <c r="B66" s="44"/>
      <c r="C66" s="44" t="s">
        <v>85</v>
      </c>
      <c r="D66" s="35"/>
      <c r="E66" s="45">
        <f>2672531+196654</f>
        <v>2869185</v>
      </c>
      <c r="F66" s="45"/>
      <c r="G66" s="45">
        <v>5093833</v>
      </c>
      <c r="H66" s="45"/>
      <c r="I66" s="45">
        <v>413801</v>
      </c>
      <c r="J66" s="45"/>
      <c r="K66" s="45">
        <v>1503253</v>
      </c>
      <c r="L66" s="45"/>
      <c r="M66" s="45">
        <f>239798+135000+196654</f>
        <v>571452</v>
      </c>
      <c r="N66" s="45"/>
      <c r="O66" s="45">
        <v>0</v>
      </c>
      <c r="P66" s="45"/>
      <c r="Q66" s="45">
        <v>3019128</v>
      </c>
      <c r="R66" s="45"/>
      <c r="S66" s="45">
        <f t="shared" si="0"/>
        <v>3590580</v>
      </c>
      <c r="T66" s="45"/>
      <c r="U66" s="44">
        <f t="shared" si="1"/>
        <v>0</v>
      </c>
      <c r="V66" s="44">
        <f t="shared" si="2"/>
        <v>0</v>
      </c>
    </row>
    <row r="67" spans="1:22" s="46" customFormat="1" ht="12.75" customHeight="1">
      <c r="A67" s="44" t="s">
        <v>86</v>
      </c>
      <c r="B67" s="51"/>
      <c r="C67" s="44" t="s">
        <v>86</v>
      </c>
      <c r="D67" s="35"/>
      <c r="E67" s="45">
        <v>3372070</v>
      </c>
      <c r="F67" s="45"/>
      <c r="G67" s="45">
        <v>9201459</v>
      </c>
      <c r="H67" s="45"/>
      <c r="I67" s="45">
        <v>3648209</v>
      </c>
      <c r="J67" s="45"/>
      <c r="K67" s="45">
        <v>4725427</v>
      </c>
      <c r="L67" s="45"/>
      <c r="M67" s="45">
        <f>104469+42133</f>
        <v>146602</v>
      </c>
      <c r="N67" s="45"/>
      <c r="O67" s="45">
        <v>0</v>
      </c>
      <c r="P67" s="45"/>
      <c r="Q67" s="45">
        <v>4329430</v>
      </c>
      <c r="R67" s="45"/>
      <c r="S67" s="45">
        <f t="shared" si="0"/>
        <v>4476032</v>
      </c>
      <c r="T67" s="45"/>
      <c r="U67" s="44">
        <f t="shared" si="1"/>
        <v>0</v>
      </c>
      <c r="V67" s="44">
        <f t="shared" si="2"/>
        <v>0</v>
      </c>
    </row>
    <row r="68" spans="1:22" s="46" customFormat="1" ht="12.75" customHeight="1">
      <c r="A68" s="46" t="s">
        <v>87</v>
      </c>
      <c r="C68" s="46" t="s">
        <v>88</v>
      </c>
      <c r="D68" s="35"/>
      <c r="E68" s="45">
        <v>399992</v>
      </c>
      <c r="F68" s="45"/>
      <c r="G68" s="45">
        <v>1651579</v>
      </c>
      <c r="H68" s="45"/>
      <c r="I68" s="45">
        <v>865163</v>
      </c>
      <c r="J68" s="45"/>
      <c r="K68" s="45">
        <v>990320</v>
      </c>
      <c r="L68" s="45"/>
      <c r="M68" s="45">
        <v>578</v>
      </c>
      <c r="N68" s="45"/>
      <c r="O68" s="45">
        <v>0</v>
      </c>
      <c r="P68" s="45"/>
      <c r="Q68" s="45">
        <v>660681</v>
      </c>
      <c r="R68" s="45"/>
      <c r="S68" s="45">
        <f t="shared" si="0"/>
        <v>661259</v>
      </c>
      <c r="T68" s="45"/>
      <c r="U68" s="44">
        <f t="shared" si="1"/>
        <v>0</v>
      </c>
      <c r="V68" s="44">
        <f t="shared" si="2"/>
        <v>0</v>
      </c>
    </row>
    <row r="69" spans="1:22" s="46" customFormat="1" ht="12.75" customHeight="1">
      <c r="D69" s="3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8" t="s">
        <v>484</v>
      </c>
      <c r="T69" s="45"/>
      <c r="U69" s="44"/>
      <c r="V69" s="44"/>
    </row>
    <row r="70" spans="1:22" s="44" customFormat="1" ht="12.75" customHeight="1">
      <c r="A70" s="46" t="s">
        <v>394</v>
      </c>
      <c r="B70" s="46"/>
      <c r="C70" s="46" t="s">
        <v>89</v>
      </c>
      <c r="D70" s="64"/>
      <c r="E70" s="94">
        <v>576543</v>
      </c>
      <c r="F70" s="94"/>
      <c r="G70" s="94">
        <v>3209214</v>
      </c>
      <c r="H70" s="94"/>
      <c r="I70" s="94">
        <v>1518567</v>
      </c>
      <c r="J70" s="94"/>
      <c r="K70" s="94">
        <v>2047969</v>
      </c>
      <c r="L70" s="94"/>
      <c r="M70" s="94">
        <v>0</v>
      </c>
      <c r="N70" s="94"/>
      <c r="O70" s="94">
        <v>0</v>
      </c>
      <c r="P70" s="94"/>
      <c r="Q70" s="94">
        <v>1161245</v>
      </c>
      <c r="R70" s="94"/>
      <c r="S70" s="94">
        <f t="shared" si="0"/>
        <v>1161245</v>
      </c>
      <c r="T70" s="94"/>
      <c r="U70" s="46">
        <f t="shared" si="1"/>
        <v>0</v>
      </c>
      <c r="V70" s="46">
        <f t="shared" si="2"/>
        <v>0</v>
      </c>
    </row>
    <row r="71" spans="1:22" s="44" customFormat="1" ht="12.75" customHeight="1">
      <c r="A71" s="44" t="s">
        <v>90</v>
      </c>
      <c r="B71" s="96"/>
      <c r="C71" s="44" t="s">
        <v>43</v>
      </c>
      <c r="D71" s="35"/>
      <c r="E71" s="45">
        <v>23252044</v>
      </c>
      <c r="F71" s="45"/>
      <c r="G71" s="45">
        <v>45608505</v>
      </c>
      <c r="H71" s="45"/>
      <c r="I71" s="45">
        <v>5684040</v>
      </c>
      <c r="J71" s="45"/>
      <c r="K71" s="45">
        <v>13448704</v>
      </c>
      <c r="L71" s="45"/>
      <c r="M71" s="45">
        <f>1208264+480917+328551+12229149</f>
        <v>14246881</v>
      </c>
      <c r="N71" s="45"/>
      <c r="O71" s="45">
        <v>0</v>
      </c>
      <c r="P71" s="45"/>
      <c r="Q71" s="45">
        <v>17912920</v>
      </c>
      <c r="R71" s="45"/>
      <c r="S71" s="45">
        <f t="shared" si="0"/>
        <v>32159801</v>
      </c>
      <c r="T71" s="45"/>
      <c r="U71" s="44">
        <f t="shared" si="1"/>
        <v>0</v>
      </c>
      <c r="V71" s="44">
        <f t="shared" si="2"/>
        <v>0</v>
      </c>
    </row>
    <row r="72" spans="1:22" s="44" customFormat="1" ht="12.75" customHeight="1">
      <c r="A72" s="44" t="s">
        <v>93</v>
      </c>
      <c r="B72" s="51"/>
      <c r="C72" s="44" t="s">
        <v>94</v>
      </c>
      <c r="D72" s="35"/>
      <c r="E72" s="45">
        <v>237039</v>
      </c>
      <c r="F72" s="45"/>
      <c r="G72" s="45">
        <v>1285831</v>
      </c>
      <c r="H72" s="45"/>
      <c r="I72" s="45">
        <v>539215</v>
      </c>
      <c r="J72" s="45"/>
      <c r="K72" s="45">
        <v>638297</v>
      </c>
      <c r="L72" s="45"/>
      <c r="M72" s="45">
        <v>7674</v>
      </c>
      <c r="N72" s="45"/>
      <c r="O72" s="45">
        <v>0</v>
      </c>
      <c r="P72" s="45"/>
      <c r="Q72" s="45">
        <v>639860</v>
      </c>
      <c r="R72" s="45"/>
      <c r="S72" s="45">
        <f t="shared" si="0"/>
        <v>647534</v>
      </c>
      <c r="T72" s="45"/>
      <c r="U72" s="44">
        <f t="shared" si="1"/>
        <v>0</v>
      </c>
      <c r="V72" s="44">
        <f t="shared" si="2"/>
        <v>0</v>
      </c>
    </row>
    <row r="73" spans="1:22" s="44" customFormat="1" ht="12.75" customHeight="1">
      <c r="A73" s="44" t="s">
        <v>488</v>
      </c>
      <c r="B73" s="51"/>
      <c r="C73" s="44" t="s">
        <v>27</v>
      </c>
      <c r="D73" s="35"/>
      <c r="E73" s="45">
        <v>721359</v>
      </c>
      <c r="F73" s="45"/>
      <c r="G73" s="45">
        <v>8731761</v>
      </c>
      <c r="H73" s="45"/>
      <c r="I73" s="45">
        <v>6228264</v>
      </c>
      <c r="J73" s="45"/>
      <c r="K73" s="45">
        <v>9565467</v>
      </c>
      <c r="L73" s="45"/>
      <c r="M73" s="45">
        <v>117538</v>
      </c>
      <c r="N73" s="45"/>
      <c r="O73" s="45">
        <v>0</v>
      </c>
      <c r="P73" s="45"/>
      <c r="Q73" s="45">
        <v>-951244</v>
      </c>
      <c r="R73" s="45"/>
      <c r="S73" s="45">
        <f>+Q73+O73+M73</f>
        <v>-833706</v>
      </c>
      <c r="T73" s="45"/>
      <c r="U73" s="44">
        <f>+G73-K73-S73</f>
        <v>0</v>
      </c>
      <c r="V73" s="44">
        <f>+G73-K73-S73</f>
        <v>0</v>
      </c>
    </row>
    <row r="74" spans="1:22" s="46" customFormat="1" ht="12.75" customHeight="1">
      <c r="A74" s="46" t="s">
        <v>95</v>
      </c>
      <c r="B74" s="66"/>
      <c r="C74" s="46" t="s">
        <v>94</v>
      </c>
      <c r="D74" s="64"/>
      <c r="E74" s="45">
        <v>140603</v>
      </c>
      <c r="F74" s="45"/>
      <c r="G74" s="45">
        <v>694947</v>
      </c>
      <c r="H74" s="45"/>
      <c r="I74" s="45">
        <v>260049</v>
      </c>
      <c r="J74" s="45"/>
      <c r="K74" s="45">
        <v>1253720</v>
      </c>
      <c r="L74" s="45"/>
      <c r="M74" s="45">
        <f>49384+23857</f>
        <v>73241</v>
      </c>
      <c r="N74" s="45"/>
      <c r="O74" s="45">
        <v>0</v>
      </c>
      <c r="P74" s="45"/>
      <c r="Q74" s="45">
        <v>-632014</v>
      </c>
      <c r="R74" s="45"/>
      <c r="S74" s="45">
        <f t="shared" ref="S74:S80" si="8">+Q74+O74+M74</f>
        <v>-558773</v>
      </c>
      <c r="T74" s="45"/>
      <c r="U74" s="44">
        <f t="shared" ref="U74:U80" si="9">+G74-K74-S74</f>
        <v>0</v>
      </c>
      <c r="V74" s="44">
        <f t="shared" ref="V74:V80" si="10">+G74-K74-S74</f>
        <v>0</v>
      </c>
    </row>
    <row r="75" spans="1:22" s="44" customFormat="1" ht="12.75" customHeight="1">
      <c r="A75" s="44" t="s">
        <v>91</v>
      </c>
      <c r="B75" s="51"/>
      <c r="C75" s="44" t="s">
        <v>92</v>
      </c>
      <c r="D75" s="35"/>
      <c r="E75" s="45">
        <v>3011170</v>
      </c>
      <c r="F75" s="45"/>
      <c r="G75" s="45">
        <v>12666403</v>
      </c>
      <c r="H75" s="45"/>
      <c r="I75" s="45">
        <v>7907195</v>
      </c>
      <c r="J75" s="45"/>
      <c r="K75" s="45">
        <v>8597260</v>
      </c>
      <c r="L75" s="45"/>
      <c r="M75" s="45">
        <v>400346</v>
      </c>
      <c r="N75" s="45"/>
      <c r="O75" s="45">
        <v>0</v>
      </c>
      <c r="P75" s="45"/>
      <c r="Q75" s="45">
        <v>3668797</v>
      </c>
      <c r="R75" s="45"/>
      <c r="S75" s="45">
        <f t="shared" si="8"/>
        <v>4069143</v>
      </c>
      <c r="T75" s="45"/>
      <c r="U75" s="44">
        <f t="shared" si="9"/>
        <v>0</v>
      </c>
      <c r="V75" s="44">
        <f t="shared" si="10"/>
        <v>0</v>
      </c>
    </row>
    <row r="76" spans="1:22" s="44" customFormat="1" ht="12.75" customHeight="1">
      <c r="A76" s="44" t="s">
        <v>96</v>
      </c>
      <c r="B76" s="51"/>
      <c r="C76" s="44" t="s">
        <v>97</v>
      </c>
      <c r="D76" s="35"/>
      <c r="E76" s="45">
        <v>2702802</v>
      </c>
      <c r="F76" s="45"/>
      <c r="G76" s="45">
        <v>3766391</v>
      </c>
      <c r="H76" s="45"/>
      <c r="I76" s="45">
        <v>843537</v>
      </c>
      <c r="J76" s="45"/>
      <c r="K76" s="45">
        <v>1100114</v>
      </c>
      <c r="L76" s="45"/>
      <c r="M76" s="45">
        <f>22564+3000</f>
        <v>25564</v>
      </c>
      <c r="N76" s="45"/>
      <c r="O76" s="45">
        <v>0</v>
      </c>
      <c r="P76" s="45"/>
      <c r="Q76" s="45">
        <v>2640713</v>
      </c>
      <c r="R76" s="45"/>
      <c r="S76" s="45">
        <f t="shared" si="8"/>
        <v>2666277</v>
      </c>
      <c r="T76" s="45"/>
      <c r="U76" s="44">
        <f t="shared" si="9"/>
        <v>0</v>
      </c>
      <c r="V76" s="44">
        <f t="shared" si="10"/>
        <v>0</v>
      </c>
    </row>
    <row r="77" spans="1:22" s="44" customFormat="1" ht="12.75" customHeight="1">
      <c r="A77" s="44" t="s">
        <v>98</v>
      </c>
      <c r="B77" s="51"/>
      <c r="C77" s="44" t="s">
        <v>17</v>
      </c>
      <c r="D77" s="35"/>
      <c r="E77" s="45">
        <f>1763511+150000</f>
        <v>1913511</v>
      </c>
      <c r="F77" s="45"/>
      <c r="G77" s="45">
        <v>10347443</v>
      </c>
      <c r="H77" s="45"/>
      <c r="I77" s="45">
        <v>4711604</v>
      </c>
      <c r="J77" s="45"/>
      <c r="K77" s="45">
        <v>8306012</v>
      </c>
      <c r="L77" s="45"/>
      <c r="M77" s="45">
        <v>979830</v>
      </c>
      <c r="N77" s="45"/>
      <c r="O77" s="45">
        <v>0</v>
      </c>
      <c r="P77" s="45"/>
      <c r="Q77" s="45">
        <v>1061601</v>
      </c>
      <c r="R77" s="45"/>
      <c r="S77" s="45">
        <f t="shared" si="8"/>
        <v>2041431</v>
      </c>
      <c r="T77" s="45"/>
      <c r="U77" s="44">
        <f t="shared" si="9"/>
        <v>0</v>
      </c>
      <c r="V77" s="44">
        <f t="shared" si="10"/>
        <v>0</v>
      </c>
    </row>
    <row r="78" spans="1:22" s="44" customFormat="1" ht="12.75" customHeight="1">
      <c r="A78" s="44" t="s">
        <v>99</v>
      </c>
      <c r="B78" s="51"/>
      <c r="C78" s="44" t="s">
        <v>66</v>
      </c>
      <c r="D78" s="35"/>
      <c r="E78" s="45">
        <v>3446929</v>
      </c>
      <c r="F78" s="45"/>
      <c r="G78" s="45">
        <v>5797106</v>
      </c>
      <c r="H78" s="45"/>
      <c r="I78" s="45">
        <v>1193865</v>
      </c>
      <c r="J78" s="45"/>
      <c r="K78" s="45">
        <v>1926607</v>
      </c>
      <c r="L78" s="45"/>
      <c r="M78" s="45">
        <f>9852+2268</f>
        <v>12120</v>
      </c>
      <c r="N78" s="45"/>
      <c r="O78" s="45">
        <v>0</v>
      </c>
      <c r="P78" s="45"/>
      <c r="Q78" s="45">
        <v>3858379</v>
      </c>
      <c r="R78" s="45"/>
      <c r="S78" s="45">
        <f t="shared" si="8"/>
        <v>3870499</v>
      </c>
      <c r="T78" s="45"/>
      <c r="U78" s="44">
        <f t="shared" si="9"/>
        <v>0</v>
      </c>
      <c r="V78" s="44">
        <f t="shared" si="10"/>
        <v>0</v>
      </c>
    </row>
    <row r="79" spans="1:22" s="44" customFormat="1" ht="12.75" customHeight="1">
      <c r="A79" s="44" t="s">
        <v>100</v>
      </c>
      <c r="B79" s="51"/>
      <c r="C79" s="44" t="s">
        <v>27</v>
      </c>
      <c r="D79" s="35"/>
      <c r="E79" s="45">
        <f>3632373+6098+50132</f>
        <v>3688603</v>
      </c>
      <c r="F79" s="45"/>
      <c r="G79" s="45">
        <v>19411848</v>
      </c>
      <c r="H79" s="45"/>
      <c r="I79" s="45">
        <v>7879867</v>
      </c>
      <c r="J79" s="45"/>
      <c r="K79" s="45">
        <v>11665719</v>
      </c>
      <c r="L79" s="45"/>
      <c r="M79" s="45">
        <f>89725+35218</f>
        <v>124943</v>
      </c>
      <c r="N79" s="45"/>
      <c r="O79" s="45">
        <v>0</v>
      </c>
      <c r="P79" s="45"/>
      <c r="Q79" s="45">
        <v>7621186</v>
      </c>
      <c r="R79" s="45"/>
      <c r="S79" s="45">
        <f t="shared" si="8"/>
        <v>7746129</v>
      </c>
      <c r="T79" s="45"/>
      <c r="U79" s="44">
        <f t="shared" si="9"/>
        <v>0</v>
      </c>
      <c r="V79" s="44">
        <f t="shared" si="10"/>
        <v>0</v>
      </c>
    </row>
    <row r="80" spans="1:22" s="44" customFormat="1" ht="12.75" customHeight="1">
      <c r="A80" s="44" t="s">
        <v>101</v>
      </c>
      <c r="B80" s="51"/>
      <c r="C80" s="44" t="s">
        <v>30</v>
      </c>
      <c r="D80" s="35"/>
      <c r="E80" s="45">
        <v>4539655</v>
      </c>
      <c r="F80" s="45"/>
      <c r="G80" s="45">
        <v>10298610</v>
      </c>
      <c r="H80" s="45"/>
      <c r="I80" s="45">
        <v>4634847</v>
      </c>
      <c r="J80" s="45"/>
      <c r="K80" s="45">
        <v>5599256</v>
      </c>
      <c r="L80" s="45"/>
      <c r="M80" s="45">
        <v>202949</v>
      </c>
      <c r="N80" s="45"/>
      <c r="O80" s="45">
        <v>0</v>
      </c>
      <c r="P80" s="45"/>
      <c r="Q80" s="45">
        <v>4496405</v>
      </c>
      <c r="R80" s="45"/>
      <c r="S80" s="45">
        <f t="shared" si="8"/>
        <v>4699354</v>
      </c>
      <c r="T80" s="45"/>
      <c r="U80" s="44">
        <f t="shared" si="9"/>
        <v>0</v>
      </c>
      <c r="V80" s="44">
        <f t="shared" si="10"/>
        <v>0</v>
      </c>
    </row>
    <row r="81" spans="1:22" s="44" customFormat="1" ht="12.75" customHeight="1">
      <c r="A81" s="44" t="s">
        <v>102</v>
      </c>
      <c r="B81" s="51"/>
      <c r="C81" s="44" t="s">
        <v>103</v>
      </c>
      <c r="D81" s="35"/>
      <c r="E81" s="45">
        <v>12395669</v>
      </c>
      <c r="F81" s="45"/>
      <c r="G81" s="45">
        <v>19054964</v>
      </c>
      <c r="H81" s="45"/>
      <c r="I81" s="45">
        <v>4537896</v>
      </c>
      <c r="J81" s="45"/>
      <c r="K81" s="45">
        <v>5929975</v>
      </c>
      <c r="L81" s="45"/>
      <c r="M81" s="45">
        <v>432065</v>
      </c>
      <c r="N81" s="45"/>
      <c r="O81" s="45">
        <v>0</v>
      </c>
      <c r="P81" s="45"/>
      <c r="Q81" s="45">
        <v>12692924</v>
      </c>
      <c r="R81" s="45"/>
      <c r="S81" s="45">
        <f t="shared" ref="S81:S146" si="11">+Q81+O81+M81</f>
        <v>13124989</v>
      </c>
      <c r="T81" s="45"/>
      <c r="U81" s="44">
        <f t="shared" ref="U81:U146" si="12">+G81-K81-S81</f>
        <v>0</v>
      </c>
      <c r="V81" s="44">
        <f t="shared" ref="V81:V146" si="13">+G81-K81-S81</f>
        <v>0</v>
      </c>
    </row>
    <row r="82" spans="1:22" s="44" customFormat="1" ht="12.75" customHeight="1">
      <c r="A82" s="44" t="s">
        <v>104</v>
      </c>
      <c r="B82" s="51"/>
      <c r="C82" s="44" t="s">
        <v>13</v>
      </c>
      <c r="D82" s="35"/>
      <c r="E82" s="45">
        <f>6992425+47071</f>
        <v>7039496</v>
      </c>
      <c r="F82" s="45"/>
      <c r="G82" s="45">
        <v>10540904</v>
      </c>
      <c r="H82" s="45"/>
      <c r="I82" s="45">
        <v>1497152</v>
      </c>
      <c r="J82" s="45"/>
      <c r="K82" s="45">
        <v>4020572</v>
      </c>
      <c r="L82" s="45"/>
      <c r="M82" s="45">
        <f>499025+98695+278411+28790</f>
        <v>904921</v>
      </c>
      <c r="N82" s="45"/>
      <c r="O82" s="45">
        <v>0</v>
      </c>
      <c r="P82" s="45"/>
      <c r="Q82" s="45">
        <v>5615411</v>
      </c>
      <c r="R82" s="45"/>
      <c r="S82" s="45">
        <f t="shared" si="11"/>
        <v>6520332</v>
      </c>
      <c r="T82" s="45"/>
      <c r="U82" s="44">
        <f t="shared" si="12"/>
        <v>0</v>
      </c>
      <c r="V82" s="44">
        <f t="shared" si="13"/>
        <v>0</v>
      </c>
    </row>
    <row r="83" spans="1:22" s="44" customFormat="1" ht="12.75" customHeight="1">
      <c r="A83" s="44" t="s">
        <v>105</v>
      </c>
      <c r="B83" s="51"/>
      <c r="C83" s="44" t="s">
        <v>27</v>
      </c>
      <c r="D83" s="35"/>
      <c r="E83" s="45">
        <v>1310149</v>
      </c>
      <c r="F83" s="45"/>
      <c r="G83" s="45">
        <v>7121561</v>
      </c>
      <c r="H83" s="45"/>
      <c r="I83" s="45">
        <v>4120859</v>
      </c>
      <c r="J83" s="45"/>
      <c r="K83" s="45">
        <v>4662758</v>
      </c>
      <c r="L83" s="45"/>
      <c r="M83" s="45">
        <f>9476+250000</f>
        <v>259476</v>
      </c>
      <c r="N83" s="45"/>
      <c r="O83" s="45">
        <v>0</v>
      </c>
      <c r="P83" s="45"/>
      <c r="Q83" s="45">
        <v>2199327</v>
      </c>
      <c r="R83" s="45"/>
      <c r="S83" s="45">
        <f t="shared" si="11"/>
        <v>2458803</v>
      </c>
      <c r="T83" s="45"/>
      <c r="U83" s="44">
        <f t="shared" si="12"/>
        <v>0</v>
      </c>
      <c r="V83" s="44">
        <f t="shared" si="13"/>
        <v>0</v>
      </c>
    </row>
    <row r="84" spans="1:22" s="44" customFormat="1" ht="12.75" customHeight="1">
      <c r="A84" s="44" t="s">
        <v>106</v>
      </c>
      <c r="B84" s="51"/>
      <c r="C84" s="44" t="s">
        <v>107</v>
      </c>
      <c r="D84" s="35"/>
      <c r="E84" s="45">
        <f>7198690+20361+2001</f>
        <v>7221052</v>
      </c>
      <c r="F84" s="45"/>
      <c r="G84" s="45">
        <v>11555529</v>
      </c>
      <c r="H84" s="45"/>
      <c r="I84" s="45">
        <v>974269</v>
      </c>
      <c r="J84" s="45"/>
      <c r="K84" s="45">
        <v>5691835</v>
      </c>
      <c r="L84" s="45"/>
      <c r="M84" s="45">
        <f>651644+68886</f>
        <v>720530</v>
      </c>
      <c r="N84" s="45"/>
      <c r="O84" s="45">
        <v>1000000</v>
      </c>
      <c r="P84" s="45"/>
      <c r="Q84" s="45">
        <v>4143164</v>
      </c>
      <c r="R84" s="45"/>
      <c r="S84" s="45">
        <f t="shared" si="11"/>
        <v>5863694</v>
      </c>
      <c r="T84" s="45"/>
      <c r="U84" s="44">
        <f t="shared" si="12"/>
        <v>0</v>
      </c>
      <c r="V84" s="44">
        <f t="shared" si="13"/>
        <v>0</v>
      </c>
    </row>
    <row r="85" spans="1:22" s="44" customFormat="1" ht="12.75" customHeight="1">
      <c r="A85" s="44" t="s">
        <v>108</v>
      </c>
      <c r="B85" s="65"/>
      <c r="C85" s="44" t="s">
        <v>45</v>
      </c>
      <c r="D85" s="35"/>
      <c r="E85" s="45">
        <v>2457189</v>
      </c>
      <c r="F85" s="45"/>
      <c r="G85" s="45">
        <v>6454129</v>
      </c>
      <c r="H85" s="45"/>
      <c r="I85" s="45">
        <v>2200298</v>
      </c>
      <c r="J85" s="45"/>
      <c r="K85" s="45">
        <v>2821569</v>
      </c>
      <c r="L85" s="45"/>
      <c r="M85" s="45">
        <v>1107907</v>
      </c>
      <c r="N85" s="45"/>
      <c r="O85" s="45">
        <v>0</v>
      </c>
      <c r="P85" s="45"/>
      <c r="Q85" s="45">
        <v>2524653</v>
      </c>
      <c r="R85" s="45"/>
      <c r="S85" s="45">
        <f>+Q85+O85+M85</f>
        <v>3632560</v>
      </c>
      <c r="T85" s="45"/>
      <c r="U85" s="44">
        <f>+G85-K85-S85</f>
        <v>0</v>
      </c>
      <c r="V85" s="44">
        <f>+G85-K85-S85</f>
        <v>0</v>
      </c>
    </row>
    <row r="86" spans="1:22" s="44" customFormat="1" ht="12.75" customHeight="1">
      <c r="A86" s="44" t="s">
        <v>109</v>
      </c>
      <c r="C86" s="44" t="s">
        <v>110</v>
      </c>
      <c r="D86" s="35"/>
      <c r="E86" s="45">
        <f>1048003+40441</f>
        <v>1088444</v>
      </c>
      <c r="F86" s="45"/>
      <c r="G86" s="45">
        <v>3720671</v>
      </c>
      <c r="H86" s="45"/>
      <c r="I86" s="45">
        <v>1071140</v>
      </c>
      <c r="J86" s="45"/>
      <c r="K86" s="45">
        <v>2400851</v>
      </c>
      <c r="L86" s="45"/>
      <c r="M86" s="45">
        <v>1181</v>
      </c>
      <c r="N86" s="45"/>
      <c r="O86" s="45">
        <v>0</v>
      </c>
      <c r="P86" s="45"/>
      <c r="Q86" s="45">
        <v>1318639</v>
      </c>
      <c r="R86" s="45"/>
      <c r="S86" s="45">
        <f t="shared" si="11"/>
        <v>1319820</v>
      </c>
      <c r="T86" s="45"/>
      <c r="U86" s="44">
        <f t="shared" si="12"/>
        <v>0</v>
      </c>
      <c r="V86" s="44">
        <f t="shared" si="13"/>
        <v>0</v>
      </c>
    </row>
    <row r="87" spans="1:22" s="44" customFormat="1" ht="12.75" customHeight="1">
      <c r="A87" s="46" t="s">
        <v>43</v>
      </c>
      <c r="B87" s="46"/>
      <c r="C87" s="46" t="s">
        <v>111</v>
      </c>
      <c r="D87" s="64"/>
      <c r="E87" s="45">
        <v>4659198</v>
      </c>
      <c r="F87" s="45"/>
      <c r="G87" s="45">
        <v>7271451</v>
      </c>
      <c r="H87" s="45"/>
      <c r="I87" s="45">
        <v>1933646</v>
      </c>
      <c r="J87" s="45"/>
      <c r="K87" s="45">
        <v>5308177</v>
      </c>
      <c r="L87" s="45"/>
      <c r="M87" s="45">
        <v>54806</v>
      </c>
      <c r="N87" s="45"/>
      <c r="O87" s="45">
        <v>0</v>
      </c>
      <c r="P87" s="45"/>
      <c r="Q87" s="45">
        <v>1908468</v>
      </c>
      <c r="R87" s="45"/>
      <c r="S87" s="45">
        <f t="shared" si="11"/>
        <v>1963274</v>
      </c>
      <c r="T87" s="45"/>
      <c r="U87" s="44">
        <f t="shared" si="12"/>
        <v>0</v>
      </c>
      <c r="V87" s="44">
        <f t="shared" si="13"/>
        <v>0</v>
      </c>
    </row>
    <row r="88" spans="1:22" s="44" customFormat="1" ht="12.75" customHeight="1">
      <c r="A88" s="44" t="s">
        <v>112</v>
      </c>
      <c r="B88" s="51"/>
      <c r="C88" s="44" t="s">
        <v>76</v>
      </c>
      <c r="D88" s="35"/>
      <c r="E88" s="45">
        <v>2700812</v>
      </c>
      <c r="F88" s="45"/>
      <c r="G88" s="45">
        <v>3979681</v>
      </c>
      <c r="H88" s="45"/>
      <c r="I88" s="45">
        <v>389415</v>
      </c>
      <c r="J88" s="45"/>
      <c r="K88" s="45">
        <v>1689665</v>
      </c>
      <c r="L88" s="45"/>
      <c r="M88" s="45">
        <f>18132+8925</f>
        <v>27057</v>
      </c>
      <c r="N88" s="45"/>
      <c r="O88" s="45">
        <v>271444</v>
      </c>
      <c r="P88" s="45"/>
      <c r="Q88" s="45">
        <v>1991515</v>
      </c>
      <c r="R88" s="45"/>
      <c r="S88" s="45">
        <f t="shared" si="11"/>
        <v>2290016</v>
      </c>
      <c r="T88" s="45"/>
      <c r="U88" s="44">
        <f t="shared" si="12"/>
        <v>0</v>
      </c>
      <c r="V88" s="44">
        <f t="shared" si="13"/>
        <v>0</v>
      </c>
    </row>
    <row r="89" spans="1:22" s="44" customFormat="1" ht="12.75" customHeight="1">
      <c r="A89" s="44" t="s">
        <v>113</v>
      </c>
      <c r="C89" s="44" t="s">
        <v>43</v>
      </c>
      <c r="D89" s="35"/>
      <c r="E89" s="45">
        <v>24485691</v>
      </c>
      <c r="F89" s="45"/>
      <c r="G89" s="45">
        <v>33722044</v>
      </c>
      <c r="H89" s="45"/>
      <c r="I89" s="45">
        <v>5484997</v>
      </c>
      <c r="J89" s="45"/>
      <c r="K89" s="45">
        <v>9327060</v>
      </c>
      <c r="L89" s="45"/>
      <c r="M89" s="45">
        <v>10429996</v>
      </c>
      <c r="N89" s="45"/>
      <c r="O89" s="45">
        <v>1700031</v>
      </c>
      <c r="P89" s="45"/>
      <c r="Q89" s="45">
        <v>12264957</v>
      </c>
      <c r="R89" s="45"/>
      <c r="S89" s="45">
        <f t="shared" si="11"/>
        <v>24394984</v>
      </c>
      <c r="T89" s="45"/>
      <c r="U89" s="44">
        <f t="shared" si="12"/>
        <v>0</v>
      </c>
      <c r="V89" s="44">
        <f t="shared" si="13"/>
        <v>0</v>
      </c>
    </row>
    <row r="90" spans="1:22" s="44" customFormat="1" ht="12.75" customHeight="1">
      <c r="A90" s="46" t="s">
        <v>490</v>
      </c>
      <c r="B90" s="46"/>
      <c r="C90" s="46" t="s">
        <v>57</v>
      </c>
      <c r="D90" s="64"/>
      <c r="E90" s="45">
        <v>2491334</v>
      </c>
      <c r="F90" s="45"/>
      <c r="G90" s="45">
        <v>5156403</v>
      </c>
      <c r="H90" s="45"/>
      <c r="I90" s="45">
        <v>1097792</v>
      </c>
      <c r="J90" s="45"/>
      <c r="K90" s="45">
        <v>1797502</v>
      </c>
      <c r="L90" s="45"/>
      <c r="M90" s="45">
        <f>6521+81744+9424</f>
        <v>97689</v>
      </c>
      <c r="N90" s="45"/>
      <c r="O90" s="45">
        <v>0</v>
      </c>
      <c r="P90" s="45"/>
      <c r="Q90" s="45">
        <v>3261212</v>
      </c>
      <c r="R90" s="45"/>
      <c r="S90" s="45">
        <f>+Q90+O90+M90</f>
        <v>3358901</v>
      </c>
      <c r="T90" s="45"/>
      <c r="U90" s="44">
        <f>+G90-K90-S90</f>
        <v>0</v>
      </c>
      <c r="V90" s="44">
        <f>+G90-K90-S90</f>
        <v>0</v>
      </c>
    </row>
    <row r="91" spans="1:22" s="44" customFormat="1" ht="12.75" customHeight="1">
      <c r="A91" s="44" t="s">
        <v>114</v>
      </c>
      <c r="B91" s="51"/>
      <c r="C91" s="44" t="s">
        <v>27</v>
      </c>
      <c r="D91" s="35"/>
      <c r="E91" s="45">
        <v>0</v>
      </c>
      <c r="F91" s="45"/>
      <c r="G91" s="45">
        <v>12713510</v>
      </c>
      <c r="H91" s="45"/>
      <c r="I91" s="45">
        <v>11289660</v>
      </c>
      <c r="J91" s="45"/>
      <c r="K91" s="45">
        <v>14191374</v>
      </c>
      <c r="L91" s="45"/>
      <c r="M91" s="45">
        <v>72964</v>
      </c>
      <c r="N91" s="45"/>
      <c r="O91" s="45">
        <v>0</v>
      </c>
      <c r="P91" s="45"/>
      <c r="Q91" s="45">
        <v>-1550828</v>
      </c>
      <c r="R91" s="45"/>
      <c r="S91" s="45">
        <f>+Q91+O91+M91</f>
        <v>-1477864</v>
      </c>
      <c r="T91" s="45"/>
      <c r="U91" s="44">
        <f>+G91-K91-S91</f>
        <v>0</v>
      </c>
      <c r="V91" s="44">
        <f>+G91-K91-S91</f>
        <v>0</v>
      </c>
    </row>
    <row r="92" spans="1:22" s="44" customFormat="1" ht="12.75" customHeight="1">
      <c r="A92" s="44" t="s">
        <v>115</v>
      </c>
      <c r="C92" s="44" t="s">
        <v>19</v>
      </c>
      <c r="D92" s="35"/>
      <c r="E92" s="45">
        <v>760425</v>
      </c>
      <c r="F92" s="45"/>
      <c r="G92" s="45">
        <v>2486890</v>
      </c>
      <c r="H92" s="45"/>
      <c r="I92" s="45">
        <v>1130594</v>
      </c>
      <c r="J92" s="45"/>
      <c r="K92" s="45">
        <v>1388877</v>
      </c>
      <c r="L92" s="45"/>
      <c r="M92" s="45">
        <v>10245</v>
      </c>
      <c r="N92" s="45"/>
      <c r="O92" s="45">
        <v>0</v>
      </c>
      <c r="P92" s="45"/>
      <c r="Q92" s="45">
        <v>1087768</v>
      </c>
      <c r="R92" s="45"/>
      <c r="S92" s="45">
        <f t="shared" si="11"/>
        <v>1098013</v>
      </c>
      <c r="T92" s="45"/>
      <c r="U92" s="44">
        <f t="shared" si="12"/>
        <v>0</v>
      </c>
      <c r="V92" s="44">
        <f t="shared" si="13"/>
        <v>0</v>
      </c>
    </row>
    <row r="93" spans="1:22" s="44" customFormat="1" ht="12.75" customHeight="1">
      <c r="A93" s="46" t="s">
        <v>116</v>
      </c>
      <c r="B93" s="46"/>
      <c r="C93" s="46" t="s">
        <v>80</v>
      </c>
      <c r="D93" s="64"/>
      <c r="E93" s="45">
        <v>0</v>
      </c>
      <c r="F93" s="45"/>
      <c r="G93" s="45">
        <v>2186348</v>
      </c>
      <c r="H93" s="45"/>
      <c r="I93" s="45">
        <v>1502587</v>
      </c>
      <c r="J93" s="45"/>
      <c r="K93" s="45">
        <v>1819131</v>
      </c>
      <c r="L93" s="45"/>
      <c r="M93" s="45">
        <f>50613+26970</f>
        <v>77583</v>
      </c>
      <c r="N93" s="45"/>
      <c r="O93" s="45">
        <v>0</v>
      </c>
      <c r="P93" s="45"/>
      <c r="Q93" s="45">
        <v>289634</v>
      </c>
      <c r="R93" s="45"/>
      <c r="S93" s="45">
        <f t="shared" si="11"/>
        <v>367217</v>
      </c>
      <c r="T93" s="45"/>
      <c r="U93" s="44">
        <f t="shared" si="12"/>
        <v>0</v>
      </c>
      <c r="V93" s="44">
        <f t="shared" si="13"/>
        <v>0</v>
      </c>
    </row>
    <row r="94" spans="1:22" s="44" customFormat="1" ht="12.75" customHeight="1">
      <c r="A94" s="44" t="s">
        <v>117</v>
      </c>
      <c r="C94" s="44" t="s">
        <v>43</v>
      </c>
      <c r="D94" s="35"/>
      <c r="E94" s="45">
        <v>3749279</v>
      </c>
      <c r="F94" s="45"/>
      <c r="G94" s="45">
        <v>7148598</v>
      </c>
      <c r="H94" s="45"/>
      <c r="I94" s="45">
        <v>802426</v>
      </c>
      <c r="J94" s="45"/>
      <c r="K94" s="45">
        <v>2777359</v>
      </c>
      <c r="L94" s="45"/>
      <c r="M94" s="45">
        <f>131179+39965</f>
        <v>171144</v>
      </c>
      <c r="N94" s="45"/>
      <c r="O94" s="45">
        <v>0</v>
      </c>
      <c r="P94" s="45"/>
      <c r="Q94" s="45">
        <v>4200095</v>
      </c>
      <c r="R94" s="45"/>
      <c r="S94" s="45">
        <f t="shared" si="11"/>
        <v>4371239</v>
      </c>
      <c r="T94" s="45"/>
      <c r="U94" s="44">
        <f t="shared" si="12"/>
        <v>0</v>
      </c>
      <c r="V94" s="44">
        <f t="shared" si="13"/>
        <v>0</v>
      </c>
    </row>
    <row r="95" spans="1:22" s="44" customFormat="1" ht="12.75" customHeight="1">
      <c r="A95" s="44" t="s">
        <v>118</v>
      </c>
      <c r="B95" s="51"/>
      <c r="C95" s="44" t="s">
        <v>13</v>
      </c>
      <c r="D95" s="35"/>
      <c r="E95" s="45">
        <v>15491317</v>
      </c>
      <c r="F95" s="45"/>
      <c r="G95" s="45">
        <v>28171572</v>
      </c>
      <c r="H95" s="45"/>
      <c r="I95" s="45">
        <v>3369578</v>
      </c>
      <c r="J95" s="45"/>
      <c r="K95" s="45">
        <v>4647827</v>
      </c>
      <c r="L95" s="45"/>
      <c r="M95" s="45">
        <v>7396031</v>
      </c>
      <c r="N95" s="45"/>
      <c r="O95" s="45">
        <v>0</v>
      </c>
      <c r="P95" s="45"/>
      <c r="Q95" s="45">
        <v>16127714</v>
      </c>
      <c r="R95" s="45"/>
      <c r="S95" s="45">
        <f t="shared" si="11"/>
        <v>23523745</v>
      </c>
      <c r="T95" s="45"/>
      <c r="U95" s="44">
        <f t="shared" si="12"/>
        <v>0</v>
      </c>
      <c r="V95" s="44">
        <f t="shared" si="13"/>
        <v>0</v>
      </c>
    </row>
    <row r="96" spans="1:22" s="44" customFormat="1" ht="12.75" customHeight="1">
      <c r="A96" s="44" t="s">
        <v>120</v>
      </c>
      <c r="B96" s="51"/>
      <c r="C96" s="44" t="s">
        <v>121</v>
      </c>
      <c r="D96" s="35"/>
      <c r="E96" s="45">
        <v>2298880</v>
      </c>
      <c r="F96" s="45"/>
      <c r="G96" s="45">
        <v>5831591</v>
      </c>
      <c r="H96" s="45"/>
      <c r="I96" s="45">
        <v>850927</v>
      </c>
      <c r="J96" s="45"/>
      <c r="K96" s="45">
        <v>2528057</v>
      </c>
      <c r="L96" s="45"/>
      <c r="M96" s="45">
        <f>147097+110885+9674</f>
        <v>267656</v>
      </c>
      <c r="N96" s="45"/>
      <c r="O96" s="45">
        <v>0</v>
      </c>
      <c r="P96" s="45"/>
      <c r="Q96" s="45">
        <v>3035878</v>
      </c>
      <c r="R96" s="45"/>
      <c r="S96" s="45">
        <f t="shared" si="11"/>
        <v>3303534</v>
      </c>
      <c r="T96" s="45"/>
      <c r="U96" s="44">
        <f t="shared" si="12"/>
        <v>0</v>
      </c>
      <c r="V96" s="44">
        <f t="shared" si="13"/>
        <v>0</v>
      </c>
    </row>
    <row r="97" spans="1:22" s="44" customFormat="1" ht="12.75" customHeight="1">
      <c r="A97" s="44" t="s">
        <v>122</v>
      </c>
      <c r="B97" s="51"/>
      <c r="C97" s="44" t="s">
        <v>43</v>
      </c>
      <c r="D97" s="35"/>
      <c r="E97" s="45">
        <v>25016479</v>
      </c>
      <c r="F97" s="45"/>
      <c r="G97" s="45">
        <v>31190698</v>
      </c>
      <c r="H97" s="45"/>
      <c r="I97" s="45">
        <v>4101205</v>
      </c>
      <c r="J97" s="45"/>
      <c r="K97" s="45">
        <v>5022185</v>
      </c>
      <c r="L97" s="45"/>
      <c r="M97" s="45">
        <v>886578</v>
      </c>
      <c r="N97" s="45"/>
      <c r="O97" s="45">
        <v>0</v>
      </c>
      <c r="P97" s="45"/>
      <c r="Q97" s="45">
        <v>25281935</v>
      </c>
      <c r="R97" s="45"/>
      <c r="S97" s="45">
        <f t="shared" si="11"/>
        <v>26168513</v>
      </c>
      <c r="T97" s="45"/>
      <c r="U97" s="44">
        <f t="shared" si="12"/>
        <v>0</v>
      </c>
      <c r="V97" s="44">
        <f t="shared" si="13"/>
        <v>0</v>
      </c>
    </row>
    <row r="98" spans="1:22" s="44" customFormat="1" ht="12.75" customHeight="1">
      <c r="A98" s="44" t="s">
        <v>45</v>
      </c>
      <c r="B98" s="51"/>
      <c r="C98" s="44" t="s">
        <v>103</v>
      </c>
      <c r="D98" s="35"/>
      <c r="E98" s="45">
        <v>2909393</v>
      </c>
      <c r="F98" s="45"/>
      <c r="G98" s="45">
        <v>12395558</v>
      </c>
      <c r="H98" s="45"/>
      <c r="I98" s="45">
        <v>6154462</v>
      </c>
      <c r="J98" s="45"/>
      <c r="K98" s="45">
        <v>9643084</v>
      </c>
      <c r="L98" s="45"/>
      <c r="M98" s="45">
        <f>177389+179069+2344</f>
        <v>358802</v>
      </c>
      <c r="N98" s="45"/>
      <c r="O98" s="45">
        <v>0</v>
      </c>
      <c r="P98" s="45"/>
      <c r="Q98" s="45">
        <v>2393672</v>
      </c>
      <c r="R98" s="45"/>
      <c r="S98" s="45">
        <f t="shared" si="11"/>
        <v>2752474</v>
      </c>
      <c r="T98" s="45"/>
      <c r="U98" s="44">
        <f t="shared" si="12"/>
        <v>0</v>
      </c>
      <c r="V98" s="44">
        <f t="shared" si="13"/>
        <v>0</v>
      </c>
    </row>
    <row r="99" spans="1:22" s="44" customFormat="1" ht="12.75" customHeight="1">
      <c r="A99" s="44" t="s">
        <v>123</v>
      </c>
      <c r="B99" s="51"/>
      <c r="C99" s="44" t="s">
        <v>45</v>
      </c>
      <c r="D99" s="35"/>
      <c r="E99" s="45">
        <v>1321236</v>
      </c>
      <c r="F99" s="45"/>
      <c r="G99" s="45">
        <v>3840548</v>
      </c>
      <c r="H99" s="45"/>
      <c r="I99" s="45">
        <v>490449</v>
      </c>
      <c r="J99" s="45"/>
      <c r="K99" s="45">
        <v>1808537</v>
      </c>
      <c r="L99" s="45"/>
      <c r="M99" s="45">
        <f>22886+4318+9559+57347</f>
        <v>94110</v>
      </c>
      <c r="N99" s="45"/>
      <c r="O99" s="45">
        <v>0</v>
      </c>
      <c r="P99" s="45"/>
      <c r="Q99" s="45">
        <v>1937901</v>
      </c>
      <c r="R99" s="45"/>
      <c r="S99" s="45">
        <f t="shared" si="11"/>
        <v>2032011</v>
      </c>
      <c r="T99" s="45"/>
      <c r="U99" s="44">
        <f t="shared" si="12"/>
        <v>0</v>
      </c>
      <c r="V99" s="44">
        <f t="shared" si="13"/>
        <v>0</v>
      </c>
    </row>
    <row r="100" spans="1:22" s="44" customFormat="1" ht="12.75" customHeight="1">
      <c r="A100" s="44" t="s">
        <v>124</v>
      </c>
      <c r="B100" s="51"/>
      <c r="C100" s="44" t="s">
        <v>125</v>
      </c>
      <c r="D100" s="35"/>
      <c r="E100" s="45">
        <f>491595+2183968</f>
        <v>2675563</v>
      </c>
      <c r="F100" s="45"/>
      <c r="G100" s="45">
        <v>4224720</v>
      </c>
      <c r="H100" s="45"/>
      <c r="I100" s="45">
        <v>818093</v>
      </c>
      <c r="J100" s="45"/>
      <c r="K100" s="45">
        <v>1293505</v>
      </c>
      <c r="L100" s="45"/>
      <c r="M100" s="45">
        <f>72049+64201+93186</f>
        <v>229436</v>
      </c>
      <c r="N100" s="45"/>
      <c r="O100" s="45">
        <v>0</v>
      </c>
      <c r="P100" s="45"/>
      <c r="Q100" s="45">
        <v>2701779</v>
      </c>
      <c r="R100" s="45"/>
      <c r="S100" s="45">
        <f t="shared" si="11"/>
        <v>2931215</v>
      </c>
      <c r="T100" s="45"/>
      <c r="U100" s="44">
        <f t="shared" si="12"/>
        <v>0</v>
      </c>
      <c r="V100" s="44">
        <f t="shared" si="13"/>
        <v>0</v>
      </c>
    </row>
    <row r="101" spans="1:22" s="44" customFormat="1" ht="12.75" customHeight="1">
      <c r="A101" s="44" t="s">
        <v>126</v>
      </c>
      <c r="C101" s="44" t="s">
        <v>27</v>
      </c>
      <c r="D101" s="35"/>
      <c r="E101" s="45">
        <v>4527170</v>
      </c>
      <c r="F101" s="45"/>
      <c r="G101" s="45">
        <v>8058282</v>
      </c>
      <c r="H101" s="45"/>
      <c r="I101" s="45">
        <v>1605362</v>
      </c>
      <c r="J101" s="45"/>
      <c r="K101" s="45">
        <v>2162697</v>
      </c>
      <c r="L101" s="45"/>
      <c r="M101" s="45">
        <f>30275+12528+37110</f>
        <v>79913</v>
      </c>
      <c r="N101" s="45"/>
      <c r="O101" s="45">
        <v>0</v>
      </c>
      <c r="P101" s="45"/>
      <c r="Q101" s="45">
        <v>5815672</v>
      </c>
      <c r="R101" s="45"/>
      <c r="S101" s="45">
        <f t="shared" si="11"/>
        <v>5895585</v>
      </c>
      <c r="T101" s="45"/>
      <c r="U101" s="44">
        <f t="shared" si="12"/>
        <v>0</v>
      </c>
      <c r="V101" s="44">
        <f t="shared" si="13"/>
        <v>0</v>
      </c>
    </row>
    <row r="102" spans="1:22" s="44" customFormat="1" ht="12.75" customHeight="1">
      <c r="A102" s="44" t="s">
        <v>127</v>
      </c>
      <c r="B102" s="51"/>
      <c r="C102" s="44" t="s">
        <v>43</v>
      </c>
      <c r="D102" s="35"/>
      <c r="E102" s="45">
        <v>2629716</v>
      </c>
      <c r="F102" s="45"/>
      <c r="G102" s="45">
        <v>7177264</v>
      </c>
      <c r="H102" s="45"/>
      <c r="I102" s="45">
        <v>2609030</v>
      </c>
      <c r="J102" s="45"/>
      <c r="K102" s="45">
        <v>3876858</v>
      </c>
      <c r="L102" s="45"/>
      <c r="M102" s="45">
        <v>116547</v>
      </c>
      <c r="N102" s="45"/>
      <c r="O102" s="45">
        <v>0</v>
      </c>
      <c r="P102" s="45"/>
      <c r="Q102" s="45">
        <v>3183859</v>
      </c>
      <c r="R102" s="45"/>
      <c r="S102" s="45">
        <f t="shared" si="11"/>
        <v>3300406</v>
      </c>
      <c r="T102" s="45"/>
      <c r="U102" s="44">
        <f t="shared" si="12"/>
        <v>0</v>
      </c>
      <c r="V102" s="44">
        <f t="shared" si="13"/>
        <v>0</v>
      </c>
    </row>
    <row r="103" spans="1:22" s="44" customFormat="1" ht="12.75" customHeight="1">
      <c r="A103" s="44" t="s">
        <v>128</v>
      </c>
      <c r="C103" s="44" t="s">
        <v>119</v>
      </c>
      <c r="D103" s="35"/>
      <c r="E103" s="45">
        <f>1000674+6553</f>
        <v>1007227</v>
      </c>
      <c r="F103" s="45"/>
      <c r="G103" s="45">
        <v>3121826</v>
      </c>
      <c r="H103" s="45"/>
      <c r="I103" s="45">
        <v>757639</v>
      </c>
      <c r="J103" s="45"/>
      <c r="K103" s="45">
        <v>947384</v>
      </c>
      <c r="L103" s="45"/>
      <c r="M103" s="45">
        <v>505774</v>
      </c>
      <c r="N103" s="45"/>
      <c r="O103" s="45">
        <v>0</v>
      </c>
      <c r="P103" s="45"/>
      <c r="Q103" s="45">
        <v>1668668</v>
      </c>
      <c r="R103" s="45"/>
      <c r="S103" s="45">
        <f t="shared" si="11"/>
        <v>2174442</v>
      </c>
      <c r="T103" s="45"/>
      <c r="U103" s="44">
        <f t="shared" si="12"/>
        <v>0</v>
      </c>
      <c r="V103" s="44">
        <f t="shared" si="13"/>
        <v>0</v>
      </c>
    </row>
    <row r="104" spans="1:22" s="44" customFormat="1" ht="12.75" customHeight="1">
      <c r="A104" s="44" t="s">
        <v>129</v>
      </c>
      <c r="B104" s="51"/>
      <c r="C104" s="44" t="s">
        <v>80</v>
      </c>
      <c r="D104" s="35"/>
      <c r="E104" s="45">
        <f>277674+151</f>
        <v>277825</v>
      </c>
      <c r="F104" s="45"/>
      <c r="G104" s="45">
        <v>1219337</v>
      </c>
      <c r="H104" s="45"/>
      <c r="I104" s="45">
        <v>283008</v>
      </c>
      <c r="J104" s="45"/>
      <c r="K104" s="45">
        <v>697066</v>
      </c>
      <c r="L104" s="45"/>
      <c r="M104" s="45">
        <f>6466+8310+2309</f>
        <v>17085</v>
      </c>
      <c r="N104" s="45"/>
      <c r="O104" s="45">
        <v>0</v>
      </c>
      <c r="P104" s="45"/>
      <c r="Q104" s="45">
        <v>505186</v>
      </c>
      <c r="R104" s="45"/>
      <c r="S104" s="45">
        <f t="shared" si="11"/>
        <v>522271</v>
      </c>
      <c r="T104" s="45"/>
      <c r="U104" s="44">
        <f t="shared" si="12"/>
        <v>0</v>
      </c>
      <c r="V104" s="44">
        <f t="shared" si="13"/>
        <v>0</v>
      </c>
    </row>
    <row r="105" spans="1:22" s="44" customFormat="1" ht="12.75" customHeight="1">
      <c r="A105" s="46" t="s">
        <v>130</v>
      </c>
      <c r="B105" s="46"/>
      <c r="C105" s="46" t="s">
        <v>66</v>
      </c>
      <c r="D105" s="64"/>
      <c r="E105" s="45">
        <v>7752756</v>
      </c>
      <c r="F105" s="45"/>
      <c r="G105" s="45">
        <v>13523888</v>
      </c>
      <c r="H105" s="45"/>
      <c r="I105" s="45">
        <v>2647030</v>
      </c>
      <c r="J105" s="45"/>
      <c r="K105" s="45">
        <v>3355709</v>
      </c>
      <c r="L105" s="45"/>
      <c r="M105" s="45">
        <f>526789+41118+232000+10440</f>
        <v>810347</v>
      </c>
      <c r="N105" s="45"/>
      <c r="O105" s="45">
        <v>0</v>
      </c>
      <c r="P105" s="45"/>
      <c r="Q105" s="45">
        <v>9357832</v>
      </c>
      <c r="R105" s="45"/>
      <c r="S105" s="45">
        <f t="shared" si="11"/>
        <v>10168179</v>
      </c>
      <c r="T105" s="45"/>
      <c r="U105" s="44">
        <f t="shared" si="12"/>
        <v>0</v>
      </c>
      <c r="V105" s="44">
        <f t="shared" si="13"/>
        <v>0</v>
      </c>
    </row>
    <row r="106" spans="1:22" s="44" customFormat="1" ht="12.75" customHeight="1">
      <c r="A106" s="44" t="s">
        <v>131</v>
      </c>
      <c r="B106" s="51"/>
      <c r="C106" s="44" t="s">
        <v>13</v>
      </c>
      <c r="D106" s="35"/>
      <c r="E106" s="45">
        <v>10865209</v>
      </c>
      <c r="F106" s="45"/>
      <c r="G106" s="45">
        <v>19560825</v>
      </c>
      <c r="H106" s="45"/>
      <c r="I106" s="45">
        <v>5337262</v>
      </c>
      <c r="J106" s="45"/>
      <c r="K106" s="45">
        <v>6151573</v>
      </c>
      <c r="L106" s="45"/>
      <c r="M106" s="45">
        <f>34711+100000+209753</f>
        <v>344464</v>
      </c>
      <c r="N106" s="45"/>
      <c r="O106" s="45">
        <v>0</v>
      </c>
      <c r="P106" s="45"/>
      <c r="Q106" s="45">
        <v>13064788</v>
      </c>
      <c r="R106" s="45"/>
      <c r="S106" s="45">
        <f t="shared" si="11"/>
        <v>13409252</v>
      </c>
      <c r="T106" s="45"/>
      <c r="U106" s="44">
        <f t="shared" si="12"/>
        <v>0</v>
      </c>
      <c r="V106" s="44">
        <f t="shared" si="13"/>
        <v>0</v>
      </c>
    </row>
    <row r="107" spans="1:22" s="44" customFormat="1" ht="12.75" customHeight="1">
      <c r="A107" s="44" t="s">
        <v>38</v>
      </c>
      <c r="B107" s="51"/>
      <c r="C107" s="44" t="s">
        <v>132</v>
      </c>
      <c r="D107" s="35"/>
      <c r="E107" s="45">
        <v>662981</v>
      </c>
      <c r="F107" s="45"/>
      <c r="G107" s="45">
        <v>1658899</v>
      </c>
      <c r="H107" s="45"/>
      <c r="I107" s="45">
        <v>615215</v>
      </c>
      <c r="J107" s="45"/>
      <c r="K107" s="45">
        <v>837469</v>
      </c>
      <c r="L107" s="45"/>
      <c r="M107" s="45">
        <v>15997</v>
      </c>
      <c r="N107" s="45"/>
      <c r="O107" s="45">
        <v>0</v>
      </c>
      <c r="P107" s="45"/>
      <c r="Q107" s="45">
        <v>805433</v>
      </c>
      <c r="R107" s="45"/>
      <c r="S107" s="45">
        <f t="shared" si="11"/>
        <v>821430</v>
      </c>
      <c r="T107" s="45"/>
      <c r="U107" s="44">
        <f t="shared" si="12"/>
        <v>0</v>
      </c>
      <c r="V107" s="44">
        <f t="shared" si="13"/>
        <v>0</v>
      </c>
    </row>
    <row r="108" spans="1:22" s="44" customFormat="1" ht="12.75" customHeight="1">
      <c r="A108" s="44" t="s">
        <v>133</v>
      </c>
      <c r="B108" s="51"/>
      <c r="C108" s="44" t="s">
        <v>27</v>
      </c>
      <c r="D108" s="35"/>
      <c r="E108" s="45">
        <f>1837148+27490</f>
        <v>1864638</v>
      </c>
      <c r="F108" s="45"/>
      <c r="G108" s="45">
        <v>13568625</v>
      </c>
      <c r="H108" s="45"/>
      <c r="I108" s="45">
        <v>1677967</v>
      </c>
      <c r="J108" s="45"/>
      <c r="K108" s="45">
        <v>2288307</v>
      </c>
      <c r="L108" s="45"/>
      <c r="M108" s="45">
        <f>729898+5739500</f>
        <v>6469398</v>
      </c>
      <c r="N108" s="45"/>
      <c r="O108" s="45">
        <v>0</v>
      </c>
      <c r="P108" s="45"/>
      <c r="Q108" s="45">
        <v>4810920</v>
      </c>
      <c r="R108" s="45"/>
      <c r="S108" s="45">
        <f t="shared" si="11"/>
        <v>11280318</v>
      </c>
      <c r="T108" s="45"/>
      <c r="U108" s="44">
        <f t="shared" si="12"/>
        <v>0</v>
      </c>
      <c r="V108" s="44">
        <f t="shared" si="13"/>
        <v>0</v>
      </c>
    </row>
    <row r="109" spans="1:22" s="44" customFormat="1" ht="12.75" customHeight="1">
      <c r="A109" s="44" t="s">
        <v>482</v>
      </c>
      <c r="B109" s="51"/>
      <c r="C109" s="44" t="s">
        <v>45</v>
      </c>
      <c r="D109" s="35"/>
      <c r="E109" s="45">
        <v>2216617</v>
      </c>
      <c r="F109" s="45"/>
      <c r="G109" s="45">
        <v>4299037</v>
      </c>
      <c r="H109" s="45"/>
      <c r="I109" s="45">
        <v>919593</v>
      </c>
      <c r="J109" s="45"/>
      <c r="K109" s="45">
        <v>1308549</v>
      </c>
      <c r="L109" s="45"/>
      <c r="M109" s="45">
        <f>394+48504+209750</f>
        <v>258648</v>
      </c>
      <c r="N109" s="45"/>
      <c r="O109" s="45">
        <v>0</v>
      </c>
      <c r="P109" s="45"/>
      <c r="Q109" s="45">
        <v>2731840</v>
      </c>
      <c r="R109" s="45"/>
      <c r="S109" s="45">
        <f t="shared" si="11"/>
        <v>2990488</v>
      </c>
      <c r="T109" s="45"/>
      <c r="U109" s="44">
        <f t="shared" si="12"/>
        <v>0</v>
      </c>
      <c r="V109" s="44">
        <f t="shared" si="13"/>
        <v>0</v>
      </c>
    </row>
    <row r="110" spans="1:22" s="44" customFormat="1" ht="12.75" customHeight="1">
      <c r="A110" s="44" t="s">
        <v>136</v>
      </c>
      <c r="C110" s="44" t="s">
        <v>136</v>
      </c>
      <c r="D110" s="35"/>
      <c r="E110" s="45">
        <v>819430</v>
      </c>
      <c r="F110" s="45"/>
      <c r="G110" s="45">
        <v>2325566</v>
      </c>
      <c r="H110" s="45"/>
      <c r="I110" s="45">
        <v>434302</v>
      </c>
      <c r="J110" s="45"/>
      <c r="K110" s="45">
        <v>566462</v>
      </c>
      <c r="L110" s="45"/>
      <c r="M110" s="45">
        <v>82649</v>
      </c>
      <c r="N110" s="45"/>
      <c r="O110" s="45">
        <v>0</v>
      </c>
      <c r="P110" s="45"/>
      <c r="Q110" s="45">
        <v>1676455</v>
      </c>
      <c r="R110" s="45"/>
      <c r="S110" s="45">
        <f t="shared" si="11"/>
        <v>1759104</v>
      </c>
      <c r="T110" s="45"/>
      <c r="U110" s="44">
        <f t="shared" si="12"/>
        <v>0</v>
      </c>
      <c r="V110" s="44">
        <f t="shared" si="13"/>
        <v>0</v>
      </c>
    </row>
    <row r="111" spans="1:22" s="44" customFormat="1" ht="12.75" customHeight="1">
      <c r="A111" s="44" t="s">
        <v>137</v>
      </c>
      <c r="C111" s="44" t="s">
        <v>22</v>
      </c>
      <c r="D111" s="35"/>
      <c r="E111" s="45">
        <v>7623926</v>
      </c>
      <c r="F111" s="45"/>
      <c r="G111" s="45">
        <v>12562635</v>
      </c>
      <c r="H111" s="45"/>
      <c r="I111" s="45">
        <v>2198461</v>
      </c>
      <c r="J111" s="45"/>
      <c r="K111" s="45">
        <v>2737591</v>
      </c>
      <c r="L111" s="45"/>
      <c r="M111" s="45">
        <f>545662+21132+63877+1200717</f>
        <v>1831388</v>
      </c>
      <c r="N111" s="45"/>
      <c r="O111" s="45">
        <v>0</v>
      </c>
      <c r="P111" s="45"/>
      <c r="Q111" s="45">
        <v>7993656</v>
      </c>
      <c r="R111" s="45"/>
      <c r="S111" s="45">
        <f t="shared" si="11"/>
        <v>9825044</v>
      </c>
      <c r="T111" s="45"/>
      <c r="U111" s="44">
        <f t="shared" si="12"/>
        <v>0</v>
      </c>
      <c r="V111" s="44">
        <f t="shared" si="13"/>
        <v>0</v>
      </c>
    </row>
    <row r="112" spans="1:22" s="121" customFormat="1" ht="12.75" hidden="1" customHeight="1">
      <c r="A112" s="121" t="s">
        <v>138</v>
      </c>
      <c r="B112" s="124"/>
      <c r="C112" s="121" t="s">
        <v>139</v>
      </c>
      <c r="D112" s="126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>
        <f t="shared" si="11"/>
        <v>0</v>
      </c>
      <c r="T112" s="127"/>
      <c r="U112" s="121">
        <f t="shared" si="12"/>
        <v>0</v>
      </c>
      <c r="V112" s="121">
        <f t="shared" si="13"/>
        <v>0</v>
      </c>
    </row>
    <row r="113" spans="1:22" s="44" customFormat="1" ht="12.75" customHeight="1">
      <c r="A113" s="44" t="s">
        <v>140</v>
      </c>
      <c r="B113" s="51"/>
      <c r="C113" s="44" t="s">
        <v>66</v>
      </c>
      <c r="D113" s="35"/>
      <c r="E113" s="45">
        <v>40079129</v>
      </c>
      <c r="F113" s="45"/>
      <c r="G113" s="45">
        <v>55456578</v>
      </c>
      <c r="H113" s="45"/>
      <c r="I113" s="45">
        <v>11927671</v>
      </c>
      <c r="J113" s="45"/>
      <c r="K113" s="45">
        <v>14929923</v>
      </c>
      <c r="L113" s="45"/>
      <c r="M113" s="45">
        <f>847498+26478</f>
        <v>873976</v>
      </c>
      <c r="N113" s="45"/>
      <c r="O113" s="45">
        <v>3000000</v>
      </c>
      <c r="P113" s="45"/>
      <c r="Q113" s="45">
        <v>36652679</v>
      </c>
      <c r="R113" s="45"/>
      <c r="S113" s="45">
        <f t="shared" si="11"/>
        <v>40526655</v>
      </c>
      <c r="T113" s="45"/>
      <c r="U113" s="44">
        <f t="shared" si="12"/>
        <v>0</v>
      </c>
      <c r="V113" s="44">
        <f t="shared" si="13"/>
        <v>0</v>
      </c>
    </row>
    <row r="114" spans="1:22" s="44" customFormat="1" ht="12.75" customHeight="1">
      <c r="A114" s="44" t="s">
        <v>478</v>
      </c>
      <c r="B114" s="51"/>
      <c r="C114" s="44" t="s">
        <v>92</v>
      </c>
      <c r="D114" s="35"/>
      <c r="E114" s="45">
        <v>170571</v>
      </c>
      <c r="F114" s="45"/>
      <c r="G114" s="45">
        <v>2194152</v>
      </c>
      <c r="H114" s="45"/>
      <c r="I114" s="45">
        <v>1574300</v>
      </c>
      <c r="J114" s="45"/>
      <c r="K114" s="45">
        <v>1942786</v>
      </c>
      <c r="L114" s="45"/>
      <c r="M114" s="45">
        <v>44908</v>
      </c>
      <c r="N114" s="45"/>
      <c r="O114" s="45">
        <v>0</v>
      </c>
      <c r="P114" s="45"/>
      <c r="Q114" s="45">
        <v>206458</v>
      </c>
      <c r="R114" s="45"/>
      <c r="S114" s="45">
        <f t="shared" si="11"/>
        <v>251366</v>
      </c>
      <c r="T114" s="45"/>
      <c r="U114" s="44">
        <f t="shared" si="12"/>
        <v>0</v>
      </c>
      <c r="V114" s="44">
        <f t="shared" si="13"/>
        <v>0</v>
      </c>
    </row>
    <row r="115" spans="1:22" s="46" customFormat="1" ht="12.75" customHeight="1">
      <c r="A115" s="44" t="s">
        <v>141</v>
      </c>
      <c r="B115" s="44"/>
      <c r="C115" s="44" t="s">
        <v>27</v>
      </c>
      <c r="D115" s="35"/>
      <c r="E115" s="45">
        <f>214411+2294758</f>
        <v>2509169</v>
      </c>
      <c r="F115" s="45"/>
      <c r="G115" s="45">
        <v>22114569</v>
      </c>
      <c r="H115" s="45"/>
      <c r="I115" s="45">
        <v>14490579</v>
      </c>
      <c r="J115" s="45"/>
      <c r="K115" s="45">
        <v>16836963</v>
      </c>
      <c r="L115" s="45"/>
      <c r="M115" s="45">
        <v>11114</v>
      </c>
      <c r="N115" s="45"/>
      <c r="O115" s="45">
        <v>0</v>
      </c>
      <c r="P115" s="45"/>
      <c r="Q115" s="45">
        <v>5266492</v>
      </c>
      <c r="R115" s="45"/>
      <c r="S115" s="45">
        <f t="shared" si="11"/>
        <v>5277606</v>
      </c>
      <c r="T115" s="45"/>
      <c r="U115" s="44">
        <f t="shared" si="12"/>
        <v>0</v>
      </c>
      <c r="V115" s="44">
        <f t="shared" si="13"/>
        <v>0</v>
      </c>
    </row>
    <row r="116" spans="1:22" s="44" customFormat="1" ht="12.75" customHeight="1">
      <c r="A116" s="44" t="s">
        <v>142</v>
      </c>
      <c r="B116" s="51"/>
      <c r="C116" s="44" t="s">
        <v>102</v>
      </c>
      <c r="D116" s="35"/>
      <c r="E116" s="45">
        <f>74062+2028518</f>
        <v>2102580</v>
      </c>
      <c r="F116" s="45"/>
      <c r="G116" s="45">
        <v>9837431</v>
      </c>
      <c r="H116" s="45"/>
      <c r="I116" s="45">
        <v>4857308</v>
      </c>
      <c r="J116" s="45"/>
      <c r="K116" s="45">
        <v>6413686</v>
      </c>
      <c r="L116" s="45"/>
      <c r="M116" s="45">
        <f>75383+41535+152944</f>
        <v>269862</v>
      </c>
      <c r="N116" s="45"/>
      <c r="O116" s="45">
        <v>0</v>
      </c>
      <c r="P116" s="45"/>
      <c r="Q116" s="45">
        <v>3153883</v>
      </c>
      <c r="R116" s="45"/>
      <c r="S116" s="45">
        <f>+Q116+O116+M116</f>
        <v>3423745</v>
      </c>
      <c r="T116" s="45"/>
      <c r="U116" s="44">
        <f t="shared" si="12"/>
        <v>0</v>
      </c>
      <c r="V116" s="44">
        <f t="shared" si="13"/>
        <v>0</v>
      </c>
    </row>
    <row r="117" spans="1:22" s="44" customFormat="1" ht="12.75" customHeight="1">
      <c r="A117" s="44" t="s">
        <v>143</v>
      </c>
      <c r="B117" s="51"/>
      <c r="C117" s="44" t="s">
        <v>111</v>
      </c>
      <c r="D117" s="35"/>
      <c r="E117" s="45">
        <v>3577530</v>
      </c>
      <c r="F117" s="45"/>
      <c r="G117" s="45">
        <v>7910911</v>
      </c>
      <c r="H117" s="45"/>
      <c r="I117" s="45">
        <v>2490225</v>
      </c>
      <c r="J117" s="45"/>
      <c r="K117" s="45">
        <v>2983435</v>
      </c>
      <c r="L117" s="45"/>
      <c r="M117" s="45">
        <f>281433+1216587</f>
        <v>1498020</v>
      </c>
      <c r="N117" s="45"/>
      <c r="O117" s="45">
        <v>0</v>
      </c>
      <c r="P117" s="45"/>
      <c r="Q117" s="45">
        <v>3429456</v>
      </c>
      <c r="R117" s="45"/>
      <c r="S117" s="45">
        <f>+Q117+O117+M117</f>
        <v>4927476</v>
      </c>
      <c r="T117" s="45"/>
      <c r="U117" s="44">
        <f t="shared" si="12"/>
        <v>0</v>
      </c>
      <c r="V117" s="44">
        <f t="shared" si="13"/>
        <v>0</v>
      </c>
    </row>
    <row r="118" spans="1:22" s="44" customFormat="1" ht="12.75" customHeight="1">
      <c r="A118" s="44" t="s">
        <v>144</v>
      </c>
      <c r="B118" s="51"/>
      <c r="C118" s="44" t="s">
        <v>88</v>
      </c>
      <c r="D118" s="35"/>
      <c r="E118" s="45">
        <v>4117471</v>
      </c>
      <c r="F118" s="45"/>
      <c r="G118" s="45">
        <v>11184294</v>
      </c>
      <c r="H118" s="45"/>
      <c r="I118" s="45">
        <v>3871410</v>
      </c>
      <c r="J118" s="45"/>
      <c r="K118" s="45">
        <v>5892702</v>
      </c>
      <c r="L118" s="45"/>
      <c r="M118" s="45">
        <f>166310+55728</f>
        <v>222038</v>
      </c>
      <c r="N118" s="45"/>
      <c r="O118" s="45">
        <v>0</v>
      </c>
      <c r="P118" s="45"/>
      <c r="Q118" s="45">
        <v>5069554</v>
      </c>
      <c r="R118" s="45"/>
      <c r="S118" s="45">
        <f t="shared" si="11"/>
        <v>5291592</v>
      </c>
      <c r="T118" s="45"/>
      <c r="U118" s="44">
        <f t="shared" si="12"/>
        <v>0</v>
      </c>
      <c r="V118" s="44">
        <f t="shared" si="13"/>
        <v>0</v>
      </c>
    </row>
    <row r="119" spans="1:22" s="44" customFormat="1" ht="12.75" customHeight="1">
      <c r="A119" s="44" t="s">
        <v>36</v>
      </c>
      <c r="B119" s="51"/>
      <c r="C119" s="44" t="s">
        <v>145</v>
      </c>
      <c r="D119" s="35"/>
      <c r="E119" s="45">
        <v>1143662</v>
      </c>
      <c r="F119" s="45"/>
      <c r="G119" s="45">
        <v>2068089</v>
      </c>
      <c r="H119" s="45"/>
      <c r="I119" s="45">
        <v>634671</v>
      </c>
      <c r="J119" s="45"/>
      <c r="K119" s="45">
        <v>867339</v>
      </c>
      <c r="L119" s="45"/>
      <c r="M119" s="45">
        <v>17562</v>
      </c>
      <c r="N119" s="45"/>
      <c r="O119" s="45">
        <v>0</v>
      </c>
      <c r="P119" s="45"/>
      <c r="Q119" s="45">
        <v>1183188</v>
      </c>
      <c r="R119" s="45"/>
      <c r="S119" s="45">
        <f t="shared" si="11"/>
        <v>1200750</v>
      </c>
      <c r="T119" s="45"/>
      <c r="U119" s="44">
        <f t="shared" si="12"/>
        <v>0</v>
      </c>
      <c r="V119" s="44">
        <f t="shared" si="13"/>
        <v>0</v>
      </c>
    </row>
    <row r="120" spans="1:22" s="44" customFormat="1" ht="12.75" customHeight="1">
      <c r="A120" s="44" t="s">
        <v>146</v>
      </c>
      <c r="B120" s="51"/>
      <c r="C120" s="44" t="s">
        <v>147</v>
      </c>
      <c r="D120" s="35"/>
      <c r="E120" s="45">
        <f>710241+201000</f>
        <v>911241</v>
      </c>
      <c r="F120" s="45"/>
      <c r="G120" s="45">
        <v>2560678</v>
      </c>
      <c r="H120" s="45"/>
      <c r="I120" s="45">
        <v>1203307</v>
      </c>
      <c r="J120" s="45"/>
      <c r="K120" s="45">
        <v>1498260</v>
      </c>
      <c r="L120" s="45"/>
      <c r="M120" s="45">
        <f>33501+410+26215</f>
        <v>60126</v>
      </c>
      <c r="N120" s="45"/>
      <c r="O120" s="45">
        <v>0</v>
      </c>
      <c r="P120" s="45"/>
      <c r="Q120" s="45">
        <v>1002292</v>
      </c>
      <c r="R120" s="45"/>
      <c r="S120" s="45">
        <f t="shared" si="11"/>
        <v>1062418</v>
      </c>
      <c r="T120" s="45"/>
      <c r="U120" s="44">
        <f t="shared" si="12"/>
        <v>0</v>
      </c>
      <c r="V120" s="44">
        <f t="shared" si="13"/>
        <v>0</v>
      </c>
    </row>
    <row r="121" spans="1:22" s="44" customFormat="1" ht="12.75" customHeight="1">
      <c r="A121" s="44" t="s">
        <v>17</v>
      </c>
      <c r="B121" s="51"/>
      <c r="C121" s="44" t="s">
        <v>17</v>
      </c>
      <c r="D121" s="35"/>
      <c r="E121" s="45">
        <v>59267</v>
      </c>
      <c r="F121" s="45"/>
      <c r="G121" s="45">
        <v>9514665</v>
      </c>
      <c r="H121" s="45"/>
      <c r="I121" s="45">
        <v>5459286</v>
      </c>
      <c r="J121" s="45"/>
      <c r="K121" s="45">
        <v>8755356</v>
      </c>
      <c r="L121" s="45"/>
      <c r="M121" s="45">
        <v>246789</v>
      </c>
      <c r="N121" s="45"/>
      <c r="O121" s="45">
        <v>0</v>
      </c>
      <c r="P121" s="45"/>
      <c r="Q121" s="45">
        <v>512520</v>
      </c>
      <c r="R121" s="45"/>
      <c r="S121" s="45">
        <f t="shared" si="11"/>
        <v>759309</v>
      </c>
      <c r="T121" s="45"/>
      <c r="U121" s="44">
        <f t="shared" si="12"/>
        <v>0</v>
      </c>
      <c r="V121" s="44">
        <f t="shared" si="13"/>
        <v>0</v>
      </c>
    </row>
    <row r="122" spans="1:22" s="46" customFormat="1" ht="12.75" customHeight="1">
      <c r="A122" s="46" t="s">
        <v>148</v>
      </c>
      <c r="C122" s="46" t="s">
        <v>15</v>
      </c>
      <c r="D122" s="64"/>
      <c r="E122" s="45">
        <v>1180795</v>
      </c>
      <c r="F122" s="45"/>
      <c r="G122" s="45">
        <v>2485449</v>
      </c>
      <c r="H122" s="45"/>
      <c r="I122" s="45">
        <v>875985</v>
      </c>
      <c r="J122" s="45"/>
      <c r="K122" s="45">
        <v>1048610</v>
      </c>
      <c r="L122" s="45"/>
      <c r="M122" s="45">
        <v>123510</v>
      </c>
      <c r="N122" s="45"/>
      <c r="O122" s="45">
        <v>0</v>
      </c>
      <c r="P122" s="45"/>
      <c r="Q122" s="45">
        <v>1313329</v>
      </c>
      <c r="R122" s="45"/>
      <c r="S122" s="45">
        <f t="shared" si="11"/>
        <v>1436839</v>
      </c>
      <c r="T122" s="45"/>
      <c r="U122" s="44">
        <f t="shared" si="12"/>
        <v>0</v>
      </c>
      <c r="V122" s="44">
        <f t="shared" si="13"/>
        <v>0</v>
      </c>
    </row>
    <row r="123" spans="1:22" s="44" customFormat="1" ht="12.75" customHeight="1">
      <c r="A123" s="44" t="s">
        <v>149</v>
      </c>
      <c r="B123" s="51"/>
      <c r="C123" s="44" t="s">
        <v>45</v>
      </c>
      <c r="D123" s="35"/>
      <c r="E123" s="45">
        <v>1</v>
      </c>
      <c r="F123" s="45"/>
      <c r="G123" s="45">
        <v>1411339</v>
      </c>
      <c r="H123" s="45"/>
      <c r="I123" s="45">
        <v>1238844</v>
      </c>
      <c r="J123" s="45"/>
      <c r="K123" s="45">
        <v>1579590</v>
      </c>
      <c r="L123" s="45"/>
      <c r="M123" s="45">
        <v>250</v>
      </c>
      <c r="N123" s="45"/>
      <c r="O123" s="45">
        <v>0</v>
      </c>
      <c r="P123" s="45"/>
      <c r="Q123" s="45">
        <v>-168501</v>
      </c>
      <c r="R123" s="45"/>
      <c r="S123" s="45">
        <f t="shared" si="11"/>
        <v>-168251</v>
      </c>
      <c r="T123" s="45"/>
      <c r="U123" s="44">
        <f t="shared" si="12"/>
        <v>0</v>
      </c>
      <c r="V123" s="44">
        <f t="shared" si="13"/>
        <v>0</v>
      </c>
    </row>
    <row r="124" spans="1:22" s="46" customFormat="1" ht="12.75" customHeight="1">
      <c r="A124" s="44" t="s">
        <v>150</v>
      </c>
      <c r="B124" s="51"/>
      <c r="C124" s="44" t="s">
        <v>27</v>
      </c>
      <c r="D124" s="35"/>
      <c r="E124" s="45">
        <f>2480687+648793</f>
        <v>3129480</v>
      </c>
      <c r="F124" s="45"/>
      <c r="G124" s="45">
        <v>10095608</v>
      </c>
      <c r="H124" s="45"/>
      <c r="I124" s="45">
        <v>5404517</v>
      </c>
      <c r="J124" s="45"/>
      <c r="K124" s="45">
        <v>5896935</v>
      </c>
      <c r="L124" s="45"/>
      <c r="M124" s="45">
        <f>365461+119353+28871</f>
        <v>513685</v>
      </c>
      <c r="N124" s="45"/>
      <c r="O124" s="45">
        <v>0</v>
      </c>
      <c r="P124" s="45"/>
      <c r="Q124" s="45">
        <v>3684988</v>
      </c>
      <c r="R124" s="45"/>
      <c r="S124" s="45">
        <f t="shared" si="11"/>
        <v>4198673</v>
      </c>
      <c r="T124" s="45"/>
      <c r="U124" s="44">
        <f t="shared" si="12"/>
        <v>0</v>
      </c>
      <c r="V124" s="44">
        <f t="shared" si="13"/>
        <v>0</v>
      </c>
    </row>
    <row r="125" spans="1:22" s="44" customFormat="1" ht="12.75" customHeight="1">
      <c r="A125" s="44" t="s">
        <v>151</v>
      </c>
      <c r="C125" s="44" t="s">
        <v>13</v>
      </c>
      <c r="D125" s="35"/>
      <c r="E125" s="45">
        <v>1164536</v>
      </c>
      <c r="F125" s="45"/>
      <c r="G125" s="45">
        <v>5320202</v>
      </c>
      <c r="H125" s="45"/>
      <c r="I125" s="45">
        <v>1729148</v>
      </c>
      <c r="J125" s="45"/>
      <c r="K125" s="45">
        <v>3732385</v>
      </c>
      <c r="L125" s="45"/>
      <c r="M125" s="45">
        <f>51012+4368</f>
        <v>55380</v>
      </c>
      <c r="N125" s="45"/>
      <c r="O125" s="45">
        <v>400000</v>
      </c>
      <c r="P125" s="45"/>
      <c r="Q125" s="45">
        <v>1132437</v>
      </c>
      <c r="R125" s="45"/>
      <c r="S125" s="45">
        <f t="shared" si="11"/>
        <v>1587817</v>
      </c>
      <c r="T125" s="45"/>
      <c r="U125" s="44">
        <f t="shared" si="12"/>
        <v>0</v>
      </c>
      <c r="V125" s="44">
        <f t="shared" si="13"/>
        <v>0</v>
      </c>
    </row>
    <row r="126" spans="1:22" s="44" customFormat="1" ht="12.75" customHeight="1">
      <c r="A126" s="44" t="s">
        <v>481</v>
      </c>
      <c r="C126" s="44" t="s">
        <v>45</v>
      </c>
      <c r="D126" s="35"/>
      <c r="E126" s="45">
        <f>598129+799076</f>
        <v>1397205</v>
      </c>
      <c r="F126" s="45"/>
      <c r="G126" s="45">
        <v>5168960</v>
      </c>
      <c r="H126" s="45"/>
      <c r="I126" s="45">
        <v>2934848</v>
      </c>
      <c r="J126" s="45"/>
      <c r="K126" s="45">
        <v>3154837</v>
      </c>
      <c r="L126" s="45"/>
      <c r="M126" s="45">
        <v>0</v>
      </c>
      <c r="N126" s="45"/>
      <c r="O126" s="45">
        <v>0</v>
      </c>
      <c r="P126" s="45"/>
      <c r="Q126" s="45">
        <v>2014123</v>
      </c>
      <c r="R126" s="45"/>
      <c r="S126" s="45">
        <f t="shared" si="11"/>
        <v>2014123</v>
      </c>
      <c r="T126" s="45"/>
      <c r="U126" s="44">
        <f t="shared" si="12"/>
        <v>0</v>
      </c>
      <c r="V126" s="44">
        <f t="shared" si="13"/>
        <v>0</v>
      </c>
    </row>
    <row r="127" spans="1:22" s="46" customFormat="1" ht="12.75" customHeight="1">
      <c r="A127" s="44" t="s">
        <v>152</v>
      </c>
      <c r="B127" s="51"/>
      <c r="C127" s="44" t="s">
        <v>153</v>
      </c>
      <c r="D127" s="35"/>
      <c r="E127" s="45">
        <v>1651664</v>
      </c>
      <c r="F127" s="45"/>
      <c r="G127" s="45">
        <v>7285723</v>
      </c>
      <c r="H127" s="45"/>
      <c r="I127" s="45">
        <v>3514768</v>
      </c>
      <c r="J127" s="45"/>
      <c r="K127" s="45">
        <v>5659340</v>
      </c>
      <c r="L127" s="45"/>
      <c r="M127" s="45">
        <f>21864+659373+55233+380148</f>
        <v>1116618</v>
      </c>
      <c r="N127" s="45"/>
      <c r="O127" s="45">
        <v>0</v>
      </c>
      <c r="P127" s="45"/>
      <c r="Q127" s="45">
        <v>509765</v>
      </c>
      <c r="R127" s="45"/>
      <c r="S127" s="45">
        <f t="shared" si="11"/>
        <v>1626383</v>
      </c>
      <c r="T127" s="45"/>
      <c r="U127" s="44">
        <f t="shared" si="12"/>
        <v>0</v>
      </c>
      <c r="V127" s="44">
        <f t="shared" si="13"/>
        <v>0</v>
      </c>
    </row>
    <row r="128" spans="1:22" s="121" customFormat="1" ht="12.75" hidden="1" customHeight="1">
      <c r="A128" s="121" t="s">
        <v>154</v>
      </c>
      <c r="B128" s="124"/>
      <c r="C128" s="121" t="s">
        <v>27</v>
      </c>
      <c r="D128" s="126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>
        <f t="shared" si="11"/>
        <v>0</v>
      </c>
      <c r="T128" s="127"/>
      <c r="U128" s="121">
        <f t="shared" si="12"/>
        <v>0</v>
      </c>
      <c r="V128" s="121">
        <f t="shared" si="13"/>
        <v>0</v>
      </c>
    </row>
    <row r="129" spans="1:22" s="44" customFormat="1" ht="12.75" customHeight="1">
      <c r="A129" s="44" t="s">
        <v>155</v>
      </c>
      <c r="C129" s="44" t="s">
        <v>40</v>
      </c>
      <c r="D129" s="35"/>
      <c r="E129" s="45">
        <f>2302374+35726+18666</f>
        <v>2356766</v>
      </c>
      <c r="F129" s="45"/>
      <c r="G129" s="45">
        <v>4394518</v>
      </c>
      <c r="H129" s="45"/>
      <c r="I129" s="45">
        <v>864236</v>
      </c>
      <c r="J129" s="45"/>
      <c r="K129" s="45">
        <v>2121913</v>
      </c>
      <c r="L129" s="45"/>
      <c r="M129" s="45">
        <f>18666+62645</f>
        <v>81311</v>
      </c>
      <c r="N129" s="45"/>
      <c r="O129" s="45">
        <v>0</v>
      </c>
      <c r="P129" s="45"/>
      <c r="Q129" s="45">
        <v>2191294</v>
      </c>
      <c r="R129" s="45"/>
      <c r="S129" s="45">
        <f t="shared" si="11"/>
        <v>2272605</v>
      </c>
      <c r="T129" s="45"/>
      <c r="U129" s="44">
        <f t="shared" si="12"/>
        <v>0</v>
      </c>
      <c r="V129" s="44">
        <f t="shared" si="13"/>
        <v>0</v>
      </c>
    </row>
    <row r="130" spans="1:22" s="44" customFormat="1" ht="12.75" customHeight="1">
      <c r="D130" s="3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8" t="s">
        <v>484</v>
      </c>
      <c r="T130" s="45"/>
    </row>
    <row r="131" spans="1:22" s="44" customFormat="1" ht="12.75" customHeight="1">
      <c r="A131" s="44" t="s">
        <v>156</v>
      </c>
      <c r="B131" s="51"/>
      <c r="C131" s="44" t="s">
        <v>156</v>
      </c>
      <c r="D131" s="35"/>
      <c r="E131" s="94">
        <v>2102121</v>
      </c>
      <c r="F131" s="94"/>
      <c r="G131" s="94">
        <v>9804471</v>
      </c>
      <c r="H131" s="94"/>
      <c r="I131" s="94">
        <v>4983822</v>
      </c>
      <c r="J131" s="94"/>
      <c r="K131" s="94">
        <v>6639625</v>
      </c>
      <c r="L131" s="94"/>
      <c r="M131" s="94">
        <f>78612+374000</f>
        <v>452612</v>
      </c>
      <c r="N131" s="94"/>
      <c r="O131" s="94">
        <v>0</v>
      </c>
      <c r="P131" s="94"/>
      <c r="Q131" s="94">
        <v>2712234</v>
      </c>
      <c r="R131" s="94"/>
      <c r="S131" s="94">
        <f t="shared" si="11"/>
        <v>3164846</v>
      </c>
      <c r="T131" s="94"/>
      <c r="U131" s="46">
        <f t="shared" si="12"/>
        <v>0</v>
      </c>
      <c r="V131" s="46">
        <f t="shared" si="13"/>
        <v>0</v>
      </c>
    </row>
    <row r="132" spans="1:22" s="44" customFormat="1" ht="12.75" customHeight="1">
      <c r="A132" s="44" t="s">
        <v>157</v>
      </c>
      <c r="B132" s="51"/>
      <c r="C132" s="44" t="s">
        <v>33</v>
      </c>
      <c r="D132" s="35"/>
      <c r="E132" s="45">
        <v>163071</v>
      </c>
      <c r="F132" s="45"/>
      <c r="G132" s="45">
        <v>1225834</v>
      </c>
      <c r="H132" s="45"/>
      <c r="I132" s="45">
        <v>657251</v>
      </c>
      <c r="J132" s="45"/>
      <c r="K132" s="45">
        <v>769512</v>
      </c>
      <c r="L132" s="45"/>
      <c r="M132" s="45">
        <f>1262+39854</f>
        <v>41116</v>
      </c>
      <c r="N132" s="45"/>
      <c r="O132" s="45">
        <v>0</v>
      </c>
      <c r="P132" s="45"/>
      <c r="Q132" s="45">
        <v>415206</v>
      </c>
      <c r="R132" s="45"/>
      <c r="S132" s="45">
        <f t="shared" si="11"/>
        <v>456322</v>
      </c>
      <c r="T132" s="45"/>
      <c r="U132" s="44">
        <f t="shared" si="12"/>
        <v>0</v>
      </c>
      <c r="V132" s="44">
        <f t="shared" si="13"/>
        <v>0</v>
      </c>
    </row>
    <row r="133" spans="1:22" s="44" customFormat="1" ht="12.75" customHeight="1">
      <c r="A133" s="44" t="s">
        <v>158</v>
      </c>
      <c r="B133" s="51"/>
      <c r="C133" s="44" t="s">
        <v>159</v>
      </c>
      <c r="D133" s="35"/>
      <c r="E133" s="45">
        <v>4409167</v>
      </c>
      <c r="F133" s="45"/>
      <c r="G133" s="45">
        <f>7991328-127422</f>
        <v>7863906</v>
      </c>
      <c r="H133" s="45"/>
      <c r="I133" s="45">
        <v>2314788</v>
      </c>
      <c r="J133" s="45"/>
      <c r="K133" s="45">
        <v>2953177</v>
      </c>
      <c r="L133" s="45"/>
      <c r="M133" s="45">
        <v>381782</v>
      </c>
      <c r="N133" s="45"/>
      <c r="O133" s="45">
        <v>0</v>
      </c>
      <c r="P133" s="45"/>
      <c r="Q133" s="45">
        <v>4528947</v>
      </c>
      <c r="R133" s="45"/>
      <c r="S133" s="45">
        <f t="shared" si="11"/>
        <v>4910729</v>
      </c>
      <c r="T133" s="45"/>
      <c r="U133" s="44">
        <f t="shared" si="12"/>
        <v>0</v>
      </c>
      <c r="V133" s="44">
        <f t="shared" si="13"/>
        <v>0</v>
      </c>
    </row>
    <row r="134" spans="1:22" s="46" customFormat="1" ht="12.75" customHeight="1">
      <c r="A134" s="46" t="s">
        <v>160</v>
      </c>
      <c r="B134" s="66"/>
      <c r="C134" s="46" t="s">
        <v>111</v>
      </c>
      <c r="D134" s="64"/>
      <c r="E134" s="45">
        <v>26382977</v>
      </c>
      <c r="F134" s="45"/>
      <c r="G134" s="45">
        <v>34947319</v>
      </c>
      <c r="H134" s="45"/>
      <c r="I134" s="45">
        <v>3984433</v>
      </c>
      <c r="J134" s="45"/>
      <c r="K134" s="45">
        <v>10294446</v>
      </c>
      <c r="L134" s="45"/>
      <c r="M134" s="45">
        <f>11708751+250671</f>
        <v>11959422</v>
      </c>
      <c r="N134" s="45"/>
      <c r="O134" s="45">
        <v>0</v>
      </c>
      <c r="P134" s="45"/>
      <c r="Q134" s="45">
        <v>12693451</v>
      </c>
      <c r="R134" s="45"/>
      <c r="S134" s="45">
        <f t="shared" si="11"/>
        <v>24652873</v>
      </c>
      <c r="T134" s="45"/>
      <c r="U134" s="44">
        <f t="shared" si="12"/>
        <v>0</v>
      </c>
      <c r="V134" s="44">
        <f t="shared" si="13"/>
        <v>0</v>
      </c>
    </row>
    <row r="135" spans="1:22" s="44" customFormat="1" ht="12.75" customHeight="1">
      <c r="A135" s="44" t="s">
        <v>161</v>
      </c>
      <c r="C135" s="44" t="s">
        <v>15</v>
      </c>
      <c r="D135" s="35"/>
      <c r="E135" s="45">
        <v>249789</v>
      </c>
      <c r="F135" s="45"/>
      <c r="G135" s="45">
        <v>5199098</v>
      </c>
      <c r="H135" s="45"/>
      <c r="I135" s="45">
        <v>2581864</v>
      </c>
      <c r="J135" s="45"/>
      <c r="K135" s="45">
        <v>3955852</v>
      </c>
      <c r="L135" s="45"/>
      <c r="M135" s="45">
        <f>47627+21109</f>
        <v>68736</v>
      </c>
      <c r="N135" s="45"/>
      <c r="O135" s="45">
        <v>0</v>
      </c>
      <c r="P135" s="45"/>
      <c r="Q135" s="45">
        <v>1174510</v>
      </c>
      <c r="R135" s="45"/>
      <c r="S135" s="45">
        <f t="shared" si="11"/>
        <v>1243246</v>
      </c>
      <c r="T135" s="45"/>
      <c r="U135" s="44">
        <f t="shared" si="12"/>
        <v>0</v>
      </c>
      <c r="V135" s="44">
        <f t="shared" si="13"/>
        <v>0</v>
      </c>
    </row>
    <row r="136" spans="1:22" s="44" customFormat="1" ht="12.75" customHeight="1">
      <c r="A136" s="44" t="s">
        <v>162</v>
      </c>
      <c r="B136" s="51"/>
      <c r="C136" s="44" t="s">
        <v>163</v>
      </c>
      <c r="D136" s="35"/>
      <c r="E136" s="45">
        <f>508632+128034</f>
        <v>636666</v>
      </c>
      <c r="F136" s="45"/>
      <c r="G136" s="45">
        <v>3746922</v>
      </c>
      <c r="H136" s="45"/>
      <c r="I136" s="45">
        <v>2501344</v>
      </c>
      <c r="J136" s="45"/>
      <c r="K136" s="45">
        <v>3533637</v>
      </c>
      <c r="L136" s="45"/>
      <c r="M136" s="45">
        <f>18880+32752+59992</f>
        <v>111624</v>
      </c>
      <c r="N136" s="45"/>
      <c r="O136" s="45">
        <v>0</v>
      </c>
      <c r="P136" s="45"/>
      <c r="Q136" s="45">
        <v>101661</v>
      </c>
      <c r="R136" s="45"/>
      <c r="S136" s="45">
        <f t="shared" si="11"/>
        <v>213285</v>
      </c>
      <c r="T136" s="45"/>
      <c r="U136" s="44">
        <f t="shared" si="12"/>
        <v>0</v>
      </c>
      <c r="V136" s="44">
        <f t="shared" si="13"/>
        <v>0</v>
      </c>
    </row>
    <row r="137" spans="1:22" s="44" customFormat="1" ht="12.75" customHeight="1">
      <c r="A137" s="44" t="s">
        <v>164</v>
      </c>
      <c r="B137" s="51"/>
      <c r="C137" s="44" t="s">
        <v>27</v>
      </c>
      <c r="D137" s="35"/>
      <c r="E137" s="45">
        <f>45897+8921253</f>
        <v>8967150</v>
      </c>
      <c r="F137" s="45"/>
      <c r="G137" s="45">
        <v>16424557</v>
      </c>
      <c r="H137" s="45"/>
      <c r="I137" s="45">
        <v>4789315</v>
      </c>
      <c r="J137" s="45"/>
      <c r="K137" s="45">
        <v>5907256</v>
      </c>
      <c r="L137" s="45"/>
      <c r="M137" s="45">
        <f>29135+30462+57404</f>
        <v>117001</v>
      </c>
      <c r="N137" s="45"/>
      <c r="O137" s="45">
        <v>0</v>
      </c>
      <c r="P137" s="45"/>
      <c r="Q137" s="45">
        <v>10400300</v>
      </c>
      <c r="R137" s="45"/>
      <c r="S137" s="45">
        <f t="shared" si="11"/>
        <v>10517301</v>
      </c>
      <c r="T137" s="45"/>
      <c r="U137" s="44">
        <f t="shared" si="12"/>
        <v>0</v>
      </c>
      <c r="V137" s="44">
        <f t="shared" si="13"/>
        <v>0</v>
      </c>
    </row>
    <row r="138" spans="1:22" s="44" customFormat="1" ht="12.75" customHeight="1">
      <c r="A138" s="44" t="s">
        <v>53</v>
      </c>
      <c r="B138" s="51"/>
      <c r="C138" s="44" t="s">
        <v>53</v>
      </c>
      <c r="D138" s="35"/>
      <c r="E138" s="45">
        <v>8507268</v>
      </c>
      <c r="F138" s="45"/>
      <c r="G138" s="45">
        <v>11515468</v>
      </c>
      <c r="H138" s="45"/>
      <c r="I138" s="45">
        <v>2120174</v>
      </c>
      <c r="J138" s="45"/>
      <c r="K138" s="45">
        <v>2521374</v>
      </c>
      <c r="L138" s="45"/>
      <c r="M138" s="45">
        <f>113184+1270</f>
        <v>114454</v>
      </c>
      <c r="N138" s="45"/>
      <c r="O138" s="45">
        <v>0</v>
      </c>
      <c r="P138" s="45"/>
      <c r="Q138" s="45">
        <v>8879640</v>
      </c>
      <c r="R138" s="45"/>
      <c r="S138" s="45">
        <f t="shared" si="11"/>
        <v>8994094</v>
      </c>
      <c r="T138" s="45"/>
      <c r="U138" s="44">
        <f t="shared" si="12"/>
        <v>0</v>
      </c>
      <c r="V138" s="44">
        <f t="shared" si="13"/>
        <v>0</v>
      </c>
    </row>
    <row r="139" spans="1:22" s="44" customFormat="1" ht="12.75" customHeight="1">
      <c r="A139" s="44" t="s">
        <v>165</v>
      </c>
      <c r="B139" s="51"/>
      <c r="C139" s="44" t="s">
        <v>92</v>
      </c>
      <c r="D139" s="35"/>
      <c r="E139" s="45">
        <v>14231476</v>
      </c>
      <c r="F139" s="45"/>
      <c r="G139" s="45">
        <v>29316380</v>
      </c>
      <c r="H139" s="45"/>
      <c r="I139" s="45">
        <v>5782436</v>
      </c>
      <c r="J139" s="45"/>
      <c r="K139" s="45">
        <v>9638251</v>
      </c>
      <c r="L139" s="45"/>
      <c r="M139" s="45">
        <f>607442+855057</f>
        <v>1462499</v>
      </c>
      <c r="N139" s="45"/>
      <c r="O139" s="45">
        <v>0</v>
      </c>
      <c r="P139" s="45"/>
      <c r="Q139" s="45">
        <v>18215630</v>
      </c>
      <c r="R139" s="45"/>
      <c r="S139" s="45">
        <f t="shared" si="11"/>
        <v>19678129</v>
      </c>
      <c r="T139" s="45"/>
      <c r="U139" s="44">
        <f t="shared" si="12"/>
        <v>0</v>
      </c>
      <c r="V139" s="44">
        <f t="shared" si="13"/>
        <v>0</v>
      </c>
    </row>
    <row r="140" spans="1:22" s="44" customFormat="1" ht="12.75" customHeight="1">
      <c r="A140" s="44" t="s">
        <v>166</v>
      </c>
      <c r="B140" s="51"/>
      <c r="C140" s="44" t="s">
        <v>92</v>
      </c>
      <c r="D140" s="35"/>
      <c r="E140" s="45">
        <v>761063</v>
      </c>
      <c r="F140" s="45"/>
      <c r="G140" s="45">
        <v>1815343</v>
      </c>
      <c r="H140" s="45"/>
      <c r="I140" s="45">
        <v>510333</v>
      </c>
      <c r="J140" s="45"/>
      <c r="K140" s="45">
        <v>1328069</v>
      </c>
      <c r="L140" s="45"/>
      <c r="M140" s="45">
        <f>19165+11610</f>
        <v>30775</v>
      </c>
      <c r="N140" s="45"/>
      <c r="O140" s="45">
        <v>0</v>
      </c>
      <c r="P140" s="45"/>
      <c r="Q140" s="45">
        <v>456499</v>
      </c>
      <c r="R140" s="45"/>
      <c r="S140" s="45">
        <f t="shared" si="11"/>
        <v>487274</v>
      </c>
      <c r="T140" s="45"/>
      <c r="U140" s="44">
        <f t="shared" si="12"/>
        <v>0</v>
      </c>
      <c r="V140" s="44">
        <f>+G140-K140-S140</f>
        <v>0</v>
      </c>
    </row>
    <row r="141" spans="1:22" s="44" customFormat="1" ht="12.75" customHeight="1">
      <c r="A141" s="44" t="s">
        <v>167</v>
      </c>
      <c r="B141" s="51"/>
      <c r="C141" s="44" t="s">
        <v>66</v>
      </c>
      <c r="D141" s="35"/>
      <c r="E141" s="45">
        <v>4030987</v>
      </c>
      <c r="F141" s="45"/>
      <c r="G141" s="45">
        <v>9156742</v>
      </c>
      <c r="H141" s="45"/>
      <c r="I141" s="45">
        <v>2949957</v>
      </c>
      <c r="J141" s="45"/>
      <c r="K141" s="45">
        <v>3988694</v>
      </c>
      <c r="L141" s="45"/>
      <c r="M141" s="45">
        <f>558374+169781+1252681</f>
        <v>1980836</v>
      </c>
      <c r="N141" s="45"/>
      <c r="O141" s="45">
        <v>109857</v>
      </c>
      <c r="P141" s="45"/>
      <c r="Q141" s="45">
        <v>3077355</v>
      </c>
      <c r="R141" s="45"/>
      <c r="S141" s="45">
        <f t="shared" si="11"/>
        <v>5168048</v>
      </c>
      <c r="T141" s="45"/>
      <c r="U141" s="44">
        <f t="shared" si="12"/>
        <v>0</v>
      </c>
      <c r="V141" s="44">
        <f t="shared" si="13"/>
        <v>0</v>
      </c>
    </row>
    <row r="142" spans="1:22" s="44" customFormat="1" ht="12.75" customHeight="1">
      <c r="A142" s="44" t="s">
        <v>168</v>
      </c>
      <c r="B142" s="51"/>
      <c r="C142" s="44" t="s">
        <v>27</v>
      </c>
      <c r="D142" s="35"/>
      <c r="E142" s="45">
        <v>2846551</v>
      </c>
      <c r="F142" s="45"/>
      <c r="G142" s="45">
        <v>8189903</v>
      </c>
      <c r="H142" s="45"/>
      <c r="I142" s="45">
        <v>2793635</v>
      </c>
      <c r="J142" s="45"/>
      <c r="K142" s="45">
        <v>3771688</v>
      </c>
      <c r="L142" s="45"/>
      <c r="M142" s="45">
        <f>229568+88496</f>
        <v>318064</v>
      </c>
      <c r="N142" s="45"/>
      <c r="O142" s="45">
        <v>0</v>
      </c>
      <c r="P142" s="45"/>
      <c r="Q142" s="45">
        <v>4100151</v>
      </c>
      <c r="R142" s="45"/>
      <c r="S142" s="45">
        <f t="shared" si="11"/>
        <v>4418215</v>
      </c>
      <c r="T142" s="45"/>
      <c r="U142" s="44">
        <f t="shared" si="12"/>
        <v>0</v>
      </c>
      <c r="V142" s="44">
        <f t="shared" si="13"/>
        <v>0</v>
      </c>
    </row>
    <row r="143" spans="1:22" s="44" customFormat="1" ht="12.75" customHeight="1">
      <c r="A143" s="44" t="s">
        <v>169</v>
      </c>
      <c r="B143" s="51"/>
      <c r="C143" s="44" t="s">
        <v>103</v>
      </c>
      <c r="D143" s="35"/>
      <c r="E143" s="45">
        <f>9548621+1015072</f>
        <v>10563693</v>
      </c>
      <c r="F143" s="45"/>
      <c r="G143" s="45">
        <v>20918222</v>
      </c>
      <c r="H143" s="45"/>
      <c r="I143" s="45">
        <v>7389641</v>
      </c>
      <c r="J143" s="45"/>
      <c r="K143" s="45">
        <v>9378240</v>
      </c>
      <c r="L143" s="45"/>
      <c r="M143" s="45">
        <f>291962+18886</f>
        <v>310848</v>
      </c>
      <c r="N143" s="45"/>
      <c r="O143" s="45">
        <v>0</v>
      </c>
      <c r="P143" s="45"/>
      <c r="Q143" s="45">
        <v>11229134</v>
      </c>
      <c r="R143" s="45"/>
      <c r="S143" s="45">
        <f t="shared" si="11"/>
        <v>11539982</v>
      </c>
      <c r="T143" s="45"/>
      <c r="U143" s="44">
        <f t="shared" si="12"/>
        <v>0</v>
      </c>
      <c r="V143" s="44">
        <f t="shared" si="13"/>
        <v>0</v>
      </c>
    </row>
    <row r="144" spans="1:22" s="44" customFormat="1" ht="12.75" customHeight="1">
      <c r="A144" s="44" t="s">
        <v>170</v>
      </c>
      <c r="C144" s="44" t="s">
        <v>171</v>
      </c>
      <c r="D144" s="35"/>
      <c r="E144" s="45">
        <v>3111579</v>
      </c>
      <c r="F144" s="45"/>
      <c r="G144" s="45">
        <v>4642735</v>
      </c>
      <c r="H144" s="45"/>
      <c r="I144" s="45">
        <v>1246847</v>
      </c>
      <c r="J144" s="45"/>
      <c r="K144" s="45">
        <v>1563873</v>
      </c>
      <c r="L144" s="45"/>
      <c r="M144" s="45">
        <v>71749</v>
      </c>
      <c r="N144" s="45"/>
      <c r="O144" s="45">
        <v>0</v>
      </c>
      <c r="P144" s="45"/>
      <c r="Q144" s="45">
        <v>3007113</v>
      </c>
      <c r="R144" s="45"/>
      <c r="S144" s="45">
        <f t="shared" si="11"/>
        <v>3078862</v>
      </c>
      <c r="T144" s="45"/>
      <c r="U144" s="44">
        <f t="shared" si="12"/>
        <v>0</v>
      </c>
      <c r="V144" s="44">
        <f t="shared" si="13"/>
        <v>0</v>
      </c>
    </row>
    <row r="145" spans="1:22" s="44" customFormat="1" ht="12.75" customHeight="1">
      <c r="A145" s="44" t="s">
        <v>172</v>
      </c>
      <c r="B145" s="51"/>
      <c r="C145" s="44" t="s">
        <v>103</v>
      </c>
      <c r="D145" s="35"/>
      <c r="E145" s="45">
        <v>5186319</v>
      </c>
      <c r="F145" s="45"/>
      <c r="G145" s="45">
        <v>8225248</v>
      </c>
      <c r="H145" s="45"/>
      <c r="I145" s="45">
        <v>2239970</v>
      </c>
      <c r="J145" s="45"/>
      <c r="K145" s="45">
        <v>2551172</v>
      </c>
      <c r="L145" s="45"/>
      <c r="M145" s="45">
        <v>545390</v>
      </c>
      <c r="N145" s="45"/>
      <c r="O145" s="45">
        <v>0</v>
      </c>
      <c r="P145" s="45"/>
      <c r="Q145" s="45">
        <v>5128686</v>
      </c>
      <c r="R145" s="45"/>
      <c r="S145" s="45">
        <f t="shared" si="11"/>
        <v>5674076</v>
      </c>
      <c r="T145" s="45"/>
      <c r="U145" s="44">
        <f t="shared" si="12"/>
        <v>0</v>
      </c>
      <c r="V145" s="44">
        <f t="shared" si="13"/>
        <v>0</v>
      </c>
    </row>
    <row r="146" spans="1:22" s="44" customFormat="1" ht="12.75" customHeight="1">
      <c r="A146" s="44" t="s">
        <v>66</v>
      </c>
      <c r="B146" s="51"/>
      <c r="C146" s="44" t="s">
        <v>45</v>
      </c>
      <c r="D146" s="35"/>
      <c r="E146" s="45">
        <f>8242290+4330158</f>
        <v>12572448</v>
      </c>
      <c r="F146" s="45"/>
      <c r="G146" s="45">
        <v>16076397</v>
      </c>
      <c r="H146" s="45"/>
      <c r="I146" s="45">
        <v>2345926</v>
      </c>
      <c r="J146" s="45"/>
      <c r="K146" s="45">
        <v>2820979</v>
      </c>
      <c r="L146" s="45"/>
      <c r="M146" s="45">
        <f>276469+3175</f>
        <v>279644</v>
      </c>
      <c r="N146" s="45"/>
      <c r="O146" s="45">
        <v>0</v>
      </c>
      <c r="P146" s="45"/>
      <c r="Q146" s="45">
        <v>12975774</v>
      </c>
      <c r="R146" s="45"/>
      <c r="S146" s="45">
        <f t="shared" si="11"/>
        <v>13255418</v>
      </c>
      <c r="T146" s="45"/>
      <c r="U146" s="44">
        <f t="shared" si="12"/>
        <v>0</v>
      </c>
      <c r="V146" s="44">
        <f t="shared" si="13"/>
        <v>0</v>
      </c>
    </row>
    <row r="147" spans="1:22" s="44" customFormat="1" ht="12.75" customHeight="1">
      <c r="A147" s="44" t="s">
        <v>173</v>
      </c>
      <c r="B147" s="51"/>
      <c r="C147" s="44" t="s">
        <v>66</v>
      </c>
      <c r="D147" s="35"/>
      <c r="E147" s="45">
        <v>13044590</v>
      </c>
      <c r="F147" s="45"/>
      <c r="G147" s="45">
        <v>16250740</v>
      </c>
      <c r="H147" s="45"/>
      <c r="I147" s="45">
        <v>972029</v>
      </c>
      <c r="J147" s="45"/>
      <c r="K147" s="45">
        <v>1885136</v>
      </c>
      <c r="L147" s="45"/>
      <c r="M147" s="45">
        <f>336170+138040+1646</f>
        <v>475856</v>
      </c>
      <c r="N147" s="45"/>
      <c r="O147" s="45">
        <v>0</v>
      </c>
      <c r="P147" s="45"/>
      <c r="Q147" s="45">
        <v>13889748</v>
      </c>
      <c r="R147" s="45"/>
      <c r="S147" s="45">
        <f t="shared" ref="S147:S213" si="14">+Q147+O147+M147</f>
        <v>14365604</v>
      </c>
      <c r="T147" s="45"/>
      <c r="U147" s="44">
        <f t="shared" ref="U147:U213" si="15">+G147-K147-S147</f>
        <v>0</v>
      </c>
      <c r="V147" s="44">
        <f t="shared" ref="V147:V212" si="16">+G147-K147-S147</f>
        <v>0</v>
      </c>
    </row>
    <row r="148" spans="1:22" s="44" customFormat="1" ht="12.75" customHeight="1">
      <c r="A148" s="44" t="s">
        <v>174</v>
      </c>
      <c r="C148" s="44" t="s">
        <v>45</v>
      </c>
      <c r="D148" s="35"/>
      <c r="E148" s="45">
        <v>204604</v>
      </c>
      <c r="F148" s="45"/>
      <c r="G148" s="45">
        <v>1153045</v>
      </c>
      <c r="H148" s="45"/>
      <c r="I148" s="45">
        <v>767889</v>
      </c>
      <c r="J148" s="45"/>
      <c r="K148" s="45">
        <v>950572</v>
      </c>
      <c r="L148" s="45"/>
      <c r="M148" s="45">
        <v>625</v>
      </c>
      <c r="N148" s="45"/>
      <c r="O148" s="45">
        <v>0</v>
      </c>
      <c r="P148" s="45"/>
      <c r="Q148" s="45">
        <v>201848</v>
      </c>
      <c r="R148" s="45"/>
      <c r="S148" s="45">
        <f t="shared" si="14"/>
        <v>202473</v>
      </c>
      <c r="T148" s="45"/>
      <c r="U148" s="44">
        <f t="shared" si="15"/>
        <v>0</v>
      </c>
      <c r="V148" s="44">
        <f t="shared" si="16"/>
        <v>0</v>
      </c>
    </row>
    <row r="149" spans="1:22" s="44" customFormat="1" ht="12.75" customHeight="1">
      <c r="A149" s="44" t="s">
        <v>175</v>
      </c>
      <c r="B149" s="51"/>
      <c r="C149" s="44" t="s">
        <v>176</v>
      </c>
      <c r="D149" s="35"/>
      <c r="E149" s="45">
        <f>411730+3070814</f>
        <v>3482544</v>
      </c>
      <c r="F149" s="45"/>
      <c r="G149" s="45">
        <v>7124370</v>
      </c>
      <c r="H149" s="45"/>
      <c r="I149" s="45">
        <v>1573999</v>
      </c>
      <c r="J149" s="45"/>
      <c r="K149" s="45">
        <v>2271169</v>
      </c>
      <c r="L149" s="45"/>
      <c r="M149" s="45">
        <f>301931+92770+427</f>
        <v>395128</v>
      </c>
      <c r="N149" s="45"/>
      <c r="O149" s="45">
        <v>0</v>
      </c>
      <c r="P149" s="45"/>
      <c r="Q149" s="45">
        <v>4458073</v>
      </c>
      <c r="R149" s="45"/>
      <c r="S149" s="45">
        <f t="shared" si="14"/>
        <v>4853201</v>
      </c>
      <c r="T149" s="45"/>
      <c r="U149" s="44">
        <f t="shared" si="15"/>
        <v>0</v>
      </c>
      <c r="V149" s="44">
        <f t="shared" si="16"/>
        <v>0</v>
      </c>
    </row>
    <row r="150" spans="1:22" s="44" customFormat="1" ht="12.75" customHeight="1">
      <c r="A150" s="44" t="s">
        <v>177</v>
      </c>
      <c r="B150" s="51"/>
      <c r="C150" s="44" t="s">
        <v>13</v>
      </c>
      <c r="D150" s="35"/>
      <c r="E150" s="45">
        <v>1586494</v>
      </c>
      <c r="F150" s="45"/>
      <c r="G150" s="45">
        <v>2357752</v>
      </c>
      <c r="H150" s="45"/>
      <c r="I150" s="45">
        <v>523773</v>
      </c>
      <c r="J150" s="45"/>
      <c r="K150" s="45">
        <v>639010</v>
      </c>
      <c r="L150" s="45"/>
      <c r="M150" s="45">
        <v>41641</v>
      </c>
      <c r="N150" s="45"/>
      <c r="O150" s="45">
        <v>0</v>
      </c>
      <c r="P150" s="45"/>
      <c r="Q150" s="45">
        <v>1677101</v>
      </c>
      <c r="R150" s="45"/>
      <c r="S150" s="45">
        <f t="shared" si="14"/>
        <v>1718742</v>
      </c>
      <c r="T150" s="45"/>
      <c r="U150" s="44">
        <f t="shared" si="15"/>
        <v>0</v>
      </c>
      <c r="V150" s="44">
        <f t="shared" si="16"/>
        <v>0</v>
      </c>
    </row>
    <row r="151" spans="1:22" s="44" customFormat="1" ht="12.75" customHeight="1">
      <c r="A151" s="44" t="s">
        <v>178</v>
      </c>
      <c r="B151" s="51"/>
      <c r="C151" s="44" t="s">
        <v>179</v>
      </c>
      <c r="D151" s="35"/>
      <c r="E151" s="45">
        <v>1442569</v>
      </c>
      <c r="F151" s="45"/>
      <c r="G151" s="45">
        <v>2966361</v>
      </c>
      <c r="H151" s="45"/>
      <c r="I151" s="45">
        <v>714639</v>
      </c>
      <c r="J151" s="45"/>
      <c r="K151" s="45">
        <v>1032290</v>
      </c>
      <c r="L151" s="45"/>
      <c r="M151" s="45">
        <f>43581+1832</f>
        <v>45413</v>
      </c>
      <c r="N151" s="45"/>
      <c r="O151" s="45">
        <v>0</v>
      </c>
      <c r="P151" s="45"/>
      <c r="Q151" s="45">
        <v>1888658</v>
      </c>
      <c r="R151" s="45"/>
      <c r="S151" s="45">
        <f t="shared" si="14"/>
        <v>1934071</v>
      </c>
      <c r="T151" s="45"/>
      <c r="U151" s="44">
        <f t="shared" si="15"/>
        <v>0</v>
      </c>
      <c r="V151" s="44">
        <f t="shared" si="16"/>
        <v>0</v>
      </c>
    </row>
    <row r="152" spans="1:22" s="121" customFormat="1" ht="12.75" hidden="1" customHeight="1">
      <c r="A152" s="44" t="s">
        <v>180</v>
      </c>
      <c r="B152" s="51"/>
      <c r="C152" s="44" t="s">
        <v>20</v>
      </c>
      <c r="D152" s="3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>
        <f t="shared" si="14"/>
        <v>0</v>
      </c>
      <c r="T152" s="45"/>
      <c r="U152" s="44">
        <f t="shared" si="15"/>
        <v>0</v>
      </c>
      <c r="V152" s="44">
        <f t="shared" si="16"/>
        <v>0</v>
      </c>
    </row>
    <row r="153" spans="1:22" s="44" customFormat="1" ht="12.75" customHeight="1">
      <c r="A153" s="44" t="s">
        <v>182</v>
      </c>
      <c r="B153" s="51"/>
      <c r="C153" s="44" t="s">
        <v>183</v>
      </c>
      <c r="D153" s="35"/>
      <c r="E153" s="45">
        <v>164750</v>
      </c>
      <c r="F153" s="45"/>
      <c r="G153" s="45">
        <v>882718</v>
      </c>
      <c r="H153" s="45"/>
      <c r="I153" s="45">
        <v>496330</v>
      </c>
      <c r="J153" s="45"/>
      <c r="K153" s="45">
        <v>1054731</v>
      </c>
      <c r="L153" s="45"/>
      <c r="M153" s="45">
        <v>33048</v>
      </c>
      <c r="N153" s="45"/>
      <c r="O153" s="45">
        <v>0</v>
      </c>
      <c r="P153" s="45"/>
      <c r="Q153" s="45">
        <v>-205061</v>
      </c>
      <c r="R153" s="45"/>
      <c r="S153" s="45">
        <f t="shared" si="14"/>
        <v>-172013</v>
      </c>
      <c r="T153" s="45"/>
      <c r="U153" s="44">
        <f t="shared" si="15"/>
        <v>0</v>
      </c>
      <c r="V153" s="44">
        <f t="shared" si="16"/>
        <v>0</v>
      </c>
    </row>
    <row r="154" spans="1:22" s="44" customFormat="1" ht="12.75" customHeight="1">
      <c r="A154" s="44" t="s">
        <v>487</v>
      </c>
      <c r="B154" s="51"/>
      <c r="C154" s="44" t="s">
        <v>13</v>
      </c>
      <c r="D154" s="35"/>
      <c r="E154" s="45">
        <v>1498314</v>
      </c>
      <c r="F154" s="45"/>
      <c r="G154" s="45">
        <v>2479020</v>
      </c>
      <c r="H154" s="45"/>
      <c r="I154" s="45">
        <v>722048</v>
      </c>
      <c r="J154" s="45"/>
      <c r="K154" s="45">
        <v>791695</v>
      </c>
      <c r="L154" s="45"/>
      <c r="M154" s="45">
        <v>12861</v>
      </c>
      <c r="N154" s="45"/>
      <c r="O154" s="45">
        <v>0</v>
      </c>
      <c r="P154" s="45"/>
      <c r="Q154" s="45">
        <v>1674464</v>
      </c>
      <c r="R154" s="45"/>
      <c r="S154" s="45">
        <f>+Q154+O154+M154</f>
        <v>1687325</v>
      </c>
      <c r="T154" s="45"/>
      <c r="U154" s="44">
        <f>+G154-K154-S154</f>
        <v>0</v>
      </c>
      <c r="V154" s="44">
        <f>+G154-K154-S154</f>
        <v>0</v>
      </c>
    </row>
    <row r="155" spans="1:22" s="44" customFormat="1" ht="12.75" customHeight="1">
      <c r="A155" s="44" t="s">
        <v>184</v>
      </c>
      <c r="B155" s="51"/>
      <c r="C155" s="44" t="s">
        <v>89</v>
      </c>
      <c r="D155" s="35"/>
      <c r="E155" s="45">
        <v>2196832</v>
      </c>
      <c r="F155" s="45"/>
      <c r="G155" s="45">
        <v>4196064</v>
      </c>
      <c r="H155" s="45"/>
      <c r="I155" s="45">
        <v>1415987</v>
      </c>
      <c r="J155" s="45"/>
      <c r="K155" s="45">
        <v>1701458</v>
      </c>
      <c r="L155" s="45"/>
      <c r="M155" s="45">
        <f>88885+29087</f>
        <v>117972</v>
      </c>
      <c r="N155" s="45"/>
      <c r="O155" s="45">
        <v>0</v>
      </c>
      <c r="P155" s="45"/>
      <c r="Q155" s="45">
        <v>2376634</v>
      </c>
      <c r="R155" s="45"/>
      <c r="S155" s="45">
        <f t="shared" si="14"/>
        <v>2494606</v>
      </c>
      <c r="T155" s="45"/>
      <c r="U155" s="44">
        <f t="shared" si="15"/>
        <v>0</v>
      </c>
      <c r="V155" s="44">
        <f t="shared" si="16"/>
        <v>0</v>
      </c>
    </row>
    <row r="156" spans="1:22" s="44" customFormat="1" ht="12.75" customHeight="1">
      <c r="A156" s="44" t="s">
        <v>181</v>
      </c>
      <c r="B156" s="51"/>
      <c r="C156" s="44" t="s">
        <v>125</v>
      </c>
      <c r="D156" s="35"/>
      <c r="E156" s="45">
        <f>125437+3252461</f>
        <v>3377898</v>
      </c>
      <c r="F156" s="45"/>
      <c r="G156" s="45">
        <v>7576939</v>
      </c>
      <c r="H156" s="45"/>
      <c r="I156" s="45">
        <v>3157043</v>
      </c>
      <c r="J156" s="45"/>
      <c r="K156" s="45">
        <v>4497877</v>
      </c>
      <c r="L156" s="45"/>
      <c r="M156" s="45">
        <f>321907+64922+84072</f>
        <v>470901</v>
      </c>
      <c r="N156" s="45"/>
      <c r="O156" s="45">
        <v>0</v>
      </c>
      <c r="P156" s="45"/>
      <c r="Q156" s="45">
        <v>2608161</v>
      </c>
      <c r="R156" s="45"/>
      <c r="S156" s="45">
        <f t="shared" si="14"/>
        <v>3079062</v>
      </c>
      <c r="T156" s="45"/>
      <c r="U156" s="44">
        <f t="shared" si="15"/>
        <v>0</v>
      </c>
      <c r="V156" s="44">
        <f t="shared" si="16"/>
        <v>0</v>
      </c>
    </row>
    <row r="157" spans="1:22" s="44" customFormat="1" ht="12.75" customHeight="1">
      <c r="A157" s="44" t="s">
        <v>185</v>
      </c>
      <c r="C157" s="44" t="s">
        <v>80</v>
      </c>
      <c r="D157" s="35"/>
      <c r="E157" s="45">
        <v>12748793</v>
      </c>
      <c r="F157" s="45"/>
      <c r="G157" s="45">
        <v>16586328</v>
      </c>
      <c r="H157" s="45"/>
      <c r="I157" s="45">
        <v>1597500</v>
      </c>
      <c r="J157" s="45"/>
      <c r="K157" s="45">
        <v>2434416</v>
      </c>
      <c r="L157" s="45"/>
      <c r="M157" s="45">
        <f>187643+10961+959775</f>
        <v>1158379</v>
      </c>
      <c r="N157" s="45"/>
      <c r="O157" s="45">
        <v>0</v>
      </c>
      <c r="P157" s="45"/>
      <c r="Q157" s="45">
        <v>12993533</v>
      </c>
      <c r="R157" s="45"/>
      <c r="S157" s="45">
        <f t="shared" si="14"/>
        <v>14151912</v>
      </c>
      <c r="T157" s="45"/>
      <c r="U157" s="44">
        <f t="shared" si="15"/>
        <v>0</v>
      </c>
      <c r="V157" s="44">
        <f>+G157-K157-S157</f>
        <v>0</v>
      </c>
    </row>
    <row r="158" spans="1:22" s="44" customFormat="1" ht="12.75" customHeight="1">
      <c r="A158" s="44" t="s">
        <v>186</v>
      </c>
      <c r="B158" s="51"/>
      <c r="C158" s="44" t="s">
        <v>15</v>
      </c>
      <c r="D158" s="35"/>
      <c r="E158" s="45">
        <f>2881741+957000</f>
        <v>3838741</v>
      </c>
      <c r="F158" s="45"/>
      <c r="G158" s="45">
        <v>6443444</v>
      </c>
      <c r="H158" s="45"/>
      <c r="I158" s="45">
        <v>1327369</v>
      </c>
      <c r="J158" s="45"/>
      <c r="K158" s="45">
        <v>2508718</v>
      </c>
      <c r="L158" s="45"/>
      <c r="M158" s="45">
        <v>81670</v>
      </c>
      <c r="N158" s="45"/>
      <c r="O158" s="45">
        <v>957000</v>
      </c>
      <c r="P158" s="45"/>
      <c r="Q158" s="45">
        <v>2896056</v>
      </c>
      <c r="R158" s="45"/>
      <c r="S158" s="45">
        <f t="shared" si="14"/>
        <v>3934726</v>
      </c>
      <c r="T158" s="45"/>
      <c r="U158" s="44">
        <f t="shared" si="15"/>
        <v>0</v>
      </c>
      <c r="V158" s="44">
        <f t="shared" si="16"/>
        <v>0</v>
      </c>
    </row>
    <row r="159" spans="1:22" s="44" customFormat="1" ht="12.75" customHeight="1">
      <c r="A159" s="44" t="s">
        <v>187</v>
      </c>
      <c r="C159" s="44" t="s">
        <v>27</v>
      </c>
      <c r="D159" s="35"/>
      <c r="E159" s="45">
        <f>1785338+0</f>
        <v>1785338</v>
      </c>
      <c r="F159" s="45"/>
      <c r="G159" s="45">
        <v>11665360</v>
      </c>
      <c r="H159" s="45"/>
      <c r="I159" s="45">
        <v>6806011</v>
      </c>
      <c r="J159" s="45"/>
      <c r="K159" s="45">
        <v>8484950</v>
      </c>
      <c r="L159" s="45"/>
      <c r="M159" s="45">
        <v>142013</v>
      </c>
      <c r="N159" s="45"/>
      <c r="O159" s="45">
        <v>0</v>
      </c>
      <c r="P159" s="45"/>
      <c r="Q159" s="45">
        <v>3038397</v>
      </c>
      <c r="R159" s="45"/>
      <c r="S159" s="45">
        <f t="shared" si="14"/>
        <v>3180410</v>
      </c>
      <c r="T159" s="45"/>
      <c r="U159" s="44">
        <f t="shared" si="15"/>
        <v>0</v>
      </c>
      <c r="V159" s="44">
        <f t="shared" si="16"/>
        <v>0</v>
      </c>
    </row>
    <row r="160" spans="1:22" s="44" customFormat="1" ht="12.75" customHeight="1">
      <c r="A160" s="44" t="s">
        <v>189</v>
      </c>
      <c r="B160" s="51"/>
      <c r="C160" s="44" t="s">
        <v>17</v>
      </c>
      <c r="D160" s="35"/>
      <c r="E160" s="45">
        <v>1819578</v>
      </c>
      <c r="F160" s="45"/>
      <c r="G160" s="45">
        <v>3910219</v>
      </c>
      <c r="H160" s="45"/>
      <c r="I160" s="45">
        <v>1814130</v>
      </c>
      <c r="J160" s="45"/>
      <c r="K160" s="45">
        <v>2348671</v>
      </c>
      <c r="L160" s="45"/>
      <c r="M160" s="45">
        <f>401952+61600</f>
        <v>463552</v>
      </c>
      <c r="N160" s="45"/>
      <c r="O160" s="45">
        <v>0</v>
      </c>
      <c r="P160" s="45"/>
      <c r="Q160" s="45">
        <v>1097996</v>
      </c>
      <c r="R160" s="45"/>
      <c r="S160" s="45">
        <f t="shared" si="14"/>
        <v>1561548</v>
      </c>
      <c r="T160" s="45"/>
      <c r="U160" s="44">
        <f t="shared" si="15"/>
        <v>0</v>
      </c>
      <c r="V160" s="44">
        <f t="shared" si="16"/>
        <v>0</v>
      </c>
    </row>
    <row r="161" spans="1:22" s="44" customFormat="1" ht="12.75" customHeight="1">
      <c r="A161" s="44" t="s">
        <v>188</v>
      </c>
      <c r="B161" s="51"/>
      <c r="C161" s="44" t="s">
        <v>27</v>
      </c>
      <c r="D161" s="35"/>
      <c r="E161" s="45">
        <v>2182505</v>
      </c>
      <c r="F161" s="45"/>
      <c r="G161" s="45">
        <v>7239152</v>
      </c>
      <c r="H161" s="45"/>
      <c r="I161" s="45">
        <v>3202688</v>
      </c>
      <c r="J161" s="45"/>
      <c r="K161" s="45">
        <v>3749875</v>
      </c>
      <c r="L161" s="45"/>
      <c r="M161" s="45">
        <f>19780+96083+151617</f>
        <v>267480</v>
      </c>
      <c r="N161" s="45"/>
      <c r="O161" s="45">
        <v>0</v>
      </c>
      <c r="P161" s="45"/>
      <c r="Q161" s="45">
        <v>3221797</v>
      </c>
      <c r="R161" s="45"/>
      <c r="S161" s="45">
        <f t="shared" si="14"/>
        <v>3489277</v>
      </c>
      <c r="T161" s="45"/>
      <c r="U161" s="44">
        <f t="shared" si="15"/>
        <v>0</v>
      </c>
      <c r="V161" s="44">
        <f t="shared" si="16"/>
        <v>0</v>
      </c>
    </row>
    <row r="162" spans="1:22" s="44" customFormat="1" ht="12.75" customHeight="1">
      <c r="A162" s="44" t="s">
        <v>190</v>
      </c>
      <c r="B162" s="51"/>
      <c r="C162" s="44" t="s">
        <v>47</v>
      </c>
      <c r="D162" s="35"/>
      <c r="E162" s="45">
        <f>6312+652367</f>
        <v>658679</v>
      </c>
      <c r="F162" s="45"/>
      <c r="G162" s="45">
        <v>2112055</v>
      </c>
      <c r="H162" s="45"/>
      <c r="I162" s="45">
        <v>837693</v>
      </c>
      <c r="J162" s="45"/>
      <c r="K162" s="45">
        <v>1125317</v>
      </c>
      <c r="L162" s="45"/>
      <c r="M162" s="45">
        <f>67871+3857</f>
        <v>71728</v>
      </c>
      <c r="N162" s="45"/>
      <c r="O162" s="45">
        <v>0</v>
      </c>
      <c r="P162" s="45"/>
      <c r="Q162" s="45">
        <v>915010</v>
      </c>
      <c r="R162" s="45"/>
      <c r="S162" s="45">
        <f t="shared" si="14"/>
        <v>986738</v>
      </c>
      <c r="T162" s="45"/>
      <c r="U162" s="44">
        <f t="shared" si="15"/>
        <v>0</v>
      </c>
      <c r="V162" s="44">
        <f t="shared" si="16"/>
        <v>0</v>
      </c>
    </row>
    <row r="163" spans="1:22" s="44" customFormat="1" ht="12.75" customHeight="1">
      <c r="A163" s="44" t="s">
        <v>191</v>
      </c>
      <c r="C163" s="44" t="s">
        <v>13</v>
      </c>
      <c r="D163" s="35"/>
      <c r="E163" s="45">
        <f>20650+701571</f>
        <v>722221</v>
      </c>
      <c r="F163" s="45"/>
      <c r="G163" s="45">
        <v>3567685</v>
      </c>
      <c r="H163" s="45"/>
      <c r="I163" s="45">
        <v>1552243</v>
      </c>
      <c r="J163" s="45"/>
      <c r="K163" s="45">
        <v>1880762</v>
      </c>
      <c r="L163" s="45"/>
      <c r="M163" s="45">
        <v>152340</v>
      </c>
      <c r="N163" s="45"/>
      <c r="O163" s="45">
        <v>0</v>
      </c>
      <c r="P163" s="45"/>
      <c r="Q163" s="45">
        <v>1534583</v>
      </c>
      <c r="R163" s="45"/>
      <c r="S163" s="45">
        <f t="shared" si="14"/>
        <v>1686923</v>
      </c>
      <c r="T163" s="45"/>
      <c r="U163" s="44">
        <f t="shared" si="15"/>
        <v>0</v>
      </c>
      <c r="V163" s="44">
        <f t="shared" si="16"/>
        <v>0</v>
      </c>
    </row>
    <row r="164" spans="1:22" s="44" customFormat="1" ht="12.75" customHeight="1">
      <c r="A164" s="44" t="s">
        <v>192</v>
      </c>
      <c r="B164" s="51"/>
      <c r="C164" s="44" t="s">
        <v>38</v>
      </c>
      <c r="D164" s="35"/>
      <c r="E164" s="45">
        <f>2130705+5353</f>
        <v>2136058</v>
      </c>
      <c r="F164" s="45"/>
      <c r="G164" s="45">
        <v>4472247</v>
      </c>
      <c r="H164" s="45"/>
      <c r="I164" s="45">
        <v>931337</v>
      </c>
      <c r="J164" s="45"/>
      <c r="K164" s="45">
        <v>1367144</v>
      </c>
      <c r="L164" s="45"/>
      <c r="M164" s="45">
        <v>58135</v>
      </c>
      <c r="N164" s="45"/>
      <c r="O164" s="45">
        <v>0</v>
      </c>
      <c r="P164" s="45"/>
      <c r="Q164" s="45">
        <v>3046968</v>
      </c>
      <c r="R164" s="45"/>
      <c r="S164" s="45">
        <f t="shared" si="14"/>
        <v>3105103</v>
      </c>
      <c r="T164" s="45"/>
      <c r="U164" s="44">
        <f t="shared" si="15"/>
        <v>0</v>
      </c>
      <c r="V164" s="44">
        <f t="shared" si="16"/>
        <v>0</v>
      </c>
    </row>
    <row r="165" spans="1:22" s="123" customFormat="1" ht="12.75" hidden="1" customHeight="1">
      <c r="A165" s="46" t="s">
        <v>193</v>
      </c>
      <c r="B165" s="46"/>
      <c r="C165" s="46" t="s">
        <v>45</v>
      </c>
      <c r="D165" s="64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>
        <f t="shared" si="14"/>
        <v>0</v>
      </c>
      <c r="T165" s="45"/>
      <c r="U165" s="44">
        <f t="shared" si="15"/>
        <v>0</v>
      </c>
      <c r="V165" s="44">
        <f t="shared" si="16"/>
        <v>0</v>
      </c>
    </row>
    <row r="166" spans="1:22" s="44" customFormat="1" ht="12.75" customHeight="1">
      <c r="A166" s="44" t="s">
        <v>194</v>
      </c>
      <c r="B166" s="51"/>
      <c r="C166" s="44" t="s">
        <v>66</v>
      </c>
      <c r="D166" s="35"/>
      <c r="E166" s="45">
        <f>10150992+10262</f>
        <v>10161254</v>
      </c>
      <c r="F166" s="45"/>
      <c r="G166" s="45">
        <v>14431104</v>
      </c>
      <c r="H166" s="45"/>
      <c r="I166" s="45">
        <v>3601030</v>
      </c>
      <c r="J166" s="45"/>
      <c r="K166" s="45">
        <v>8020974</v>
      </c>
      <c r="L166" s="45"/>
      <c r="M166" s="45">
        <f>89662+19233+45951</f>
        <v>154846</v>
      </c>
      <c r="N166" s="45"/>
      <c r="O166" s="45">
        <v>0</v>
      </c>
      <c r="P166" s="45"/>
      <c r="Q166" s="45">
        <v>6255284</v>
      </c>
      <c r="R166" s="45"/>
      <c r="S166" s="45">
        <f t="shared" si="14"/>
        <v>6410130</v>
      </c>
      <c r="T166" s="45"/>
      <c r="U166" s="44">
        <f t="shared" si="15"/>
        <v>0</v>
      </c>
      <c r="V166" s="44">
        <f>+G166-K166-S166</f>
        <v>0</v>
      </c>
    </row>
    <row r="167" spans="1:22" s="44" customFormat="1" ht="12.75" customHeight="1">
      <c r="A167" s="44" t="s">
        <v>195</v>
      </c>
      <c r="B167" s="51"/>
      <c r="C167" s="44" t="s">
        <v>17</v>
      </c>
      <c r="D167" s="35"/>
      <c r="E167" s="45">
        <f>265340+8151610</f>
        <v>8416950</v>
      </c>
      <c r="F167" s="45"/>
      <c r="G167" s="45">
        <v>11006676</v>
      </c>
      <c r="H167" s="45"/>
      <c r="I167" s="45">
        <v>920919</v>
      </c>
      <c r="J167" s="45"/>
      <c r="K167" s="45">
        <v>1422008</v>
      </c>
      <c r="L167" s="45"/>
      <c r="M167" s="45">
        <f>269780+15846+2379</f>
        <v>288005</v>
      </c>
      <c r="N167" s="45"/>
      <c r="O167" s="45">
        <v>0</v>
      </c>
      <c r="P167" s="45"/>
      <c r="Q167" s="45">
        <v>9296663</v>
      </c>
      <c r="R167" s="45"/>
      <c r="S167" s="45">
        <f t="shared" si="14"/>
        <v>9584668</v>
      </c>
      <c r="T167" s="45"/>
      <c r="U167" s="44">
        <f t="shared" si="15"/>
        <v>0</v>
      </c>
      <c r="V167" s="44">
        <f t="shared" si="16"/>
        <v>0</v>
      </c>
    </row>
    <row r="168" spans="1:22" s="121" customFormat="1" ht="12.75" hidden="1" customHeight="1">
      <c r="A168" s="44" t="s">
        <v>196</v>
      </c>
      <c r="B168" s="51"/>
      <c r="C168" s="44" t="s">
        <v>27</v>
      </c>
      <c r="D168" s="3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>
        <f t="shared" si="14"/>
        <v>0</v>
      </c>
      <c r="T168" s="45"/>
      <c r="U168" s="44">
        <f t="shared" si="15"/>
        <v>0</v>
      </c>
      <c r="V168" s="44">
        <f t="shared" si="16"/>
        <v>0</v>
      </c>
    </row>
    <row r="169" spans="1:22" s="121" customFormat="1" ht="12.75" hidden="1" customHeight="1">
      <c r="A169" s="44" t="s">
        <v>386</v>
      </c>
      <c r="B169" s="51"/>
      <c r="C169" s="44" t="s">
        <v>153</v>
      </c>
      <c r="D169" s="35"/>
      <c r="E169" s="45">
        <v>1183307</v>
      </c>
      <c r="F169" s="45"/>
      <c r="G169" s="45">
        <v>2579978</v>
      </c>
      <c r="H169" s="45"/>
      <c r="I169" s="45">
        <v>265110</v>
      </c>
      <c r="J169" s="45"/>
      <c r="K169" s="45">
        <v>982103</v>
      </c>
      <c r="L169" s="45"/>
      <c r="M169" s="45">
        <f>93284+54602+18812</f>
        <v>166698</v>
      </c>
      <c r="N169" s="45"/>
      <c r="O169" s="45">
        <v>0</v>
      </c>
      <c r="P169" s="45"/>
      <c r="Q169" s="45">
        <v>1431177</v>
      </c>
      <c r="R169" s="45"/>
      <c r="S169" s="45">
        <f>+Q169+O169+M169</f>
        <v>1597875</v>
      </c>
      <c r="T169" s="45"/>
      <c r="U169" s="44">
        <f t="shared" si="15"/>
        <v>0</v>
      </c>
      <c r="V169" s="44">
        <f t="shared" si="16"/>
        <v>0</v>
      </c>
    </row>
    <row r="170" spans="1:22" s="44" customFormat="1" ht="12.75" customHeight="1">
      <c r="A170" s="46" t="s">
        <v>197</v>
      </c>
      <c r="B170" s="46"/>
      <c r="C170" s="46" t="s">
        <v>163</v>
      </c>
      <c r="D170" s="64"/>
      <c r="E170" s="45">
        <f>3044328+11648622</f>
        <v>14692950</v>
      </c>
      <c r="F170" s="45"/>
      <c r="G170" s="45">
        <v>20316044</v>
      </c>
      <c r="H170" s="45"/>
      <c r="I170" s="45">
        <v>2195781</v>
      </c>
      <c r="J170" s="45"/>
      <c r="K170" s="45">
        <v>2953831</v>
      </c>
      <c r="L170" s="45"/>
      <c r="M170" s="45">
        <f>318562+105819+521317</f>
        <v>945698</v>
      </c>
      <c r="N170" s="45"/>
      <c r="O170" s="45">
        <v>0</v>
      </c>
      <c r="P170" s="45"/>
      <c r="Q170" s="45">
        <v>16416515</v>
      </c>
      <c r="R170" s="45"/>
      <c r="S170" s="45">
        <f t="shared" si="14"/>
        <v>17362213</v>
      </c>
      <c r="T170" s="45"/>
      <c r="U170" s="44">
        <f t="shared" si="15"/>
        <v>0</v>
      </c>
      <c r="V170" s="44">
        <f t="shared" si="16"/>
        <v>0</v>
      </c>
    </row>
    <row r="171" spans="1:22" s="44" customFormat="1" ht="12.75" customHeight="1">
      <c r="A171" s="44" t="s">
        <v>198</v>
      </c>
      <c r="B171" s="51"/>
      <c r="C171" s="44" t="s">
        <v>199</v>
      </c>
      <c r="D171" s="35"/>
      <c r="E171" s="45">
        <v>2172788</v>
      </c>
      <c r="F171" s="45"/>
      <c r="G171" s="45">
        <v>3811091</v>
      </c>
      <c r="H171" s="45"/>
      <c r="I171" s="45">
        <v>709094</v>
      </c>
      <c r="J171" s="45"/>
      <c r="K171" s="45">
        <v>950841</v>
      </c>
      <c r="L171" s="45"/>
      <c r="M171" s="45">
        <v>139093</v>
      </c>
      <c r="N171" s="45"/>
      <c r="O171" s="45">
        <v>0</v>
      </c>
      <c r="P171" s="45"/>
      <c r="Q171" s="45">
        <v>2721157</v>
      </c>
      <c r="R171" s="45"/>
      <c r="S171" s="45">
        <f t="shared" si="14"/>
        <v>2860250</v>
      </c>
      <c r="T171" s="45"/>
      <c r="U171" s="44">
        <f t="shared" si="15"/>
        <v>0</v>
      </c>
      <c r="V171" s="44">
        <f t="shared" si="16"/>
        <v>0</v>
      </c>
    </row>
    <row r="172" spans="1:22" s="44" customFormat="1" ht="12.75" customHeight="1">
      <c r="A172" s="44" t="s">
        <v>200</v>
      </c>
      <c r="B172" s="51"/>
      <c r="C172" s="44" t="s">
        <v>103</v>
      </c>
      <c r="D172" s="35"/>
      <c r="E172" s="45">
        <v>5141532</v>
      </c>
      <c r="F172" s="45"/>
      <c r="G172" s="45">
        <v>9007162</v>
      </c>
      <c r="H172" s="45"/>
      <c r="I172" s="45">
        <v>2316454</v>
      </c>
      <c r="J172" s="45"/>
      <c r="K172" s="45">
        <v>2768178</v>
      </c>
      <c r="L172" s="45"/>
      <c r="M172" s="45">
        <f>160503+773804</f>
        <v>934307</v>
      </c>
      <c r="N172" s="45"/>
      <c r="O172" s="45">
        <v>0</v>
      </c>
      <c r="P172" s="45"/>
      <c r="Q172" s="45">
        <v>5304677</v>
      </c>
      <c r="R172" s="45"/>
      <c r="S172" s="45">
        <f t="shared" si="14"/>
        <v>6238984</v>
      </c>
      <c r="T172" s="45"/>
      <c r="U172" s="44">
        <f t="shared" si="15"/>
        <v>0</v>
      </c>
      <c r="V172" s="44">
        <f t="shared" si="16"/>
        <v>0</v>
      </c>
    </row>
    <row r="173" spans="1:22" s="44" customFormat="1" ht="12.75" customHeight="1">
      <c r="A173" s="44" t="s">
        <v>201</v>
      </c>
      <c r="C173" s="44" t="s">
        <v>92</v>
      </c>
      <c r="D173" s="35"/>
      <c r="E173" s="45">
        <f>689437+4494416</f>
        <v>5183853</v>
      </c>
      <c r="F173" s="45"/>
      <c r="G173" s="45">
        <v>10083796</v>
      </c>
      <c r="H173" s="45"/>
      <c r="I173" s="45">
        <v>1420464</v>
      </c>
      <c r="J173" s="45"/>
      <c r="K173" s="45">
        <v>2649304</v>
      </c>
      <c r="L173" s="45"/>
      <c r="M173" s="45">
        <f>530918+89896+182661</f>
        <v>803475</v>
      </c>
      <c r="N173" s="45"/>
      <c r="O173" s="45">
        <v>0</v>
      </c>
      <c r="P173" s="45"/>
      <c r="Q173" s="45">
        <v>6631017</v>
      </c>
      <c r="R173" s="45"/>
      <c r="S173" s="45">
        <f t="shared" si="14"/>
        <v>7434492</v>
      </c>
      <c r="T173" s="45"/>
      <c r="U173" s="44">
        <f t="shared" si="15"/>
        <v>0</v>
      </c>
      <c r="V173" s="44">
        <f t="shared" si="16"/>
        <v>0</v>
      </c>
    </row>
    <row r="174" spans="1:22" s="44" customFormat="1" ht="12.75" hidden="1" customHeight="1">
      <c r="A174" s="44" t="s">
        <v>202</v>
      </c>
      <c r="B174" s="51"/>
      <c r="C174" s="44" t="s">
        <v>27</v>
      </c>
      <c r="D174" s="3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>
        <f t="shared" si="14"/>
        <v>0</v>
      </c>
      <c r="T174" s="45"/>
      <c r="U174" s="44">
        <f t="shared" si="15"/>
        <v>0</v>
      </c>
      <c r="V174" s="44">
        <f t="shared" si="16"/>
        <v>0</v>
      </c>
    </row>
    <row r="175" spans="1:22" s="44" customFormat="1" ht="12.75" customHeight="1">
      <c r="A175" s="46" t="s">
        <v>203</v>
      </c>
      <c r="B175" s="46"/>
      <c r="C175" s="46" t="s">
        <v>27</v>
      </c>
      <c r="D175" s="64"/>
      <c r="E175" s="45">
        <v>734111</v>
      </c>
      <c r="F175" s="45"/>
      <c r="G175" s="45">
        <v>8950637</v>
      </c>
      <c r="H175" s="45"/>
      <c r="I175" s="45">
        <v>6854500</v>
      </c>
      <c r="J175" s="45"/>
      <c r="K175" s="45">
        <v>8775006</v>
      </c>
      <c r="L175" s="45"/>
      <c r="M175" s="45">
        <f>26559+49965+50849</f>
        <v>127373</v>
      </c>
      <c r="N175" s="45"/>
      <c r="O175" s="45">
        <v>0</v>
      </c>
      <c r="P175" s="45"/>
      <c r="Q175" s="45">
        <v>48258</v>
      </c>
      <c r="R175" s="45"/>
      <c r="S175" s="45">
        <f t="shared" si="14"/>
        <v>175631</v>
      </c>
      <c r="T175" s="45"/>
      <c r="U175" s="44">
        <f t="shared" si="15"/>
        <v>0</v>
      </c>
      <c r="V175" s="44">
        <f t="shared" si="16"/>
        <v>0</v>
      </c>
    </row>
    <row r="176" spans="1:22" s="44" customFormat="1" ht="12.75" customHeight="1">
      <c r="A176" s="44" t="s">
        <v>204</v>
      </c>
      <c r="B176" s="51"/>
      <c r="C176" s="44" t="s">
        <v>125</v>
      </c>
      <c r="D176" s="35"/>
      <c r="E176" s="45">
        <v>789582</v>
      </c>
      <c r="F176" s="45"/>
      <c r="G176" s="45">
        <v>1855188</v>
      </c>
      <c r="H176" s="45"/>
      <c r="I176" s="45">
        <v>165097</v>
      </c>
      <c r="J176" s="45"/>
      <c r="K176" s="45">
        <v>1111622</v>
      </c>
      <c r="L176" s="45"/>
      <c r="M176" s="45">
        <v>5696</v>
      </c>
      <c r="N176" s="45"/>
      <c r="O176" s="45">
        <v>0</v>
      </c>
      <c r="P176" s="45"/>
      <c r="Q176" s="45">
        <v>737870</v>
      </c>
      <c r="R176" s="45"/>
      <c r="S176" s="45">
        <f t="shared" si="14"/>
        <v>743566</v>
      </c>
      <c r="T176" s="45"/>
      <c r="U176" s="44">
        <f t="shared" si="15"/>
        <v>0</v>
      </c>
      <c r="V176" s="44">
        <f t="shared" si="16"/>
        <v>0</v>
      </c>
    </row>
    <row r="177" spans="1:22" s="46" customFormat="1" ht="12.75" customHeight="1">
      <c r="A177" s="46" t="s">
        <v>205</v>
      </c>
      <c r="C177" s="46" t="s">
        <v>27</v>
      </c>
      <c r="D177" s="64"/>
      <c r="E177" s="45">
        <v>4500278</v>
      </c>
      <c r="F177" s="45"/>
      <c r="G177" s="45">
        <v>7840147</v>
      </c>
      <c r="H177" s="45"/>
      <c r="I177" s="45">
        <v>2318111</v>
      </c>
      <c r="J177" s="45"/>
      <c r="K177" s="45">
        <v>2828810</v>
      </c>
      <c r="L177" s="45"/>
      <c r="M177" s="45">
        <f>281298+219373</f>
        <v>500671</v>
      </c>
      <c r="N177" s="45"/>
      <c r="O177" s="45">
        <v>0</v>
      </c>
      <c r="P177" s="45"/>
      <c r="Q177" s="45">
        <v>4510666</v>
      </c>
      <c r="R177" s="45"/>
      <c r="S177" s="45">
        <f t="shared" si="14"/>
        <v>5011337</v>
      </c>
      <c r="T177" s="45"/>
      <c r="U177" s="44">
        <f t="shared" si="15"/>
        <v>0</v>
      </c>
      <c r="V177" s="44">
        <f t="shared" si="16"/>
        <v>0</v>
      </c>
    </row>
    <row r="178" spans="1:22" s="44" customFormat="1" ht="12.75" customHeight="1">
      <c r="A178" s="44" t="s">
        <v>206</v>
      </c>
      <c r="C178" s="44" t="s">
        <v>47</v>
      </c>
      <c r="D178" s="35"/>
      <c r="E178" s="45">
        <f>62712+4320648</f>
        <v>4383360</v>
      </c>
      <c r="F178" s="45"/>
      <c r="G178" s="45">
        <v>8653489</v>
      </c>
      <c r="H178" s="45"/>
      <c r="I178" s="45">
        <v>1957818</v>
      </c>
      <c r="J178" s="45"/>
      <c r="K178" s="45">
        <v>2705191</v>
      </c>
      <c r="L178" s="45"/>
      <c r="M178" s="45">
        <f>227649+108340</f>
        <v>335989</v>
      </c>
      <c r="N178" s="45"/>
      <c r="O178" s="45">
        <v>0</v>
      </c>
      <c r="P178" s="45"/>
      <c r="Q178" s="45">
        <v>5612309</v>
      </c>
      <c r="R178" s="45"/>
      <c r="S178" s="45">
        <f t="shared" si="14"/>
        <v>5948298</v>
      </c>
      <c r="T178" s="45"/>
      <c r="U178" s="44">
        <f t="shared" si="15"/>
        <v>0</v>
      </c>
      <c r="V178" s="44">
        <f t="shared" si="16"/>
        <v>0</v>
      </c>
    </row>
    <row r="179" spans="1:22" s="44" customFormat="1" ht="12.75" customHeight="1">
      <c r="A179" s="44" t="s">
        <v>207</v>
      </c>
      <c r="B179" s="51"/>
      <c r="C179" s="44" t="s">
        <v>102</v>
      </c>
      <c r="D179" s="35"/>
      <c r="E179" s="45">
        <f>3575+2282464</f>
        <v>2286039</v>
      </c>
      <c r="F179" s="45"/>
      <c r="G179" s="45">
        <v>4524652</v>
      </c>
      <c r="H179" s="45"/>
      <c r="I179" s="45">
        <v>1410441</v>
      </c>
      <c r="J179" s="45"/>
      <c r="K179" s="45">
        <v>1647587</v>
      </c>
      <c r="L179" s="45"/>
      <c r="M179" s="45">
        <f>33282+3575</f>
        <v>36857</v>
      </c>
      <c r="N179" s="45"/>
      <c r="O179" s="45">
        <v>0</v>
      </c>
      <c r="P179" s="45"/>
      <c r="Q179" s="45">
        <v>2840208</v>
      </c>
      <c r="R179" s="45"/>
      <c r="S179" s="45">
        <f t="shared" si="14"/>
        <v>2877065</v>
      </c>
      <c r="T179" s="45"/>
      <c r="U179" s="44">
        <f t="shared" si="15"/>
        <v>0</v>
      </c>
      <c r="V179" s="44">
        <f t="shared" si="16"/>
        <v>0</v>
      </c>
    </row>
    <row r="180" spans="1:22" s="44" customFormat="1" ht="12.75" customHeight="1">
      <c r="A180" s="44" t="s">
        <v>208</v>
      </c>
      <c r="B180" s="51"/>
      <c r="C180" s="44" t="s">
        <v>209</v>
      </c>
      <c r="D180" s="35"/>
      <c r="E180" s="45">
        <f>3982925+1654966</f>
        <v>5637891</v>
      </c>
      <c r="F180" s="45"/>
      <c r="G180" s="45">
        <v>21798460</v>
      </c>
      <c r="H180" s="45"/>
      <c r="I180" s="45">
        <v>2366560</v>
      </c>
      <c r="J180" s="45"/>
      <c r="K180" s="45">
        <v>2976823</v>
      </c>
      <c r="L180" s="45"/>
      <c r="M180" s="45">
        <f>428757+10391096+14684</f>
        <v>10834537</v>
      </c>
      <c r="N180" s="45"/>
      <c r="O180" s="45">
        <v>0</v>
      </c>
      <c r="P180" s="45"/>
      <c r="Q180" s="45">
        <v>7987100</v>
      </c>
      <c r="R180" s="45"/>
      <c r="S180" s="45">
        <f t="shared" si="14"/>
        <v>18821637</v>
      </c>
      <c r="T180" s="45"/>
      <c r="U180" s="44">
        <f t="shared" si="15"/>
        <v>0</v>
      </c>
      <c r="V180" s="44">
        <f t="shared" si="16"/>
        <v>0</v>
      </c>
    </row>
    <row r="181" spans="1:22" s="46" customFormat="1" ht="12.75" customHeight="1">
      <c r="A181" s="44" t="s">
        <v>210</v>
      </c>
      <c r="B181" s="44"/>
      <c r="C181" s="44" t="s">
        <v>211</v>
      </c>
      <c r="D181" s="35"/>
      <c r="E181" s="45">
        <v>1027930</v>
      </c>
      <c r="F181" s="45"/>
      <c r="G181" s="45">
        <v>2688344</v>
      </c>
      <c r="H181" s="45"/>
      <c r="I181" s="45">
        <v>1205056</v>
      </c>
      <c r="J181" s="45"/>
      <c r="K181" s="45">
        <v>1533474</v>
      </c>
      <c r="L181" s="45"/>
      <c r="M181" s="45">
        <f>27761+18243</f>
        <v>46004</v>
      </c>
      <c r="N181" s="45"/>
      <c r="O181" s="45">
        <v>0</v>
      </c>
      <c r="P181" s="45"/>
      <c r="Q181" s="45">
        <v>1108866</v>
      </c>
      <c r="R181" s="45"/>
      <c r="S181" s="45">
        <f t="shared" si="14"/>
        <v>1154870</v>
      </c>
      <c r="T181" s="45"/>
      <c r="U181" s="44">
        <f t="shared" si="15"/>
        <v>0</v>
      </c>
      <c r="V181" s="44">
        <f t="shared" si="16"/>
        <v>0</v>
      </c>
    </row>
    <row r="182" spans="1:22" s="44" customFormat="1" ht="12.75" customHeight="1">
      <c r="A182" s="44" t="s">
        <v>212</v>
      </c>
      <c r="B182" s="51"/>
      <c r="C182" s="44" t="s">
        <v>213</v>
      </c>
      <c r="D182" s="35"/>
      <c r="E182" s="45">
        <v>81054</v>
      </c>
      <c r="F182" s="45"/>
      <c r="G182" s="45">
        <v>3679210</v>
      </c>
      <c r="H182" s="45"/>
      <c r="I182" s="45">
        <v>2534194</v>
      </c>
      <c r="J182" s="45"/>
      <c r="K182" s="45">
        <v>3415557</v>
      </c>
      <c r="L182" s="45"/>
      <c r="M182" s="45">
        <f>34565+8910+25333</f>
        <v>68808</v>
      </c>
      <c r="N182" s="45"/>
      <c r="O182" s="45">
        <v>0</v>
      </c>
      <c r="P182" s="45"/>
      <c r="Q182" s="45">
        <v>194845</v>
      </c>
      <c r="R182" s="45"/>
      <c r="S182" s="45">
        <f t="shared" si="14"/>
        <v>263653</v>
      </c>
      <c r="T182" s="45"/>
      <c r="U182" s="44">
        <f t="shared" si="15"/>
        <v>0</v>
      </c>
      <c r="V182" s="44">
        <f t="shared" si="16"/>
        <v>0</v>
      </c>
    </row>
    <row r="183" spans="1:22" s="44" customFormat="1" ht="12.75" customHeight="1">
      <c r="A183" s="44" t="s">
        <v>214</v>
      </c>
      <c r="C183" s="44" t="s">
        <v>86</v>
      </c>
      <c r="D183" s="35"/>
      <c r="E183" s="45">
        <v>6476710</v>
      </c>
      <c r="F183" s="45"/>
      <c r="G183" s="45">
        <v>9134360</v>
      </c>
      <c r="H183" s="45"/>
      <c r="I183" s="45">
        <v>1951772</v>
      </c>
      <c r="J183" s="45"/>
      <c r="K183" s="45">
        <v>2290292</v>
      </c>
      <c r="L183" s="45"/>
      <c r="M183" s="45">
        <f>248539+27031+201640</f>
        <v>477210</v>
      </c>
      <c r="N183" s="45"/>
      <c r="O183" s="45">
        <v>0</v>
      </c>
      <c r="P183" s="45"/>
      <c r="Q183" s="45">
        <v>6366858</v>
      </c>
      <c r="R183" s="45"/>
      <c r="S183" s="45">
        <f t="shared" si="14"/>
        <v>6844068</v>
      </c>
      <c r="T183" s="45"/>
      <c r="U183" s="44">
        <f t="shared" si="15"/>
        <v>0</v>
      </c>
      <c r="V183" s="44">
        <f t="shared" si="16"/>
        <v>0</v>
      </c>
    </row>
    <row r="184" spans="1:22" s="46" customFormat="1" ht="12.75" customHeight="1">
      <c r="A184" s="44" t="s">
        <v>215</v>
      </c>
      <c r="B184" s="44"/>
      <c r="C184" s="44" t="s">
        <v>22</v>
      </c>
      <c r="D184" s="35"/>
      <c r="E184" s="45">
        <v>3552186</v>
      </c>
      <c r="F184" s="45"/>
      <c r="G184" s="45">
        <v>5959279</v>
      </c>
      <c r="H184" s="45"/>
      <c r="I184" s="45">
        <v>1432285</v>
      </c>
      <c r="J184" s="45"/>
      <c r="K184" s="45">
        <v>2008132</v>
      </c>
      <c r="L184" s="45"/>
      <c r="M184" s="45">
        <f>23659+3859</f>
        <v>27518</v>
      </c>
      <c r="N184" s="45"/>
      <c r="O184" s="45">
        <v>0</v>
      </c>
      <c r="P184" s="45"/>
      <c r="Q184" s="45">
        <v>3923629</v>
      </c>
      <c r="R184" s="45"/>
      <c r="S184" s="45">
        <f t="shared" si="14"/>
        <v>3951147</v>
      </c>
      <c r="T184" s="45"/>
      <c r="U184" s="44">
        <f t="shared" si="15"/>
        <v>0</v>
      </c>
      <c r="V184" s="44">
        <f t="shared" si="16"/>
        <v>0</v>
      </c>
    </row>
    <row r="185" spans="1:22" s="44" customFormat="1" ht="12.75" customHeight="1">
      <c r="A185" s="44" t="s">
        <v>216</v>
      </c>
      <c r="B185" s="51"/>
      <c r="C185" s="44" t="s">
        <v>45</v>
      </c>
      <c r="D185" s="35"/>
      <c r="E185" s="45">
        <v>1078946</v>
      </c>
      <c r="F185" s="45"/>
      <c r="G185" s="45">
        <v>3548912</v>
      </c>
      <c r="H185" s="45"/>
      <c r="I185" s="45">
        <v>1427356</v>
      </c>
      <c r="J185" s="45"/>
      <c r="K185" s="45">
        <v>2447500</v>
      </c>
      <c r="L185" s="45"/>
      <c r="M185" s="45">
        <f>12126+307878</f>
        <v>320004</v>
      </c>
      <c r="N185" s="45"/>
      <c r="O185" s="45">
        <v>0</v>
      </c>
      <c r="P185" s="45"/>
      <c r="Q185" s="45">
        <v>781408</v>
      </c>
      <c r="R185" s="45"/>
      <c r="S185" s="45">
        <f t="shared" si="14"/>
        <v>1101412</v>
      </c>
      <c r="T185" s="45"/>
      <c r="U185" s="44">
        <f t="shared" si="15"/>
        <v>0</v>
      </c>
      <c r="V185" s="44">
        <f t="shared" si="16"/>
        <v>0</v>
      </c>
    </row>
    <row r="186" spans="1:22" s="44" customFormat="1" ht="12.75" customHeight="1">
      <c r="A186" s="44" t="s">
        <v>217</v>
      </c>
      <c r="B186" s="51"/>
      <c r="C186" s="44" t="s">
        <v>43</v>
      </c>
      <c r="D186" s="35"/>
      <c r="E186" s="45">
        <f>861877+4909449</f>
        <v>5771326</v>
      </c>
      <c r="F186" s="45"/>
      <c r="G186" s="45">
        <v>9461643</v>
      </c>
      <c r="H186" s="45"/>
      <c r="I186" s="45">
        <v>1463032</v>
      </c>
      <c r="J186" s="45"/>
      <c r="K186" s="45">
        <v>2572841</v>
      </c>
      <c r="L186" s="45"/>
      <c r="M186" s="45">
        <f>231001+23768+5930</f>
        <v>260699</v>
      </c>
      <c r="N186" s="45"/>
      <c r="O186" s="45">
        <v>0</v>
      </c>
      <c r="P186" s="45"/>
      <c r="Q186" s="45">
        <v>6628103</v>
      </c>
      <c r="R186" s="45"/>
      <c r="S186" s="45">
        <f t="shared" si="14"/>
        <v>6888802</v>
      </c>
      <c r="T186" s="45"/>
      <c r="U186" s="44">
        <f t="shared" si="15"/>
        <v>0</v>
      </c>
      <c r="V186" s="44">
        <f t="shared" si="16"/>
        <v>0</v>
      </c>
    </row>
    <row r="187" spans="1:22" s="44" customFormat="1" ht="12.75" hidden="1" customHeight="1">
      <c r="A187" s="46" t="s">
        <v>218</v>
      </c>
      <c r="B187" s="46"/>
      <c r="C187" s="46" t="s">
        <v>27</v>
      </c>
      <c r="D187" s="64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>
        <f t="shared" si="14"/>
        <v>0</v>
      </c>
      <c r="T187" s="45"/>
      <c r="U187" s="44">
        <f t="shared" si="15"/>
        <v>0</v>
      </c>
      <c r="V187" s="44">
        <f t="shared" si="16"/>
        <v>0</v>
      </c>
    </row>
    <row r="188" spans="1:22" s="44" customFormat="1" ht="12.75" customHeight="1">
      <c r="A188" s="44" t="s">
        <v>219</v>
      </c>
      <c r="B188" s="51"/>
      <c r="C188" s="44" t="s">
        <v>199</v>
      </c>
      <c r="D188" s="35"/>
      <c r="E188" s="45">
        <v>795587</v>
      </c>
      <c r="F188" s="45"/>
      <c r="G188" s="45">
        <v>1628483</v>
      </c>
      <c r="H188" s="45"/>
      <c r="I188" s="45">
        <v>496966</v>
      </c>
      <c r="J188" s="45"/>
      <c r="K188" s="45">
        <v>735354</v>
      </c>
      <c r="L188" s="45"/>
      <c r="M188" s="45">
        <v>8623</v>
      </c>
      <c r="N188" s="45"/>
      <c r="O188" s="45">
        <f>96660+133149</f>
        <v>229809</v>
      </c>
      <c r="P188" s="45"/>
      <c r="Q188" s="45">
        <v>654697</v>
      </c>
      <c r="R188" s="45"/>
      <c r="S188" s="45">
        <f t="shared" si="14"/>
        <v>893129</v>
      </c>
      <c r="T188" s="45"/>
      <c r="U188" s="44">
        <f t="shared" si="15"/>
        <v>0</v>
      </c>
      <c r="V188" s="44">
        <f t="shared" si="16"/>
        <v>0</v>
      </c>
    </row>
    <row r="189" spans="1:22" s="44" customFormat="1" ht="12.75" customHeight="1">
      <c r="A189" s="44" t="s">
        <v>220</v>
      </c>
      <c r="B189" s="51"/>
      <c r="C189" s="44" t="s">
        <v>66</v>
      </c>
      <c r="D189" s="35"/>
      <c r="E189" s="45">
        <v>6768749</v>
      </c>
      <c r="F189" s="45"/>
      <c r="G189" s="45">
        <v>9285839</v>
      </c>
      <c r="H189" s="45"/>
      <c r="I189" s="45">
        <v>1939261</v>
      </c>
      <c r="J189" s="45"/>
      <c r="K189" s="45">
        <v>2093952</v>
      </c>
      <c r="L189" s="45"/>
      <c r="M189" s="45">
        <v>110780</v>
      </c>
      <c r="N189" s="45"/>
      <c r="O189" s="45">
        <v>579433</v>
      </c>
      <c r="P189" s="45"/>
      <c r="Q189" s="45">
        <v>6501674</v>
      </c>
      <c r="R189" s="45"/>
      <c r="S189" s="45">
        <f>+Q189+O189+M189</f>
        <v>7191887</v>
      </c>
      <c r="T189" s="45"/>
      <c r="U189" s="44">
        <f t="shared" si="15"/>
        <v>0</v>
      </c>
      <c r="V189" s="44">
        <f t="shared" si="16"/>
        <v>0</v>
      </c>
    </row>
    <row r="190" spans="1:22" s="44" customFormat="1" ht="12.75" customHeight="1">
      <c r="A190" s="44" t="s">
        <v>221</v>
      </c>
      <c r="B190" s="51"/>
      <c r="C190" s="44" t="s">
        <v>27</v>
      </c>
      <c r="D190" s="35"/>
      <c r="E190" s="45">
        <v>5111579</v>
      </c>
      <c r="F190" s="45"/>
      <c r="G190" s="45">
        <v>13804115</v>
      </c>
      <c r="H190" s="45"/>
      <c r="I190" s="45">
        <v>6297029</v>
      </c>
      <c r="J190" s="45"/>
      <c r="K190" s="45">
        <v>7290348</v>
      </c>
      <c r="L190" s="45"/>
      <c r="M190" s="45">
        <f>201428+33760</f>
        <v>235188</v>
      </c>
      <c r="N190" s="45"/>
      <c r="O190" s="45">
        <v>0</v>
      </c>
      <c r="P190" s="45"/>
      <c r="Q190" s="45">
        <v>6278579</v>
      </c>
      <c r="R190" s="45"/>
      <c r="S190" s="45">
        <f>+Q190+O190+M190</f>
        <v>6513767</v>
      </c>
      <c r="T190" s="45"/>
      <c r="U190" s="44">
        <f t="shared" si="15"/>
        <v>0</v>
      </c>
      <c r="V190" s="44">
        <f t="shared" si="16"/>
        <v>0</v>
      </c>
    </row>
    <row r="191" spans="1:22" s="44" customFormat="1" ht="12.75" customHeight="1">
      <c r="A191" s="44" t="s">
        <v>222</v>
      </c>
      <c r="C191" s="44" t="s">
        <v>47</v>
      </c>
      <c r="D191" s="35"/>
      <c r="E191" s="45">
        <v>2597815</v>
      </c>
      <c r="F191" s="45"/>
      <c r="G191" s="45">
        <v>4407072</v>
      </c>
      <c r="H191" s="45"/>
      <c r="I191" s="45">
        <v>1139150</v>
      </c>
      <c r="J191" s="45"/>
      <c r="K191" s="45">
        <v>1540159</v>
      </c>
      <c r="L191" s="45"/>
      <c r="M191" s="45">
        <v>10822</v>
      </c>
      <c r="N191" s="45"/>
      <c r="O191" s="45">
        <v>0</v>
      </c>
      <c r="P191" s="45"/>
      <c r="Q191" s="45">
        <v>2856091</v>
      </c>
      <c r="R191" s="45"/>
      <c r="S191" s="45">
        <f t="shared" si="14"/>
        <v>2866913</v>
      </c>
      <c r="T191" s="45"/>
      <c r="U191" s="44">
        <f t="shared" si="15"/>
        <v>0</v>
      </c>
      <c r="V191" s="44">
        <f t="shared" si="16"/>
        <v>0</v>
      </c>
    </row>
    <row r="192" spans="1:22" s="44" customFormat="1" ht="12.75" customHeight="1">
      <c r="A192" s="44" t="s">
        <v>223</v>
      </c>
      <c r="B192" s="51"/>
      <c r="C192" s="44" t="s">
        <v>94</v>
      </c>
      <c r="D192" s="35"/>
      <c r="E192" s="45">
        <v>629681</v>
      </c>
      <c r="F192" s="45"/>
      <c r="G192" s="45">
        <v>1698478</v>
      </c>
      <c r="H192" s="45"/>
      <c r="I192" s="45">
        <v>833267</v>
      </c>
      <c r="J192" s="45"/>
      <c r="K192" s="45">
        <v>1033802</v>
      </c>
      <c r="L192" s="45"/>
      <c r="M192" s="45">
        <f>45981+44710+55390</f>
        <v>146081</v>
      </c>
      <c r="N192" s="45"/>
      <c r="O192" s="45">
        <v>0</v>
      </c>
      <c r="P192" s="45"/>
      <c r="Q192" s="45">
        <v>518595</v>
      </c>
      <c r="R192" s="45"/>
      <c r="S192" s="45">
        <f t="shared" si="14"/>
        <v>664676</v>
      </c>
      <c r="T192" s="45"/>
      <c r="U192" s="44">
        <f t="shared" si="15"/>
        <v>0</v>
      </c>
      <c r="V192" s="44">
        <f t="shared" si="16"/>
        <v>0</v>
      </c>
    </row>
    <row r="193" spans="1:22" s="44" customFormat="1" ht="12.75" customHeight="1">
      <c r="A193" s="44" t="s">
        <v>76</v>
      </c>
      <c r="B193" s="51"/>
      <c r="C193" s="44" t="s">
        <v>132</v>
      </c>
      <c r="D193" s="35"/>
      <c r="E193" s="45">
        <f>3838647+83139</f>
        <v>3921786</v>
      </c>
      <c r="F193" s="45"/>
      <c r="G193" s="45">
        <v>9627631</v>
      </c>
      <c r="H193" s="45"/>
      <c r="I193" s="45">
        <v>4686805</v>
      </c>
      <c r="J193" s="45"/>
      <c r="K193" s="45">
        <v>5803212</v>
      </c>
      <c r="L193" s="45"/>
      <c r="M193" s="45">
        <f>28324+22980+83139</f>
        <v>134443</v>
      </c>
      <c r="N193" s="45"/>
      <c r="O193" s="45">
        <v>0</v>
      </c>
      <c r="P193" s="45"/>
      <c r="Q193" s="45">
        <v>3689976</v>
      </c>
      <c r="R193" s="45"/>
      <c r="S193" s="45">
        <f t="shared" si="14"/>
        <v>3824419</v>
      </c>
      <c r="T193" s="45"/>
      <c r="U193" s="44">
        <f t="shared" si="15"/>
        <v>0</v>
      </c>
      <c r="V193" s="44">
        <f t="shared" si="16"/>
        <v>0</v>
      </c>
    </row>
    <row r="194" spans="1:22" s="44" customFormat="1" ht="12.75" customHeight="1">
      <c r="A194" s="44" t="s">
        <v>224</v>
      </c>
      <c r="B194" s="51"/>
      <c r="C194" s="44" t="s">
        <v>27</v>
      </c>
      <c r="D194" s="35"/>
      <c r="E194" s="45">
        <v>5306113</v>
      </c>
      <c r="F194" s="45"/>
      <c r="G194" s="45">
        <v>8910502</v>
      </c>
      <c r="H194" s="45"/>
      <c r="I194" s="45">
        <v>2265575</v>
      </c>
      <c r="J194" s="45"/>
      <c r="K194" s="45">
        <v>2965498</v>
      </c>
      <c r="L194" s="45"/>
      <c r="M194" s="45">
        <f>10541+17199+181333</f>
        <v>209073</v>
      </c>
      <c r="N194" s="45"/>
      <c r="O194" s="45">
        <v>0</v>
      </c>
      <c r="P194" s="45"/>
      <c r="Q194" s="45">
        <v>5735931</v>
      </c>
      <c r="R194" s="45"/>
      <c r="S194" s="45">
        <f>+Q194+O194+M194</f>
        <v>5945004</v>
      </c>
      <c r="T194" s="45"/>
      <c r="U194" s="44">
        <f t="shared" si="15"/>
        <v>0</v>
      </c>
      <c r="V194" s="44">
        <f t="shared" si="16"/>
        <v>0</v>
      </c>
    </row>
    <row r="195" spans="1:22" s="44" customFormat="1" ht="12.75" customHeight="1">
      <c r="B195" s="51"/>
      <c r="D195" s="3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8" t="s">
        <v>484</v>
      </c>
      <c r="T195" s="45"/>
    </row>
    <row r="196" spans="1:22" s="44" customFormat="1" ht="12.75" customHeight="1">
      <c r="A196" s="44" t="s">
        <v>225</v>
      </c>
      <c r="C196" s="44" t="s">
        <v>27</v>
      </c>
      <c r="D196" s="35"/>
      <c r="E196" s="94">
        <v>8331980</v>
      </c>
      <c r="F196" s="94"/>
      <c r="G196" s="94">
        <v>28017048</v>
      </c>
      <c r="H196" s="94"/>
      <c r="I196" s="94">
        <v>13797431</v>
      </c>
      <c r="J196" s="94"/>
      <c r="K196" s="94">
        <v>16290510</v>
      </c>
      <c r="L196" s="94"/>
      <c r="M196" s="94">
        <v>658094</v>
      </c>
      <c r="N196" s="94"/>
      <c r="O196" s="94">
        <v>0</v>
      </c>
      <c r="P196" s="94"/>
      <c r="Q196" s="94">
        <v>11068444</v>
      </c>
      <c r="R196" s="94"/>
      <c r="S196" s="94">
        <f t="shared" si="14"/>
        <v>11726538</v>
      </c>
      <c r="T196" s="94"/>
      <c r="U196" s="46">
        <f t="shared" si="15"/>
        <v>0</v>
      </c>
      <c r="V196" s="46">
        <f t="shared" si="16"/>
        <v>0</v>
      </c>
    </row>
    <row r="197" spans="1:22" s="44" customFormat="1" ht="12.75" customHeight="1">
      <c r="A197" s="46" t="s">
        <v>226</v>
      </c>
      <c r="B197" s="46"/>
      <c r="C197" s="46" t="s">
        <v>45</v>
      </c>
      <c r="D197" s="64"/>
      <c r="E197" s="45">
        <v>3812176</v>
      </c>
      <c r="F197" s="45"/>
      <c r="G197" s="45">
        <v>6898662</v>
      </c>
      <c r="H197" s="45"/>
      <c r="I197" s="45">
        <v>1038659</v>
      </c>
      <c r="J197" s="45"/>
      <c r="K197" s="45">
        <v>1782772</v>
      </c>
      <c r="L197" s="45"/>
      <c r="M197" s="45">
        <f>160595+8664</f>
        <v>169259</v>
      </c>
      <c r="N197" s="45"/>
      <c r="O197" s="45">
        <v>0</v>
      </c>
      <c r="P197" s="45"/>
      <c r="Q197" s="45">
        <v>4946631</v>
      </c>
      <c r="R197" s="45"/>
      <c r="S197" s="45">
        <f t="shared" si="14"/>
        <v>5115890</v>
      </c>
      <c r="T197" s="45"/>
      <c r="U197" s="44">
        <f t="shared" si="15"/>
        <v>0</v>
      </c>
      <c r="V197" s="44">
        <f t="shared" si="16"/>
        <v>0</v>
      </c>
    </row>
    <row r="198" spans="1:22" s="46" customFormat="1" ht="12.75" customHeight="1">
      <c r="A198" s="46" t="s">
        <v>227</v>
      </c>
      <c r="B198" s="66"/>
      <c r="C198" s="46" t="s">
        <v>17</v>
      </c>
      <c r="D198" s="64"/>
      <c r="E198" s="45">
        <v>303723</v>
      </c>
      <c r="F198" s="45"/>
      <c r="G198" s="45">
        <v>2162332</v>
      </c>
      <c r="H198" s="45"/>
      <c r="I198" s="45">
        <v>1608580</v>
      </c>
      <c r="J198" s="45"/>
      <c r="K198" s="45">
        <v>1848427</v>
      </c>
      <c r="L198" s="45"/>
      <c r="M198" s="45">
        <f>3241+19300+4160</f>
        <v>26701</v>
      </c>
      <c r="N198" s="45"/>
      <c r="O198" s="45">
        <v>0</v>
      </c>
      <c r="P198" s="45"/>
      <c r="Q198" s="45">
        <v>287204</v>
      </c>
      <c r="R198" s="45"/>
      <c r="S198" s="45">
        <f t="shared" si="14"/>
        <v>313905</v>
      </c>
      <c r="T198" s="45"/>
      <c r="U198" s="44">
        <f t="shared" si="15"/>
        <v>0</v>
      </c>
      <c r="V198" s="44">
        <f t="shared" si="16"/>
        <v>0</v>
      </c>
    </row>
    <row r="199" spans="1:22" s="44" customFormat="1" ht="12.75" customHeight="1">
      <c r="A199" s="44" t="s">
        <v>228</v>
      </c>
      <c r="B199" s="51"/>
      <c r="C199" s="44" t="s">
        <v>153</v>
      </c>
      <c r="D199" s="35"/>
      <c r="E199" s="45">
        <v>676751</v>
      </c>
      <c r="F199" s="45"/>
      <c r="G199" s="45">
        <v>1770535</v>
      </c>
      <c r="H199" s="45"/>
      <c r="I199" s="45">
        <v>342378</v>
      </c>
      <c r="J199" s="45"/>
      <c r="K199" s="45">
        <v>840229</v>
      </c>
      <c r="L199" s="45"/>
      <c r="M199" s="45">
        <f>35508+32772+18927</f>
        <v>87207</v>
      </c>
      <c r="N199" s="45"/>
      <c r="O199" s="45">
        <v>0</v>
      </c>
      <c r="P199" s="45"/>
      <c r="Q199" s="45">
        <v>843099</v>
      </c>
      <c r="R199" s="45"/>
      <c r="S199" s="45">
        <f t="shared" si="14"/>
        <v>930306</v>
      </c>
      <c r="T199" s="45"/>
      <c r="U199" s="44">
        <f t="shared" si="15"/>
        <v>0</v>
      </c>
      <c r="V199" s="44">
        <f t="shared" si="16"/>
        <v>0</v>
      </c>
    </row>
    <row r="200" spans="1:22" s="44" customFormat="1" ht="12.75" customHeight="1">
      <c r="A200" s="44" t="s">
        <v>229</v>
      </c>
      <c r="B200" s="51"/>
      <c r="C200" s="44" t="s">
        <v>228</v>
      </c>
      <c r="D200" s="35"/>
      <c r="E200" s="45">
        <f>1522512+3690447</f>
        <v>5212959</v>
      </c>
      <c r="F200" s="45"/>
      <c r="G200" s="45">
        <v>7948307</v>
      </c>
      <c r="H200" s="45"/>
      <c r="I200" s="45">
        <v>2514652</v>
      </c>
      <c r="J200" s="45"/>
      <c r="K200" s="45">
        <v>3493749</v>
      </c>
      <c r="L200" s="45"/>
      <c r="M200" s="45">
        <f>48516+23793+125775</f>
        <v>198084</v>
      </c>
      <c r="N200" s="45"/>
      <c r="O200" s="45">
        <v>0</v>
      </c>
      <c r="P200" s="45"/>
      <c r="Q200" s="45">
        <v>4256474</v>
      </c>
      <c r="R200" s="45"/>
      <c r="S200" s="45">
        <f t="shared" si="14"/>
        <v>4454558</v>
      </c>
      <c r="T200" s="45"/>
      <c r="U200" s="44">
        <f t="shared" si="15"/>
        <v>0</v>
      </c>
      <c r="V200" s="44">
        <f t="shared" si="16"/>
        <v>0</v>
      </c>
    </row>
    <row r="201" spans="1:22" s="44" customFormat="1" ht="12.75" customHeight="1">
      <c r="A201" s="44" t="s">
        <v>230</v>
      </c>
      <c r="C201" s="44" t="s">
        <v>45</v>
      </c>
      <c r="D201" s="35"/>
      <c r="E201" s="45">
        <f>937071+2659</f>
        <v>939730</v>
      </c>
      <c r="F201" s="45"/>
      <c r="G201" s="45">
        <v>2558376</v>
      </c>
      <c r="H201" s="45"/>
      <c r="I201" s="45">
        <v>1447866</v>
      </c>
      <c r="J201" s="45"/>
      <c r="K201" s="45">
        <v>1576131</v>
      </c>
      <c r="L201" s="45"/>
      <c r="M201" s="45">
        <v>24826</v>
      </c>
      <c r="N201" s="45"/>
      <c r="O201" s="45">
        <v>0</v>
      </c>
      <c r="P201" s="45"/>
      <c r="Q201" s="45">
        <v>957419</v>
      </c>
      <c r="R201" s="45"/>
      <c r="S201" s="45">
        <f t="shared" si="14"/>
        <v>982245</v>
      </c>
      <c r="T201" s="45"/>
      <c r="U201" s="44">
        <f t="shared" si="15"/>
        <v>0</v>
      </c>
      <c r="V201" s="44">
        <f t="shared" si="16"/>
        <v>0</v>
      </c>
    </row>
    <row r="202" spans="1:22" s="44" customFormat="1" ht="12.75" customHeight="1">
      <c r="A202" s="44" t="s">
        <v>231</v>
      </c>
      <c r="C202" s="44" t="s">
        <v>27</v>
      </c>
      <c r="D202" s="35"/>
      <c r="E202" s="45">
        <f>25013225+80527</f>
        <v>25093752</v>
      </c>
      <c r="F202" s="45"/>
      <c r="G202" s="45">
        <v>30986509</v>
      </c>
      <c r="H202" s="45"/>
      <c r="I202" s="45">
        <v>2339490</v>
      </c>
      <c r="J202" s="45"/>
      <c r="K202" s="45">
        <v>4475093</v>
      </c>
      <c r="L202" s="45"/>
      <c r="M202" s="45">
        <f>326058+80527</f>
        <v>406585</v>
      </c>
      <c r="N202" s="45"/>
      <c r="O202" s="45">
        <v>0</v>
      </c>
      <c r="P202" s="45"/>
      <c r="Q202" s="45">
        <v>26104831</v>
      </c>
      <c r="R202" s="45"/>
      <c r="S202" s="45">
        <f t="shared" si="14"/>
        <v>26511416</v>
      </c>
      <c r="T202" s="45"/>
      <c r="U202" s="44">
        <f t="shared" si="15"/>
        <v>0</v>
      </c>
      <c r="V202" s="44">
        <f t="shared" si="16"/>
        <v>0</v>
      </c>
    </row>
    <row r="203" spans="1:22" s="44" customFormat="1" ht="12.75" customHeight="1">
      <c r="A203" s="44" t="s">
        <v>232</v>
      </c>
      <c r="B203" s="51"/>
      <c r="C203" s="44" t="s">
        <v>27</v>
      </c>
      <c r="D203" s="35"/>
      <c r="E203" s="45">
        <f>4904584+67187</f>
        <v>4971771</v>
      </c>
      <c r="F203" s="45"/>
      <c r="G203" s="45">
        <v>15008317</v>
      </c>
      <c r="H203" s="45"/>
      <c r="I203" s="45">
        <v>8920057</v>
      </c>
      <c r="J203" s="45"/>
      <c r="K203" s="45">
        <v>10060516</v>
      </c>
      <c r="L203" s="45"/>
      <c r="M203" s="45">
        <v>208058</v>
      </c>
      <c r="N203" s="45"/>
      <c r="O203" s="45">
        <v>40704</v>
      </c>
      <c r="P203" s="45"/>
      <c r="Q203" s="45">
        <v>4699039</v>
      </c>
      <c r="R203" s="45"/>
      <c r="S203" s="45">
        <f>+Q203+O203+M203</f>
        <v>4947801</v>
      </c>
      <c r="T203" s="45"/>
      <c r="U203" s="44">
        <f t="shared" si="15"/>
        <v>0</v>
      </c>
      <c r="V203" s="44">
        <f t="shared" si="16"/>
        <v>0</v>
      </c>
    </row>
    <row r="204" spans="1:22" s="44" customFormat="1" ht="12.75" customHeight="1">
      <c r="A204" s="44" t="s">
        <v>233</v>
      </c>
      <c r="B204" s="51"/>
      <c r="C204" s="44" t="s">
        <v>111</v>
      </c>
      <c r="D204" s="35"/>
      <c r="E204" s="45">
        <v>2757420</v>
      </c>
      <c r="F204" s="45"/>
      <c r="G204" s="45">
        <v>7769862</v>
      </c>
      <c r="H204" s="45"/>
      <c r="I204" s="45">
        <v>1184102</v>
      </c>
      <c r="J204" s="45"/>
      <c r="K204" s="45">
        <v>1577756</v>
      </c>
      <c r="L204" s="45"/>
      <c r="M204" s="45">
        <f>334217+122844+10064</f>
        <v>467125</v>
      </c>
      <c r="N204" s="45"/>
      <c r="O204" s="45">
        <v>0</v>
      </c>
      <c r="P204" s="45"/>
      <c r="Q204" s="45">
        <v>5724981</v>
      </c>
      <c r="R204" s="45"/>
      <c r="S204" s="45">
        <f t="shared" si="14"/>
        <v>6192106</v>
      </c>
      <c r="T204" s="45"/>
      <c r="U204" s="44">
        <f t="shared" si="15"/>
        <v>0</v>
      </c>
      <c r="V204" s="44">
        <f t="shared" si="16"/>
        <v>0</v>
      </c>
    </row>
    <row r="205" spans="1:22" s="44" customFormat="1" ht="12.75" customHeight="1">
      <c r="A205" s="46" t="s">
        <v>234</v>
      </c>
      <c r="B205" s="46"/>
      <c r="C205" s="46" t="s">
        <v>45</v>
      </c>
      <c r="D205" s="64"/>
      <c r="E205" s="45">
        <f>4484275+34559</f>
        <v>4518834</v>
      </c>
      <c r="F205" s="45"/>
      <c r="G205" s="45">
        <v>11321080</v>
      </c>
      <c r="H205" s="45"/>
      <c r="I205" s="45">
        <v>2837402</v>
      </c>
      <c r="J205" s="45"/>
      <c r="K205" s="45">
        <v>3965254</v>
      </c>
      <c r="L205" s="45"/>
      <c r="M205" s="45">
        <f>60832+270797+23548</f>
        <v>355177</v>
      </c>
      <c r="N205" s="45"/>
      <c r="O205" s="45">
        <f>875763+142386</f>
        <v>1018149</v>
      </c>
      <c r="P205" s="45"/>
      <c r="Q205" s="45">
        <v>5982500</v>
      </c>
      <c r="R205" s="45"/>
      <c r="S205" s="45">
        <f t="shared" si="14"/>
        <v>7355826</v>
      </c>
      <c r="T205" s="45"/>
      <c r="U205" s="44">
        <f t="shared" si="15"/>
        <v>0</v>
      </c>
      <c r="V205" s="44">
        <f t="shared" si="16"/>
        <v>0</v>
      </c>
    </row>
    <row r="206" spans="1:22" s="44" customFormat="1" ht="12.75" customHeight="1">
      <c r="A206" s="44" t="s">
        <v>235</v>
      </c>
      <c r="C206" s="44" t="s">
        <v>183</v>
      </c>
      <c r="D206" s="35"/>
      <c r="E206" s="45">
        <f>4540477+1978830</f>
        <v>6519307</v>
      </c>
      <c r="F206" s="45"/>
      <c r="G206" s="45">
        <v>16492177</v>
      </c>
      <c r="H206" s="45"/>
      <c r="I206" s="45">
        <v>6357595</v>
      </c>
      <c r="J206" s="45"/>
      <c r="K206" s="45">
        <v>10394622</v>
      </c>
      <c r="L206" s="45"/>
      <c r="M206" s="45">
        <f>2027+2280856</f>
        <v>2282883</v>
      </c>
      <c r="N206" s="45"/>
      <c r="O206" s="45">
        <v>0</v>
      </c>
      <c r="P206" s="45"/>
      <c r="Q206" s="45">
        <v>3814672</v>
      </c>
      <c r="R206" s="45"/>
      <c r="S206" s="45">
        <f t="shared" si="14"/>
        <v>6097555</v>
      </c>
      <c r="T206" s="45"/>
      <c r="U206" s="44">
        <f t="shared" si="15"/>
        <v>0</v>
      </c>
      <c r="V206" s="44">
        <f t="shared" si="16"/>
        <v>0</v>
      </c>
    </row>
    <row r="207" spans="1:22" s="44" customFormat="1" ht="12.75" customHeight="1">
      <c r="A207" s="44" t="s">
        <v>236</v>
      </c>
      <c r="B207" s="51"/>
      <c r="C207" s="44" t="s">
        <v>45</v>
      </c>
      <c r="D207" s="35"/>
      <c r="E207" s="45">
        <v>2762991</v>
      </c>
      <c r="F207" s="45"/>
      <c r="G207" s="45">
        <v>10803847</v>
      </c>
      <c r="H207" s="45"/>
      <c r="I207" s="45">
        <v>1022763</v>
      </c>
      <c r="J207" s="45"/>
      <c r="K207" s="45">
        <v>1755297</v>
      </c>
      <c r="L207" s="45"/>
      <c r="M207" s="45">
        <f>61703+36117+64786</f>
        <v>162606</v>
      </c>
      <c r="N207" s="45"/>
      <c r="O207" s="45">
        <v>0</v>
      </c>
      <c r="P207" s="45"/>
      <c r="Q207" s="45">
        <v>8885944</v>
      </c>
      <c r="R207" s="45"/>
      <c r="S207" s="45">
        <f t="shared" si="14"/>
        <v>9048550</v>
      </c>
      <c r="T207" s="45"/>
      <c r="U207" s="44">
        <f t="shared" si="15"/>
        <v>0</v>
      </c>
      <c r="V207" s="44">
        <f t="shared" si="16"/>
        <v>0</v>
      </c>
    </row>
    <row r="208" spans="1:22" s="44" customFormat="1" ht="12.75" customHeight="1">
      <c r="A208" s="44" t="s">
        <v>237</v>
      </c>
      <c r="C208" s="44" t="s">
        <v>33</v>
      </c>
      <c r="D208" s="35"/>
      <c r="E208" s="45">
        <v>66860</v>
      </c>
      <c r="F208" s="45"/>
      <c r="G208" s="45">
        <v>1075084</v>
      </c>
      <c r="H208" s="45"/>
      <c r="I208" s="45">
        <v>813834</v>
      </c>
      <c r="J208" s="45"/>
      <c r="K208" s="45">
        <v>830465</v>
      </c>
      <c r="L208" s="45"/>
      <c r="M208" s="45">
        <f>17676+860+1761</f>
        <v>20297</v>
      </c>
      <c r="N208" s="45"/>
      <c r="O208" s="45">
        <v>0</v>
      </c>
      <c r="P208" s="45"/>
      <c r="Q208" s="45">
        <v>224322</v>
      </c>
      <c r="R208" s="45"/>
      <c r="S208" s="45">
        <f t="shared" si="14"/>
        <v>244619</v>
      </c>
      <c r="T208" s="45"/>
      <c r="U208" s="44">
        <f t="shared" si="15"/>
        <v>0</v>
      </c>
      <c r="V208" s="44">
        <f t="shared" si="16"/>
        <v>0</v>
      </c>
    </row>
    <row r="209" spans="1:22" s="44" customFormat="1" ht="12.75" customHeight="1">
      <c r="A209" s="44" t="s">
        <v>238</v>
      </c>
      <c r="B209" s="51"/>
      <c r="C209" s="44" t="s">
        <v>239</v>
      </c>
      <c r="D209" s="35"/>
      <c r="E209" s="45">
        <v>4484050</v>
      </c>
      <c r="F209" s="45"/>
      <c r="G209" s="45">
        <v>5812665</v>
      </c>
      <c r="H209" s="45"/>
      <c r="I209" s="45">
        <v>501782</v>
      </c>
      <c r="J209" s="45"/>
      <c r="K209" s="45">
        <v>1131010</v>
      </c>
      <c r="L209" s="45"/>
      <c r="M209" s="45">
        <f>79007+38410+41496</f>
        <v>158913</v>
      </c>
      <c r="N209" s="45"/>
      <c r="O209" s="45">
        <v>0</v>
      </c>
      <c r="P209" s="45"/>
      <c r="Q209" s="45">
        <v>4522742</v>
      </c>
      <c r="R209" s="45"/>
      <c r="S209" s="45">
        <f t="shared" si="14"/>
        <v>4681655</v>
      </c>
      <c r="T209" s="45"/>
      <c r="U209" s="44">
        <f t="shared" si="15"/>
        <v>0</v>
      </c>
      <c r="V209" s="44">
        <f t="shared" si="16"/>
        <v>0</v>
      </c>
    </row>
    <row r="210" spans="1:22" s="44" customFormat="1" ht="12.75" customHeight="1">
      <c r="A210" s="44" t="s">
        <v>486</v>
      </c>
      <c r="B210" s="51"/>
      <c r="C210" s="44" t="s">
        <v>249</v>
      </c>
      <c r="D210" s="35"/>
      <c r="E210" s="45">
        <v>1127180</v>
      </c>
      <c r="F210" s="45"/>
      <c r="G210" s="45">
        <v>5333883</v>
      </c>
      <c r="H210" s="45"/>
      <c r="I210" s="45">
        <v>2310523</v>
      </c>
      <c r="J210" s="45"/>
      <c r="K210" s="45">
        <v>5172810</v>
      </c>
      <c r="L210" s="45"/>
      <c r="M210" s="45">
        <f>1084082+8190+187000</f>
        <v>1279272</v>
      </c>
      <c r="N210" s="45"/>
      <c r="O210" s="45">
        <v>0</v>
      </c>
      <c r="P210" s="45"/>
      <c r="Q210" s="45">
        <v>-1118199</v>
      </c>
      <c r="R210" s="45"/>
      <c r="S210" s="45">
        <f>+Q210+O210+M210</f>
        <v>161073</v>
      </c>
      <c r="T210" s="45"/>
      <c r="U210" s="44">
        <f>+G210-K210-S210</f>
        <v>0</v>
      </c>
      <c r="V210" s="44">
        <f>+G210-K210-S210</f>
        <v>0</v>
      </c>
    </row>
    <row r="211" spans="1:22" s="44" customFormat="1" ht="12.75" customHeight="1">
      <c r="A211" s="44" t="s">
        <v>240</v>
      </c>
      <c r="B211" s="51"/>
      <c r="C211" s="44" t="s">
        <v>13</v>
      </c>
      <c r="D211" s="35"/>
      <c r="E211" s="45">
        <f>4653917+675</f>
        <v>4654592</v>
      </c>
      <c r="F211" s="45"/>
      <c r="G211" s="45">
        <v>12891308</v>
      </c>
      <c r="H211" s="45"/>
      <c r="I211" s="45">
        <v>1443526</v>
      </c>
      <c r="J211" s="45"/>
      <c r="K211" s="45">
        <v>7256662</v>
      </c>
      <c r="L211" s="45"/>
      <c r="M211" s="45">
        <f>185255+108418+200000</f>
        <v>493673</v>
      </c>
      <c r="N211" s="45"/>
      <c r="O211" s="45">
        <v>0</v>
      </c>
      <c r="P211" s="45"/>
      <c r="Q211" s="45">
        <v>5140973</v>
      </c>
      <c r="R211" s="45"/>
      <c r="S211" s="45">
        <f t="shared" si="14"/>
        <v>5634646</v>
      </c>
      <c r="T211" s="45"/>
      <c r="U211" s="44">
        <f t="shared" si="15"/>
        <v>0</v>
      </c>
      <c r="V211" s="44">
        <f t="shared" si="16"/>
        <v>0</v>
      </c>
    </row>
    <row r="212" spans="1:22" s="121" customFormat="1" ht="12.75" hidden="1" customHeight="1">
      <c r="A212" s="44" t="s">
        <v>241</v>
      </c>
      <c r="B212" s="44"/>
      <c r="C212" s="44" t="s">
        <v>22</v>
      </c>
      <c r="D212" s="3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>
        <f t="shared" si="14"/>
        <v>0</v>
      </c>
      <c r="T212" s="45"/>
      <c r="U212" s="44">
        <f t="shared" si="15"/>
        <v>0</v>
      </c>
      <c r="V212" s="44">
        <f t="shared" si="16"/>
        <v>0</v>
      </c>
    </row>
    <row r="213" spans="1:22" s="44" customFormat="1" ht="12.75" customHeight="1">
      <c r="A213" s="44" t="s">
        <v>242</v>
      </c>
      <c r="B213" s="51"/>
      <c r="C213" s="44" t="s">
        <v>27</v>
      </c>
      <c r="D213" s="35"/>
      <c r="E213" s="45">
        <v>9359782</v>
      </c>
      <c r="F213" s="45"/>
      <c r="G213" s="45">
        <v>17649463</v>
      </c>
      <c r="H213" s="45"/>
      <c r="I213" s="45">
        <v>3797559</v>
      </c>
      <c r="J213" s="45"/>
      <c r="K213" s="45">
        <v>5812746</v>
      </c>
      <c r="L213" s="45"/>
      <c r="M213" s="45">
        <f>56022+243302</f>
        <v>299324</v>
      </c>
      <c r="N213" s="45"/>
      <c r="O213" s="45">
        <v>0</v>
      </c>
      <c r="P213" s="45"/>
      <c r="Q213" s="45">
        <v>11537393</v>
      </c>
      <c r="R213" s="45"/>
      <c r="S213" s="45">
        <f t="shared" si="14"/>
        <v>11836717</v>
      </c>
      <c r="T213" s="45"/>
      <c r="U213" s="44">
        <f t="shared" si="15"/>
        <v>0</v>
      </c>
      <c r="V213" s="44">
        <f>+G213-K213-S213</f>
        <v>0</v>
      </c>
    </row>
    <row r="214" spans="1:22" s="44" customFormat="1" ht="12.75" customHeight="1">
      <c r="A214" s="44" t="s">
        <v>243</v>
      </c>
      <c r="C214" s="44" t="s">
        <v>163</v>
      </c>
      <c r="D214" s="35"/>
      <c r="E214" s="45">
        <f>36980+452157</f>
        <v>489137</v>
      </c>
      <c r="F214" s="45"/>
      <c r="G214" s="45">
        <v>3677250</v>
      </c>
      <c r="H214" s="45"/>
      <c r="I214" s="45">
        <v>1946018</v>
      </c>
      <c r="J214" s="45"/>
      <c r="K214" s="45">
        <v>2501254</v>
      </c>
      <c r="L214" s="45"/>
      <c r="M214" s="45">
        <f>33090+52740+414768</f>
        <v>500598</v>
      </c>
      <c r="N214" s="45"/>
      <c r="O214" s="45">
        <v>0</v>
      </c>
      <c r="P214" s="45"/>
      <c r="Q214" s="45">
        <v>675398</v>
      </c>
      <c r="R214" s="45"/>
      <c r="S214" s="45">
        <f t="shared" ref="S214" si="17">+Q214+O214+M214</f>
        <v>1175996</v>
      </c>
      <c r="T214" s="45"/>
      <c r="U214" s="44">
        <f t="shared" ref="U214" si="18">+G214-K214-S214</f>
        <v>0</v>
      </c>
      <c r="V214" s="44">
        <f t="shared" ref="V214" si="19">+G214-K214-S214</f>
        <v>0</v>
      </c>
    </row>
    <row r="215" spans="1:22" s="44" customFormat="1" ht="12.75" customHeight="1">
      <c r="A215" s="44" t="s">
        <v>244</v>
      </c>
      <c r="B215" s="51"/>
      <c r="C215" s="44" t="s">
        <v>13</v>
      </c>
      <c r="D215" s="35"/>
      <c r="E215" s="45">
        <v>2616484</v>
      </c>
      <c r="F215" s="45"/>
      <c r="G215" s="45">
        <v>5421560</v>
      </c>
      <c r="H215" s="45"/>
      <c r="I215" s="45">
        <v>1028126</v>
      </c>
      <c r="J215" s="45"/>
      <c r="K215" s="45">
        <v>2431465</v>
      </c>
      <c r="L215" s="45"/>
      <c r="M215" s="45">
        <f>229170+89744</f>
        <v>318914</v>
      </c>
      <c r="N215" s="45"/>
      <c r="O215" s="45">
        <v>0</v>
      </c>
      <c r="P215" s="45"/>
      <c r="Q215" s="45">
        <v>2671181</v>
      </c>
      <c r="R215" s="45"/>
      <c r="S215" s="45">
        <f t="shared" ref="S215:S255" si="20">+Q215+O215+M215</f>
        <v>2990095</v>
      </c>
      <c r="T215" s="45"/>
      <c r="U215" s="44">
        <f t="shared" ref="U215:U255" si="21">+G215-K215-S215</f>
        <v>0</v>
      </c>
      <c r="V215" s="44">
        <f t="shared" ref="V215:V255" si="22">+G215-K215-S215</f>
        <v>0</v>
      </c>
    </row>
    <row r="216" spans="1:22" s="44" customFormat="1" ht="12.75" customHeight="1">
      <c r="A216" s="44" t="s">
        <v>245</v>
      </c>
      <c r="B216" s="51"/>
      <c r="C216" s="44" t="s">
        <v>110</v>
      </c>
      <c r="D216" s="35"/>
      <c r="E216" s="45">
        <v>1311250</v>
      </c>
      <c r="F216" s="45"/>
      <c r="G216" s="45">
        <v>5096658</v>
      </c>
      <c r="H216" s="45"/>
      <c r="I216" s="45">
        <v>1813637</v>
      </c>
      <c r="J216" s="45"/>
      <c r="K216" s="45">
        <v>3384612</v>
      </c>
      <c r="L216" s="45"/>
      <c r="M216" s="45">
        <f>8676+3288+53999+979159</f>
        <v>1045122</v>
      </c>
      <c r="N216" s="45"/>
      <c r="O216" s="45">
        <v>0</v>
      </c>
      <c r="P216" s="45"/>
      <c r="Q216" s="45">
        <v>666924</v>
      </c>
      <c r="R216" s="45"/>
      <c r="S216" s="45">
        <f t="shared" si="20"/>
        <v>1712046</v>
      </c>
      <c r="T216" s="45"/>
      <c r="U216" s="44">
        <f t="shared" si="21"/>
        <v>0</v>
      </c>
      <c r="V216" s="44">
        <f t="shared" si="22"/>
        <v>0</v>
      </c>
    </row>
    <row r="217" spans="1:22" s="46" customFormat="1" ht="12.75" customHeight="1">
      <c r="A217" s="46" t="s">
        <v>246</v>
      </c>
      <c r="C217" s="46" t="s">
        <v>209</v>
      </c>
      <c r="D217" s="64"/>
      <c r="E217" s="45">
        <f>773368+2734534</f>
        <v>3507902</v>
      </c>
      <c r="F217" s="45"/>
      <c r="G217" s="45">
        <v>5147576</v>
      </c>
      <c r="H217" s="45"/>
      <c r="I217" s="45">
        <v>936466</v>
      </c>
      <c r="J217" s="45"/>
      <c r="K217" s="45">
        <v>1236517</v>
      </c>
      <c r="L217" s="45"/>
      <c r="M217" s="45">
        <f>156243+17464+54879</f>
        <v>228586</v>
      </c>
      <c r="N217" s="45"/>
      <c r="O217" s="45">
        <v>0</v>
      </c>
      <c r="P217" s="45"/>
      <c r="Q217" s="45">
        <v>3682473</v>
      </c>
      <c r="R217" s="45"/>
      <c r="S217" s="45">
        <f t="shared" si="20"/>
        <v>3911059</v>
      </c>
      <c r="T217" s="45"/>
      <c r="U217" s="44">
        <f t="shared" si="21"/>
        <v>0</v>
      </c>
      <c r="V217" s="44">
        <f t="shared" si="22"/>
        <v>0</v>
      </c>
    </row>
    <row r="218" spans="1:22" s="44" customFormat="1" ht="12.75" customHeight="1">
      <c r="A218" s="44" t="s">
        <v>247</v>
      </c>
      <c r="C218" s="44" t="s">
        <v>163</v>
      </c>
      <c r="D218" s="35"/>
      <c r="E218" s="45">
        <f>155000+27000+4293000</f>
        <v>4475000</v>
      </c>
      <c r="F218" s="45"/>
      <c r="G218" s="45">
        <v>56015000</v>
      </c>
      <c r="H218" s="45"/>
      <c r="I218" s="45">
        <v>18468000</v>
      </c>
      <c r="J218" s="45"/>
      <c r="K218" s="45">
        <v>51624000</v>
      </c>
      <c r="L218" s="45"/>
      <c r="M218" s="45">
        <f>1070000+842000+4275000</f>
        <v>6187000</v>
      </c>
      <c r="N218" s="45"/>
      <c r="O218" s="45">
        <v>2000000</v>
      </c>
      <c r="P218" s="45"/>
      <c r="Q218" s="45">
        <v>-3796000</v>
      </c>
      <c r="R218" s="45"/>
      <c r="S218" s="45">
        <f t="shared" si="20"/>
        <v>4391000</v>
      </c>
      <c r="T218" s="45"/>
      <c r="U218" s="44">
        <f t="shared" si="21"/>
        <v>0</v>
      </c>
      <c r="V218" s="44">
        <f t="shared" si="22"/>
        <v>0</v>
      </c>
    </row>
    <row r="219" spans="1:22" s="44" customFormat="1" ht="12.75" customHeight="1">
      <c r="A219" s="44" t="s">
        <v>248</v>
      </c>
      <c r="C219" s="44" t="s">
        <v>249</v>
      </c>
      <c r="D219" s="35"/>
      <c r="E219" s="45">
        <v>1264158</v>
      </c>
      <c r="F219" s="45"/>
      <c r="G219" s="45">
        <v>2428583</v>
      </c>
      <c r="H219" s="45"/>
      <c r="I219" s="45">
        <v>901605</v>
      </c>
      <c r="J219" s="45"/>
      <c r="K219" s="45">
        <v>967732</v>
      </c>
      <c r="L219" s="45"/>
      <c r="M219" s="45">
        <v>0</v>
      </c>
      <c r="N219" s="45"/>
      <c r="O219" s="45">
        <v>0</v>
      </c>
      <c r="P219" s="45"/>
      <c r="Q219" s="45">
        <v>1460851</v>
      </c>
      <c r="R219" s="45"/>
      <c r="S219" s="45">
        <f t="shared" si="20"/>
        <v>1460851</v>
      </c>
      <c r="T219" s="45"/>
      <c r="U219" s="44">
        <f t="shared" si="21"/>
        <v>0</v>
      </c>
      <c r="V219" s="44">
        <f t="shared" si="22"/>
        <v>0</v>
      </c>
    </row>
    <row r="220" spans="1:22" s="44" customFormat="1" ht="12.75" customHeight="1">
      <c r="A220" s="44" t="s">
        <v>250</v>
      </c>
      <c r="B220" s="51"/>
      <c r="C220" s="44" t="s">
        <v>103</v>
      </c>
      <c r="D220" s="35"/>
      <c r="E220" s="45">
        <v>2185703</v>
      </c>
      <c r="F220" s="45"/>
      <c r="G220" s="45">
        <v>3252306</v>
      </c>
      <c r="H220" s="45"/>
      <c r="I220" s="45">
        <v>887066</v>
      </c>
      <c r="J220" s="45"/>
      <c r="K220" s="45">
        <v>990662</v>
      </c>
      <c r="L220" s="45"/>
      <c r="M220" s="45">
        <v>12252</v>
      </c>
      <c r="N220" s="45"/>
      <c r="O220" s="45">
        <v>0</v>
      </c>
      <c r="P220" s="45"/>
      <c r="Q220" s="45">
        <v>2249392</v>
      </c>
      <c r="R220" s="45"/>
      <c r="S220" s="45">
        <f t="shared" si="20"/>
        <v>2261644</v>
      </c>
      <c r="T220" s="45"/>
      <c r="U220" s="44">
        <f t="shared" si="21"/>
        <v>0</v>
      </c>
      <c r="V220" s="44">
        <f t="shared" si="22"/>
        <v>0</v>
      </c>
    </row>
    <row r="221" spans="1:22" s="44" customFormat="1" ht="12.75" customHeight="1">
      <c r="A221" s="44" t="s">
        <v>251</v>
      </c>
      <c r="B221" s="51"/>
      <c r="C221" s="44" t="s">
        <v>66</v>
      </c>
      <c r="D221" s="35"/>
      <c r="E221" s="45">
        <v>809726</v>
      </c>
      <c r="F221" s="45"/>
      <c r="G221" s="45">
        <v>5710596</v>
      </c>
      <c r="H221" s="45"/>
      <c r="I221" s="45">
        <v>3714094</v>
      </c>
      <c r="J221" s="45"/>
      <c r="K221" s="45">
        <v>4778343</v>
      </c>
      <c r="L221" s="45"/>
      <c r="M221" s="45">
        <v>32781</v>
      </c>
      <c r="N221" s="45"/>
      <c r="O221" s="45">
        <v>0</v>
      </c>
      <c r="P221" s="45"/>
      <c r="Q221" s="45">
        <v>899472</v>
      </c>
      <c r="R221" s="45"/>
      <c r="S221" s="45">
        <f t="shared" si="20"/>
        <v>932253</v>
      </c>
      <c r="T221" s="45"/>
      <c r="U221" s="44">
        <f t="shared" si="21"/>
        <v>0</v>
      </c>
      <c r="V221" s="44">
        <f t="shared" si="22"/>
        <v>0</v>
      </c>
    </row>
    <row r="222" spans="1:22" s="44" customFormat="1" ht="12.75" customHeight="1">
      <c r="A222" s="44" t="s">
        <v>252</v>
      </c>
      <c r="B222" s="51"/>
      <c r="C222" s="44" t="s">
        <v>209</v>
      </c>
      <c r="D222" s="35"/>
      <c r="E222" s="45">
        <v>39562383</v>
      </c>
      <c r="F222" s="45"/>
      <c r="G222" s="45">
        <v>43958376</v>
      </c>
      <c r="H222" s="45"/>
      <c r="I222" s="45">
        <v>2228694</v>
      </c>
      <c r="J222" s="45"/>
      <c r="K222" s="45">
        <v>3398774</v>
      </c>
      <c r="L222" s="45"/>
      <c r="M222" s="45">
        <f>318170+60639</f>
        <v>378809</v>
      </c>
      <c r="N222" s="45"/>
      <c r="O222" s="45">
        <v>0</v>
      </c>
      <c r="P222" s="45"/>
      <c r="Q222" s="45">
        <v>40180793</v>
      </c>
      <c r="R222" s="45"/>
      <c r="S222" s="45">
        <f t="shared" si="20"/>
        <v>40559602</v>
      </c>
      <c r="T222" s="45"/>
      <c r="U222" s="44">
        <f t="shared" si="21"/>
        <v>0</v>
      </c>
      <c r="V222" s="44">
        <f t="shared" si="22"/>
        <v>0</v>
      </c>
    </row>
    <row r="223" spans="1:22" s="44" customFormat="1" ht="12.75" customHeight="1">
      <c r="A223" s="44" t="s">
        <v>253</v>
      </c>
      <c r="B223" s="51"/>
      <c r="C223" s="44" t="s">
        <v>13</v>
      </c>
      <c r="D223" s="35"/>
      <c r="E223" s="45">
        <v>4357639</v>
      </c>
      <c r="F223" s="45"/>
      <c r="G223" s="45">
        <v>9177899</v>
      </c>
      <c r="H223" s="45"/>
      <c r="I223" s="45">
        <v>1228830</v>
      </c>
      <c r="J223" s="45"/>
      <c r="K223" s="45">
        <v>1921288</v>
      </c>
      <c r="L223" s="45"/>
      <c r="M223" s="45">
        <f>31486+187344+35163</f>
        <v>253993</v>
      </c>
      <c r="N223" s="45"/>
      <c r="O223" s="45">
        <v>0</v>
      </c>
      <c r="P223" s="45"/>
      <c r="Q223" s="45">
        <v>7002618</v>
      </c>
      <c r="R223" s="45"/>
      <c r="S223" s="45">
        <f>+Q223+O223+M223</f>
        <v>7256611</v>
      </c>
      <c r="T223" s="45"/>
      <c r="U223" s="44">
        <f t="shared" si="21"/>
        <v>0</v>
      </c>
      <c r="V223" s="44">
        <f t="shared" si="22"/>
        <v>0</v>
      </c>
    </row>
    <row r="224" spans="1:22" s="44" customFormat="1" ht="12.75" customHeight="1">
      <c r="A224" s="44" t="s">
        <v>254</v>
      </c>
      <c r="B224" s="51"/>
      <c r="C224" s="44" t="s">
        <v>89</v>
      </c>
      <c r="D224" s="35"/>
      <c r="E224" s="45">
        <v>1011794</v>
      </c>
      <c r="F224" s="45"/>
      <c r="G224" s="45">
        <v>1861260</v>
      </c>
      <c r="H224" s="45"/>
      <c r="I224" s="45">
        <v>567783</v>
      </c>
      <c r="J224" s="45"/>
      <c r="K224" s="45">
        <v>612218</v>
      </c>
      <c r="L224" s="45"/>
      <c r="M224" s="45">
        <v>0</v>
      </c>
      <c r="N224" s="45"/>
      <c r="O224" s="45">
        <v>0</v>
      </c>
      <c r="P224" s="45"/>
      <c r="Q224" s="45">
        <v>1249042</v>
      </c>
      <c r="R224" s="45"/>
      <c r="S224" s="45">
        <f t="shared" si="20"/>
        <v>1249042</v>
      </c>
      <c r="T224" s="45"/>
      <c r="U224" s="44">
        <f t="shared" si="21"/>
        <v>0</v>
      </c>
      <c r="V224" s="44">
        <f t="shared" si="22"/>
        <v>0</v>
      </c>
    </row>
    <row r="225" spans="1:22" s="44" customFormat="1" ht="12.75" customHeight="1">
      <c r="A225" s="44" t="s">
        <v>159</v>
      </c>
      <c r="C225" s="44" t="s">
        <v>66</v>
      </c>
      <c r="D225" s="35"/>
      <c r="E225" s="45">
        <v>562491</v>
      </c>
      <c r="F225" s="45"/>
      <c r="G225" s="45">
        <v>1028376</v>
      </c>
      <c r="H225" s="45"/>
      <c r="I225" s="45">
        <v>376049</v>
      </c>
      <c r="J225" s="45"/>
      <c r="K225" s="45">
        <v>393695</v>
      </c>
      <c r="L225" s="45"/>
      <c r="M225" s="45">
        <f>4000+1682+43414</f>
        <v>49096</v>
      </c>
      <c r="N225" s="45"/>
      <c r="O225" s="45">
        <v>0</v>
      </c>
      <c r="P225" s="45"/>
      <c r="Q225" s="45">
        <v>585585</v>
      </c>
      <c r="R225" s="45"/>
      <c r="S225" s="45">
        <f>+Q225+O225+M225</f>
        <v>634681</v>
      </c>
      <c r="T225" s="45"/>
      <c r="U225" s="44">
        <f t="shared" si="21"/>
        <v>0</v>
      </c>
      <c r="V225" s="44">
        <f>+G225-K225-S225</f>
        <v>0</v>
      </c>
    </row>
    <row r="226" spans="1:22" s="44" customFormat="1" ht="12.75" customHeight="1">
      <c r="A226" s="44" t="s">
        <v>255</v>
      </c>
      <c r="B226" s="51"/>
      <c r="C226" s="44" t="s">
        <v>27</v>
      </c>
      <c r="D226" s="35"/>
      <c r="E226" s="45">
        <v>282470</v>
      </c>
      <c r="F226" s="45"/>
      <c r="G226" s="45">
        <v>7509496</v>
      </c>
      <c r="H226" s="45"/>
      <c r="I226" s="45">
        <v>6034886</v>
      </c>
      <c r="J226" s="45"/>
      <c r="K226" s="45">
        <v>6895074</v>
      </c>
      <c r="L226" s="45"/>
      <c r="M226" s="45">
        <f>44680+60295</f>
        <v>104975</v>
      </c>
      <c r="N226" s="45"/>
      <c r="O226" s="45">
        <v>0</v>
      </c>
      <c r="P226" s="45"/>
      <c r="Q226" s="45">
        <v>509447</v>
      </c>
      <c r="R226" s="45"/>
      <c r="S226" s="45">
        <f t="shared" si="20"/>
        <v>614422</v>
      </c>
      <c r="T226" s="45"/>
      <c r="U226" s="44">
        <f t="shared" si="21"/>
        <v>0</v>
      </c>
      <c r="V226" s="44">
        <f t="shared" si="22"/>
        <v>0</v>
      </c>
    </row>
    <row r="227" spans="1:22" s="44" customFormat="1" ht="12.75" customHeight="1">
      <c r="A227" s="44" t="s">
        <v>256</v>
      </c>
      <c r="C227" s="44" t="s">
        <v>43</v>
      </c>
      <c r="D227" s="35"/>
      <c r="E227" s="45">
        <v>26961851</v>
      </c>
      <c r="F227" s="45"/>
      <c r="G227" s="45">
        <v>45459799</v>
      </c>
      <c r="H227" s="45"/>
      <c r="I227" s="45">
        <v>14178306</v>
      </c>
      <c r="J227" s="45"/>
      <c r="K227" s="45">
        <v>15486450</v>
      </c>
      <c r="L227" s="45"/>
      <c r="M227" s="45">
        <f>574797+111128+616039</f>
        <v>1301964</v>
      </c>
      <c r="N227" s="45"/>
      <c r="O227" s="45">
        <f>6708217+335762</f>
        <v>7043979</v>
      </c>
      <c r="P227" s="45"/>
      <c r="Q227" s="45">
        <v>21627406</v>
      </c>
      <c r="R227" s="45"/>
      <c r="S227" s="45">
        <f>+Q227+O227+M227</f>
        <v>29973349</v>
      </c>
      <c r="T227" s="45"/>
      <c r="U227" s="44">
        <f t="shared" si="21"/>
        <v>0</v>
      </c>
      <c r="V227" s="44">
        <f>+G227-K227-S227</f>
        <v>0</v>
      </c>
    </row>
    <row r="228" spans="1:22" s="44" customFormat="1" ht="12.75" customHeight="1">
      <c r="A228" s="44" t="s">
        <v>257</v>
      </c>
      <c r="B228" s="51"/>
      <c r="C228" s="44" t="s">
        <v>258</v>
      </c>
      <c r="D228" s="35"/>
      <c r="E228" s="45">
        <v>352449</v>
      </c>
      <c r="F228" s="45"/>
      <c r="G228" s="45">
        <v>1471278</v>
      </c>
      <c r="H228" s="45"/>
      <c r="I228" s="45">
        <v>985817</v>
      </c>
      <c r="J228" s="45"/>
      <c r="K228" s="45">
        <v>1275889</v>
      </c>
      <c r="L228" s="45"/>
      <c r="M228" s="45">
        <v>3458</v>
      </c>
      <c r="N228" s="45"/>
      <c r="O228" s="45">
        <v>0</v>
      </c>
      <c r="P228" s="45"/>
      <c r="Q228" s="45">
        <v>191931</v>
      </c>
      <c r="R228" s="45"/>
      <c r="S228" s="45">
        <f>+Q228+O228+M228</f>
        <v>195389</v>
      </c>
      <c r="T228" s="45"/>
      <c r="U228" s="44">
        <f t="shared" si="21"/>
        <v>0</v>
      </c>
      <c r="V228" s="44">
        <f>+G228-K228-S228</f>
        <v>0</v>
      </c>
    </row>
    <row r="229" spans="1:22" s="44" customFormat="1" ht="12.75" customHeight="1">
      <c r="A229" s="44" t="s">
        <v>259</v>
      </c>
      <c r="B229" s="51"/>
      <c r="C229" s="44" t="s">
        <v>260</v>
      </c>
      <c r="D229" s="35"/>
      <c r="E229" s="45">
        <v>550470</v>
      </c>
      <c r="F229" s="45"/>
      <c r="G229" s="45">
        <v>2741493</v>
      </c>
      <c r="H229" s="45"/>
      <c r="I229" s="45">
        <v>1224180</v>
      </c>
      <c r="J229" s="45"/>
      <c r="K229" s="45">
        <v>1695651</v>
      </c>
      <c r="L229" s="45"/>
      <c r="M229" s="45">
        <f>25497+331460+16181</f>
        <v>373138</v>
      </c>
      <c r="N229" s="45"/>
      <c r="O229" s="45">
        <v>0</v>
      </c>
      <c r="P229" s="45"/>
      <c r="Q229" s="45">
        <v>672704</v>
      </c>
      <c r="R229" s="45"/>
      <c r="S229" s="45">
        <f t="shared" si="20"/>
        <v>1045842</v>
      </c>
      <c r="T229" s="45"/>
      <c r="U229" s="44">
        <f t="shared" si="21"/>
        <v>0</v>
      </c>
      <c r="V229" s="44">
        <f t="shared" si="22"/>
        <v>0</v>
      </c>
    </row>
    <row r="230" spans="1:22" s="44" customFormat="1" ht="12.75" customHeight="1">
      <c r="A230" s="44" t="s">
        <v>261</v>
      </c>
      <c r="B230" s="51"/>
      <c r="C230" s="44" t="s">
        <v>66</v>
      </c>
      <c r="D230" s="35"/>
      <c r="E230" s="45">
        <v>20299535</v>
      </c>
      <c r="F230" s="45"/>
      <c r="G230" s="45">
        <v>26020845</v>
      </c>
      <c r="H230" s="45"/>
      <c r="I230" s="45">
        <v>3056348</v>
      </c>
      <c r="J230" s="45"/>
      <c r="K230" s="45">
        <v>5038916</v>
      </c>
      <c r="L230" s="45"/>
      <c r="M230" s="45">
        <f>26615+407511+6778+1511207</f>
        <v>1952111</v>
      </c>
      <c r="N230" s="45"/>
      <c r="O230" s="45">
        <v>0</v>
      </c>
      <c r="P230" s="45"/>
      <c r="Q230" s="45">
        <v>19029818</v>
      </c>
      <c r="R230" s="45"/>
      <c r="S230" s="45">
        <f t="shared" si="20"/>
        <v>20981929</v>
      </c>
      <c r="T230" s="45"/>
      <c r="U230" s="44">
        <f t="shared" si="21"/>
        <v>0</v>
      </c>
      <c r="V230" s="44">
        <f t="shared" si="22"/>
        <v>0</v>
      </c>
    </row>
    <row r="231" spans="1:22" s="44" customFormat="1" ht="12.75" hidden="1" customHeight="1">
      <c r="A231" s="44" t="s">
        <v>262</v>
      </c>
      <c r="B231" s="51"/>
      <c r="C231" s="44" t="s">
        <v>132</v>
      </c>
      <c r="D231" s="3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>
        <f t="shared" si="20"/>
        <v>0</v>
      </c>
      <c r="T231" s="45"/>
      <c r="U231" s="44">
        <f t="shared" si="21"/>
        <v>0</v>
      </c>
      <c r="V231" s="44">
        <f t="shared" si="22"/>
        <v>0</v>
      </c>
    </row>
    <row r="232" spans="1:22" s="44" customFormat="1" ht="12.75" customHeight="1">
      <c r="A232" s="44" t="s">
        <v>263</v>
      </c>
      <c r="B232" s="51"/>
      <c r="C232" s="44" t="s">
        <v>53</v>
      </c>
      <c r="D232" s="35"/>
      <c r="E232" s="45">
        <f>6263+8224+3158682</f>
        <v>3173169</v>
      </c>
      <c r="F232" s="45"/>
      <c r="G232" s="45">
        <v>5201354</v>
      </c>
      <c r="H232" s="45"/>
      <c r="I232" s="45">
        <v>1579986</v>
      </c>
      <c r="J232" s="45"/>
      <c r="K232" s="45">
        <v>2247882</v>
      </c>
      <c r="L232" s="45"/>
      <c r="M232" s="45">
        <f>262249+51385+610961</f>
        <v>924595</v>
      </c>
      <c r="N232" s="45"/>
      <c r="O232" s="45">
        <v>0</v>
      </c>
      <c r="P232" s="45"/>
      <c r="Q232" s="45">
        <v>2028877</v>
      </c>
      <c r="R232" s="45"/>
      <c r="S232" s="45">
        <f t="shared" si="20"/>
        <v>2953472</v>
      </c>
      <c r="T232" s="45"/>
      <c r="U232" s="44">
        <f t="shared" si="21"/>
        <v>0</v>
      </c>
      <c r="V232" s="44">
        <f t="shared" si="22"/>
        <v>0</v>
      </c>
    </row>
    <row r="233" spans="1:22" s="46" customFormat="1" ht="12.75" customHeight="1">
      <c r="A233" s="44" t="s">
        <v>264</v>
      </c>
      <c r="B233" s="51"/>
      <c r="C233" s="44" t="s">
        <v>239</v>
      </c>
      <c r="D233" s="35"/>
      <c r="E233" s="45">
        <v>3141626</v>
      </c>
      <c r="F233" s="45"/>
      <c r="G233" s="45">
        <v>4883439</v>
      </c>
      <c r="H233" s="45"/>
      <c r="I233" s="45">
        <v>1237242</v>
      </c>
      <c r="J233" s="45"/>
      <c r="K233" s="45">
        <v>1553943</v>
      </c>
      <c r="L233" s="45"/>
      <c r="M233" s="45">
        <f>5263+154343</f>
        <v>159606</v>
      </c>
      <c r="N233" s="45"/>
      <c r="O233" s="45">
        <v>0</v>
      </c>
      <c r="P233" s="45"/>
      <c r="Q233" s="45">
        <v>3169890</v>
      </c>
      <c r="R233" s="45"/>
      <c r="S233" s="45">
        <f t="shared" si="20"/>
        <v>3329496</v>
      </c>
      <c r="T233" s="45"/>
      <c r="U233" s="44">
        <f t="shared" si="21"/>
        <v>0</v>
      </c>
      <c r="V233" s="44">
        <f t="shared" si="22"/>
        <v>0</v>
      </c>
    </row>
    <row r="234" spans="1:22" s="44" customFormat="1" ht="12.75" customHeight="1">
      <c r="A234" s="44" t="s">
        <v>111</v>
      </c>
      <c r="B234" s="51"/>
      <c r="C234" s="44" t="s">
        <v>80</v>
      </c>
      <c r="D234" s="35"/>
      <c r="E234" s="45">
        <v>2151911</v>
      </c>
      <c r="F234" s="45"/>
      <c r="G234" s="45">
        <v>6889466</v>
      </c>
      <c r="H234" s="45"/>
      <c r="I234" s="45">
        <v>1503160</v>
      </c>
      <c r="J234" s="45"/>
      <c r="K234" s="45">
        <v>2819482</v>
      </c>
      <c r="L234" s="45"/>
      <c r="M234" s="45">
        <f>75930+6937</f>
        <v>82867</v>
      </c>
      <c r="N234" s="45"/>
      <c r="O234" s="45">
        <v>0</v>
      </c>
      <c r="P234" s="45"/>
      <c r="Q234" s="45">
        <v>3987117</v>
      </c>
      <c r="R234" s="45"/>
      <c r="S234" s="45">
        <f t="shared" si="20"/>
        <v>4069984</v>
      </c>
      <c r="T234" s="45"/>
      <c r="U234" s="44">
        <f t="shared" si="21"/>
        <v>0</v>
      </c>
      <c r="V234" s="44">
        <f t="shared" si="22"/>
        <v>0</v>
      </c>
    </row>
    <row r="235" spans="1:22" s="44" customFormat="1" ht="12.75" customHeight="1">
      <c r="A235" s="44" t="s">
        <v>265</v>
      </c>
      <c r="B235" s="51"/>
      <c r="C235" s="44" t="s">
        <v>27</v>
      </c>
      <c r="D235" s="35"/>
      <c r="E235" s="45">
        <v>0</v>
      </c>
      <c r="F235" s="45"/>
      <c r="G235" s="45">
        <v>3956597</v>
      </c>
      <c r="H235" s="45"/>
      <c r="I235" s="45">
        <v>1625630</v>
      </c>
      <c r="J235" s="45"/>
      <c r="K235" s="45">
        <v>3303172</v>
      </c>
      <c r="L235" s="45"/>
      <c r="M235" s="45">
        <v>52875</v>
      </c>
      <c r="N235" s="45"/>
      <c r="O235" s="45">
        <v>0</v>
      </c>
      <c r="P235" s="45"/>
      <c r="Q235" s="45">
        <v>600550</v>
      </c>
      <c r="R235" s="45"/>
      <c r="S235" s="45">
        <f t="shared" si="20"/>
        <v>653425</v>
      </c>
      <c r="T235" s="45"/>
      <c r="U235" s="44">
        <f t="shared" si="21"/>
        <v>0</v>
      </c>
      <c r="V235" s="44">
        <f t="shared" si="22"/>
        <v>0</v>
      </c>
    </row>
    <row r="236" spans="1:22" s="44" customFormat="1" ht="12.75" customHeight="1">
      <c r="A236" s="44" t="s">
        <v>40</v>
      </c>
      <c r="B236" s="51"/>
      <c r="C236" s="47" t="s">
        <v>451</v>
      </c>
      <c r="D236" s="35"/>
      <c r="E236" s="45">
        <f>596471+36928+45322</f>
        <v>678721</v>
      </c>
      <c r="F236" s="45"/>
      <c r="G236" s="45">
        <v>3248604</v>
      </c>
      <c r="H236" s="45"/>
      <c r="I236" s="45">
        <v>1669767</v>
      </c>
      <c r="J236" s="45"/>
      <c r="K236" s="45">
        <v>2114089</v>
      </c>
      <c r="L236" s="45"/>
      <c r="M236" s="45">
        <f>20464+18454</f>
        <v>38918</v>
      </c>
      <c r="N236" s="45"/>
      <c r="O236" s="45">
        <v>0</v>
      </c>
      <c r="P236" s="45"/>
      <c r="Q236" s="45">
        <v>1095597</v>
      </c>
      <c r="R236" s="45"/>
      <c r="S236" s="45">
        <f t="shared" si="20"/>
        <v>1134515</v>
      </c>
      <c r="T236" s="45"/>
      <c r="U236" s="44">
        <f t="shared" si="21"/>
        <v>0</v>
      </c>
      <c r="V236" s="44">
        <f t="shared" si="22"/>
        <v>0</v>
      </c>
    </row>
    <row r="237" spans="1:22" s="46" customFormat="1" ht="12.75" customHeight="1">
      <c r="A237" s="44" t="s">
        <v>266</v>
      </c>
      <c r="B237" s="44"/>
      <c r="C237" s="44" t="s">
        <v>267</v>
      </c>
      <c r="D237" s="35"/>
      <c r="E237" s="45">
        <f>125261+1061251</f>
        <v>1186512</v>
      </c>
      <c r="F237" s="45"/>
      <c r="G237" s="45">
        <v>1978191</v>
      </c>
      <c r="H237" s="45"/>
      <c r="I237" s="45">
        <v>395552</v>
      </c>
      <c r="J237" s="45"/>
      <c r="K237" s="45">
        <v>651305</v>
      </c>
      <c r="L237" s="45"/>
      <c r="M237" s="45">
        <f>125128+21051+30557</f>
        <v>176736</v>
      </c>
      <c r="N237" s="45"/>
      <c r="O237" s="45">
        <v>0</v>
      </c>
      <c r="P237" s="45"/>
      <c r="Q237" s="45">
        <v>1150150</v>
      </c>
      <c r="R237" s="45"/>
      <c r="S237" s="45">
        <f t="shared" si="20"/>
        <v>1326886</v>
      </c>
      <c r="T237" s="45"/>
      <c r="U237" s="44">
        <f t="shared" si="21"/>
        <v>0</v>
      </c>
      <c r="V237" s="44">
        <f t="shared" si="22"/>
        <v>0</v>
      </c>
    </row>
    <row r="238" spans="1:22" s="44" customFormat="1" ht="12.75" customHeight="1">
      <c r="A238" s="44" t="s">
        <v>268</v>
      </c>
      <c r="B238" s="51"/>
      <c r="C238" s="44" t="s">
        <v>269</v>
      </c>
      <c r="D238" s="35"/>
      <c r="E238" s="45">
        <v>780312</v>
      </c>
      <c r="F238" s="45"/>
      <c r="G238" s="45">
        <v>1681667</v>
      </c>
      <c r="H238" s="45"/>
      <c r="I238" s="45">
        <v>487595</v>
      </c>
      <c r="J238" s="45"/>
      <c r="K238" s="45">
        <v>543058</v>
      </c>
      <c r="L238" s="45"/>
      <c r="M238" s="45">
        <v>24746</v>
      </c>
      <c r="N238" s="45"/>
      <c r="O238" s="45">
        <v>0</v>
      </c>
      <c r="P238" s="45"/>
      <c r="Q238" s="45">
        <v>1113863</v>
      </c>
      <c r="R238" s="45"/>
      <c r="S238" s="45">
        <f t="shared" si="20"/>
        <v>1138609</v>
      </c>
      <c r="T238" s="45"/>
      <c r="U238" s="44">
        <f t="shared" si="21"/>
        <v>0</v>
      </c>
      <c r="V238" s="44">
        <f t="shared" si="22"/>
        <v>0</v>
      </c>
    </row>
    <row r="239" spans="1:22" s="44" customFormat="1" ht="12.75" hidden="1" customHeight="1">
      <c r="A239" s="44" t="s">
        <v>270</v>
      </c>
      <c r="B239" s="51"/>
      <c r="C239" s="44" t="s">
        <v>136</v>
      </c>
      <c r="D239" s="3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>
        <f>+Q239+O239+M239</f>
        <v>0</v>
      </c>
      <c r="T239" s="45"/>
      <c r="U239" s="44">
        <f t="shared" si="21"/>
        <v>0</v>
      </c>
      <c r="V239" s="44">
        <f>+G239-K239-S239</f>
        <v>0</v>
      </c>
    </row>
    <row r="240" spans="1:22" s="44" customFormat="1" ht="12.75" customHeight="1">
      <c r="A240" s="44" t="s">
        <v>271</v>
      </c>
      <c r="B240" s="51"/>
      <c r="C240" s="44" t="s">
        <v>66</v>
      </c>
      <c r="D240" s="35"/>
      <c r="E240" s="45">
        <v>1348187</v>
      </c>
      <c r="F240" s="45"/>
      <c r="G240" s="45">
        <v>3889955</v>
      </c>
      <c r="H240" s="45"/>
      <c r="I240" s="45">
        <v>1264618</v>
      </c>
      <c r="J240" s="45"/>
      <c r="K240" s="45">
        <v>1791863</v>
      </c>
      <c r="L240" s="45"/>
      <c r="M240" s="45">
        <f>41371+1899</f>
        <v>43270</v>
      </c>
      <c r="N240" s="45"/>
      <c r="O240" s="45">
        <v>0</v>
      </c>
      <c r="P240" s="45"/>
      <c r="Q240" s="45">
        <v>2054822</v>
      </c>
      <c r="R240" s="45"/>
      <c r="S240" s="45">
        <f t="shared" si="20"/>
        <v>2098092</v>
      </c>
      <c r="T240" s="45"/>
      <c r="U240" s="44">
        <f t="shared" si="21"/>
        <v>0</v>
      </c>
      <c r="V240" s="44">
        <f t="shared" si="22"/>
        <v>0</v>
      </c>
    </row>
    <row r="241" spans="1:22" s="46" customFormat="1" ht="12.75" customHeight="1">
      <c r="A241" s="44" t="s">
        <v>272</v>
      </c>
      <c r="B241" s="51"/>
      <c r="C241" s="44" t="s">
        <v>43</v>
      </c>
      <c r="D241" s="35"/>
      <c r="E241" s="45">
        <v>17917686</v>
      </c>
      <c r="F241" s="45"/>
      <c r="G241" s="45">
        <v>35783657</v>
      </c>
      <c r="H241" s="45"/>
      <c r="I241" s="45">
        <v>6109931</v>
      </c>
      <c r="J241" s="45"/>
      <c r="K241" s="45">
        <v>7437339</v>
      </c>
      <c r="L241" s="45"/>
      <c r="M241" s="45">
        <f>245645+9368540+82778</f>
        <v>9696963</v>
      </c>
      <c r="N241" s="45"/>
      <c r="O241" s="45">
        <v>0</v>
      </c>
      <c r="P241" s="45"/>
      <c r="Q241" s="45">
        <v>18649355</v>
      </c>
      <c r="R241" s="45"/>
      <c r="S241" s="45">
        <f t="shared" si="20"/>
        <v>28346318</v>
      </c>
      <c r="T241" s="45"/>
      <c r="U241" s="44">
        <f t="shared" si="21"/>
        <v>0</v>
      </c>
      <c r="V241" s="44">
        <f t="shared" si="22"/>
        <v>0</v>
      </c>
    </row>
    <row r="242" spans="1:22" s="44" customFormat="1" ht="12.75" customHeight="1">
      <c r="A242" s="44" t="s">
        <v>273</v>
      </c>
      <c r="B242" s="51"/>
      <c r="C242" s="44" t="s">
        <v>27</v>
      </c>
      <c r="D242" s="35"/>
      <c r="E242" s="45">
        <f>24668849+8584</f>
        <v>24677433</v>
      </c>
      <c r="F242" s="45"/>
      <c r="G242" s="45">
        <v>42707439</v>
      </c>
      <c r="H242" s="45"/>
      <c r="I242" s="45">
        <v>11822383</v>
      </c>
      <c r="J242" s="45"/>
      <c r="K242" s="45">
        <v>23569931</v>
      </c>
      <c r="L242" s="45"/>
      <c r="M242" s="45">
        <f>463607+1700000+266845</f>
        <v>2430452</v>
      </c>
      <c r="N242" s="45"/>
      <c r="O242" s="45">
        <v>6922553</v>
      </c>
      <c r="P242" s="45"/>
      <c r="Q242" s="45">
        <v>9784503</v>
      </c>
      <c r="R242" s="45"/>
      <c r="S242" s="45">
        <f t="shared" si="20"/>
        <v>19137508</v>
      </c>
      <c r="T242" s="45"/>
      <c r="U242" s="44">
        <f t="shared" si="21"/>
        <v>0</v>
      </c>
      <c r="V242" s="44">
        <f t="shared" si="22"/>
        <v>0</v>
      </c>
    </row>
    <row r="243" spans="1:22" s="44" customFormat="1" ht="12.75" customHeight="1">
      <c r="A243" s="44" t="s">
        <v>274</v>
      </c>
      <c r="B243" s="51"/>
      <c r="C243" s="44" t="s">
        <v>43</v>
      </c>
      <c r="D243" s="35"/>
      <c r="E243" s="45">
        <f>5472107+1082</f>
        <v>5473189</v>
      </c>
      <c r="F243" s="45"/>
      <c r="G243" s="45">
        <v>8727006</v>
      </c>
      <c r="H243" s="45"/>
      <c r="I243" s="45">
        <v>1525940</v>
      </c>
      <c r="J243" s="45"/>
      <c r="K243" s="45">
        <v>3562090</v>
      </c>
      <c r="L243" s="45"/>
      <c r="M243" s="45">
        <f>301945+132862+23794+872497</f>
        <v>1331098</v>
      </c>
      <c r="N243" s="45"/>
      <c r="O243" s="45">
        <v>0</v>
      </c>
      <c r="P243" s="45"/>
      <c r="Q243" s="45">
        <v>3833818</v>
      </c>
      <c r="R243" s="45"/>
      <c r="S243" s="45">
        <f t="shared" si="20"/>
        <v>5164916</v>
      </c>
      <c r="T243" s="45"/>
      <c r="U243" s="44">
        <f t="shared" si="21"/>
        <v>0</v>
      </c>
      <c r="V243" s="44">
        <f t="shared" si="22"/>
        <v>0</v>
      </c>
    </row>
    <row r="244" spans="1:22" s="44" customFormat="1" ht="12.75" customHeight="1">
      <c r="A244" s="44" t="s">
        <v>275</v>
      </c>
      <c r="B244" s="51"/>
      <c r="C244" s="44" t="s">
        <v>92</v>
      </c>
      <c r="D244" s="35"/>
      <c r="E244" s="45">
        <f>4169133+1521384</f>
        <v>5690517</v>
      </c>
      <c r="F244" s="45"/>
      <c r="G244" s="45">
        <v>10007785</v>
      </c>
      <c r="H244" s="45"/>
      <c r="I244" s="45">
        <v>2457868</v>
      </c>
      <c r="J244" s="45"/>
      <c r="K244" s="45">
        <v>3338370</v>
      </c>
      <c r="L244" s="45"/>
      <c r="M244" s="45">
        <f>14536+12397+35335</f>
        <v>62268</v>
      </c>
      <c r="N244" s="45"/>
      <c r="O244" s="45">
        <v>0</v>
      </c>
      <c r="P244" s="45"/>
      <c r="Q244" s="45">
        <v>6607147</v>
      </c>
      <c r="R244" s="45"/>
      <c r="S244" s="45">
        <f t="shared" si="20"/>
        <v>6669415</v>
      </c>
      <c r="T244" s="45"/>
      <c r="U244" s="44">
        <f t="shared" si="21"/>
        <v>0</v>
      </c>
      <c r="V244" s="44">
        <f t="shared" si="22"/>
        <v>0</v>
      </c>
    </row>
    <row r="245" spans="1:22" s="44" customFormat="1" ht="12.75" customHeight="1">
      <c r="A245" s="44" t="s">
        <v>276</v>
      </c>
      <c r="C245" s="44" t="s">
        <v>38</v>
      </c>
      <c r="D245" s="35"/>
      <c r="E245" s="45">
        <v>1966143</v>
      </c>
      <c r="F245" s="45"/>
      <c r="G245" s="45">
        <v>2671347</v>
      </c>
      <c r="H245" s="45"/>
      <c r="I245" s="45">
        <v>249862</v>
      </c>
      <c r="J245" s="45"/>
      <c r="K245" s="45">
        <v>702643</v>
      </c>
      <c r="L245" s="45"/>
      <c r="M245" s="45">
        <f>23691+34268+8029+3879</f>
        <v>69867</v>
      </c>
      <c r="N245" s="45"/>
      <c r="O245" s="45">
        <v>0</v>
      </c>
      <c r="P245" s="45"/>
      <c r="Q245" s="45">
        <v>1898837</v>
      </c>
      <c r="R245" s="45"/>
      <c r="S245" s="45">
        <f t="shared" si="20"/>
        <v>1968704</v>
      </c>
      <c r="T245" s="45"/>
      <c r="U245" s="44">
        <f t="shared" si="21"/>
        <v>0</v>
      </c>
      <c r="V245" s="44">
        <f>+G245-K245-S245</f>
        <v>0</v>
      </c>
    </row>
    <row r="246" spans="1:22" s="44" customFormat="1" ht="12.75" customHeight="1">
      <c r="A246" s="44" t="s">
        <v>277</v>
      </c>
      <c r="B246" s="51"/>
      <c r="C246" s="44" t="s">
        <v>92</v>
      </c>
      <c r="D246" s="35"/>
      <c r="E246" s="45">
        <v>6798734</v>
      </c>
      <c r="F246" s="45"/>
      <c r="G246" s="45">
        <v>17814025</v>
      </c>
      <c r="H246" s="45"/>
      <c r="I246" s="45">
        <v>4748161</v>
      </c>
      <c r="J246" s="45"/>
      <c r="K246" s="45">
        <v>6132528</v>
      </c>
      <c r="L246" s="45"/>
      <c r="M246" s="45">
        <f>1325214+2589+101902+470007</f>
        <v>1899712</v>
      </c>
      <c r="N246" s="45"/>
      <c r="O246" s="45">
        <v>0</v>
      </c>
      <c r="P246" s="45"/>
      <c r="Q246" s="45">
        <v>9781785</v>
      </c>
      <c r="R246" s="45"/>
      <c r="S246" s="45">
        <f t="shared" si="20"/>
        <v>11681497</v>
      </c>
      <c r="T246" s="45"/>
      <c r="U246" s="44">
        <f t="shared" si="21"/>
        <v>0</v>
      </c>
      <c r="V246" s="44">
        <f t="shared" si="22"/>
        <v>0</v>
      </c>
    </row>
    <row r="247" spans="1:22" s="44" customFormat="1" ht="12.75" customHeight="1">
      <c r="A247" s="44" t="s">
        <v>278</v>
      </c>
      <c r="B247" s="51"/>
      <c r="C247" s="44" t="s">
        <v>92</v>
      </c>
      <c r="D247" s="35"/>
      <c r="E247" s="45">
        <v>436522</v>
      </c>
      <c r="F247" s="45"/>
      <c r="G247" s="45">
        <v>2929966</v>
      </c>
      <c r="H247" s="45"/>
      <c r="I247" s="45">
        <v>2072665</v>
      </c>
      <c r="J247" s="45"/>
      <c r="K247" s="45">
        <v>2585297</v>
      </c>
      <c r="L247" s="45"/>
      <c r="M247" s="45">
        <f>132196+16382</f>
        <v>148578</v>
      </c>
      <c r="N247" s="45"/>
      <c r="O247" s="45">
        <v>0</v>
      </c>
      <c r="P247" s="45"/>
      <c r="Q247" s="45">
        <v>196091</v>
      </c>
      <c r="R247" s="45"/>
      <c r="S247" s="45">
        <f t="shared" si="20"/>
        <v>344669</v>
      </c>
      <c r="T247" s="45"/>
      <c r="U247" s="44">
        <f t="shared" si="21"/>
        <v>0</v>
      </c>
      <c r="V247" s="44">
        <f t="shared" si="22"/>
        <v>0</v>
      </c>
    </row>
    <row r="248" spans="1:22" s="44" customFormat="1" ht="12.75" customHeight="1">
      <c r="A248" s="44" t="s">
        <v>279</v>
      </c>
      <c r="C248" s="44" t="s">
        <v>92</v>
      </c>
      <c r="D248" s="35"/>
      <c r="E248" s="45">
        <v>1433158</v>
      </c>
      <c r="F248" s="45"/>
      <c r="G248" s="45">
        <v>6491856</v>
      </c>
      <c r="H248" s="45"/>
      <c r="I248" s="45">
        <v>4381020</v>
      </c>
      <c r="J248" s="45"/>
      <c r="K248" s="45">
        <v>4955022</v>
      </c>
      <c r="L248" s="45"/>
      <c r="M248" s="45">
        <f>42935+22464</f>
        <v>65399</v>
      </c>
      <c r="N248" s="45"/>
      <c r="O248" s="45">
        <v>0</v>
      </c>
      <c r="P248" s="45"/>
      <c r="Q248" s="45">
        <v>1471435</v>
      </c>
      <c r="R248" s="45"/>
      <c r="S248" s="45">
        <f t="shared" si="20"/>
        <v>1536834</v>
      </c>
      <c r="T248" s="45"/>
      <c r="U248" s="44">
        <f t="shared" si="21"/>
        <v>0</v>
      </c>
      <c r="V248" s="44">
        <f t="shared" si="22"/>
        <v>0</v>
      </c>
    </row>
    <row r="249" spans="1:22" s="44" customFormat="1" ht="12.75" customHeight="1">
      <c r="A249" s="44" t="s">
        <v>280</v>
      </c>
      <c r="B249" s="51"/>
      <c r="C249" s="44" t="s">
        <v>281</v>
      </c>
      <c r="D249" s="35"/>
      <c r="E249" s="45">
        <v>2837042</v>
      </c>
      <c r="F249" s="45"/>
      <c r="G249" s="45">
        <v>6254764</v>
      </c>
      <c r="H249" s="45"/>
      <c r="I249" s="45">
        <v>1519487</v>
      </c>
      <c r="J249" s="45"/>
      <c r="K249" s="45">
        <v>1834689</v>
      </c>
      <c r="L249" s="45"/>
      <c r="M249" s="45">
        <v>167266</v>
      </c>
      <c r="N249" s="45"/>
      <c r="O249" s="45">
        <v>0</v>
      </c>
      <c r="P249" s="45"/>
      <c r="Q249" s="45">
        <v>4252809</v>
      </c>
      <c r="R249" s="45"/>
      <c r="S249" s="45">
        <f t="shared" si="20"/>
        <v>4420075</v>
      </c>
      <c r="T249" s="45"/>
      <c r="U249" s="44">
        <f t="shared" si="21"/>
        <v>0</v>
      </c>
      <c r="V249" s="44">
        <f t="shared" si="22"/>
        <v>0</v>
      </c>
    </row>
    <row r="250" spans="1:22" s="44" customFormat="1" ht="12.75" customHeight="1">
      <c r="A250" s="44" t="s">
        <v>282</v>
      </c>
      <c r="B250" s="51"/>
      <c r="C250" s="44" t="s">
        <v>199</v>
      </c>
      <c r="D250" s="35"/>
      <c r="E250" s="45">
        <v>11545689</v>
      </c>
      <c r="F250" s="45"/>
      <c r="G250" s="45">
        <v>17411112</v>
      </c>
      <c r="H250" s="45"/>
      <c r="I250" s="45">
        <v>3654122</v>
      </c>
      <c r="J250" s="45"/>
      <c r="K250" s="45">
        <v>4932650</v>
      </c>
      <c r="L250" s="45"/>
      <c r="M250" s="45">
        <v>2592872</v>
      </c>
      <c r="N250" s="45"/>
      <c r="O250" s="45">
        <v>0</v>
      </c>
      <c r="P250" s="45"/>
      <c r="Q250" s="45">
        <v>9885590</v>
      </c>
      <c r="R250" s="45"/>
      <c r="S250" s="45">
        <f t="shared" si="20"/>
        <v>12478462</v>
      </c>
      <c r="T250" s="45"/>
      <c r="U250" s="44">
        <f t="shared" si="21"/>
        <v>0</v>
      </c>
      <c r="V250" s="44">
        <f t="shared" si="22"/>
        <v>0</v>
      </c>
    </row>
    <row r="251" spans="1:22" s="44" customFormat="1" ht="12.75" customHeight="1">
      <c r="A251" s="44" t="s">
        <v>283</v>
      </c>
      <c r="B251" s="51"/>
      <c r="C251" s="44" t="s">
        <v>43</v>
      </c>
      <c r="D251" s="35"/>
      <c r="E251" s="45">
        <f>516857+2092507</f>
        <v>2609364</v>
      </c>
      <c r="F251" s="45"/>
      <c r="G251" s="45">
        <v>8667746</v>
      </c>
      <c r="H251" s="45"/>
      <c r="I251" s="45">
        <v>3578072</v>
      </c>
      <c r="J251" s="45"/>
      <c r="K251" s="45">
        <v>5582278</v>
      </c>
      <c r="L251" s="45"/>
      <c r="M251" s="45">
        <f>113285+46452</f>
        <v>159737</v>
      </c>
      <c r="N251" s="45"/>
      <c r="O251" s="45">
        <v>0</v>
      </c>
      <c r="P251" s="45"/>
      <c r="Q251" s="45">
        <v>2925731</v>
      </c>
      <c r="R251" s="45"/>
      <c r="S251" s="45">
        <f t="shared" si="20"/>
        <v>3085468</v>
      </c>
      <c r="T251" s="45"/>
      <c r="U251" s="44">
        <f t="shared" si="21"/>
        <v>0</v>
      </c>
      <c r="V251" s="44">
        <f t="shared" si="22"/>
        <v>0</v>
      </c>
    </row>
    <row r="252" spans="1:22" s="44" customFormat="1" ht="12.75" customHeight="1">
      <c r="A252" s="44" t="s">
        <v>284</v>
      </c>
      <c r="B252" s="51"/>
      <c r="C252" s="44" t="s">
        <v>45</v>
      </c>
      <c r="D252" s="35"/>
      <c r="E252" s="45">
        <v>3995208</v>
      </c>
      <c r="F252" s="45"/>
      <c r="G252" s="45">
        <v>8958851</v>
      </c>
      <c r="H252" s="45"/>
      <c r="I252" s="45">
        <v>4454918</v>
      </c>
      <c r="J252" s="45"/>
      <c r="K252" s="45">
        <v>5213279</v>
      </c>
      <c r="L252" s="45"/>
      <c r="M252" s="45">
        <v>245722</v>
      </c>
      <c r="N252" s="45"/>
      <c r="O252" s="45">
        <v>0</v>
      </c>
      <c r="P252" s="45"/>
      <c r="Q252" s="45">
        <v>3499850</v>
      </c>
      <c r="R252" s="45"/>
      <c r="S252" s="45">
        <f t="shared" si="20"/>
        <v>3745572</v>
      </c>
      <c r="T252" s="45"/>
      <c r="U252" s="44">
        <f t="shared" si="21"/>
        <v>0</v>
      </c>
      <c r="V252" s="44">
        <f t="shared" si="22"/>
        <v>0</v>
      </c>
    </row>
    <row r="253" spans="1:22" s="44" customFormat="1" ht="12.75" customHeight="1">
      <c r="A253" s="44" t="s">
        <v>285</v>
      </c>
      <c r="B253" s="51"/>
      <c r="C253" s="44" t="s">
        <v>30</v>
      </c>
      <c r="D253" s="35"/>
      <c r="E253" s="45">
        <f>972783+1934751</f>
        <v>2907534</v>
      </c>
      <c r="F253" s="45"/>
      <c r="G253" s="45">
        <v>8215455</v>
      </c>
      <c r="H253" s="45"/>
      <c r="I253" s="45">
        <v>2926546</v>
      </c>
      <c r="J253" s="45"/>
      <c r="K253" s="45">
        <v>4007043</v>
      </c>
      <c r="L253" s="45"/>
      <c r="M253" s="45">
        <f>174316+15871+104518</f>
        <v>294705</v>
      </c>
      <c r="N253" s="45"/>
      <c r="O253" s="45">
        <v>0</v>
      </c>
      <c r="P253" s="45"/>
      <c r="Q253" s="45">
        <v>3913707</v>
      </c>
      <c r="R253" s="45"/>
      <c r="S253" s="45">
        <f t="shared" si="20"/>
        <v>4208412</v>
      </c>
      <c r="T253" s="45"/>
      <c r="U253" s="44">
        <f t="shared" si="21"/>
        <v>0</v>
      </c>
      <c r="V253" s="44">
        <f t="shared" si="22"/>
        <v>0</v>
      </c>
    </row>
    <row r="254" spans="1:22" s="44" customFormat="1" ht="12.75" customHeight="1">
      <c r="A254" s="44" t="s">
        <v>286</v>
      </c>
      <c r="B254" s="51"/>
      <c r="C254" s="44" t="s">
        <v>61</v>
      </c>
      <c r="D254" s="35"/>
      <c r="E254" s="45">
        <v>0</v>
      </c>
      <c r="F254" s="45"/>
      <c r="G254" s="45">
        <v>11863074</v>
      </c>
      <c r="H254" s="45"/>
      <c r="I254" s="45">
        <v>4174857</v>
      </c>
      <c r="J254" s="45"/>
      <c r="K254" s="45">
        <v>8140032</v>
      </c>
      <c r="L254" s="45"/>
      <c r="M254" s="45">
        <f>213825+568+3900000</f>
        <v>4114393</v>
      </c>
      <c r="N254" s="45"/>
      <c r="O254" s="45">
        <v>0</v>
      </c>
      <c r="P254" s="45"/>
      <c r="Q254" s="45">
        <v>-391351</v>
      </c>
      <c r="R254" s="45"/>
      <c r="S254" s="45">
        <f t="shared" si="20"/>
        <v>3723042</v>
      </c>
      <c r="T254" s="45"/>
      <c r="U254" s="44">
        <f t="shared" si="21"/>
        <v>0</v>
      </c>
      <c r="V254" s="44">
        <f t="shared" si="22"/>
        <v>0</v>
      </c>
    </row>
    <row r="255" spans="1:22" s="44" customFormat="1" ht="12.75" customHeight="1">
      <c r="A255" s="44" t="s">
        <v>287</v>
      </c>
      <c r="C255" s="44" t="s">
        <v>288</v>
      </c>
      <c r="D255" s="35"/>
      <c r="E255" s="45">
        <f>1834747+7189</f>
        <v>1841936</v>
      </c>
      <c r="F255" s="45"/>
      <c r="G255" s="45">
        <v>5696153</v>
      </c>
      <c r="H255" s="45"/>
      <c r="I255" s="45">
        <v>2465124</v>
      </c>
      <c r="J255" s="45"/>
      <c r="K255" s="45">
        <v>4291569</v>
      </c>
      <c r="L255" s="45"/>
      <c r="M255" s="45">
        <f>43713+15108+154888</f>
        <v>213709</v>
      </c>
      <c r="N255" s="45"/>
      <c r="O255" s="45">
        <v>0</v>
      </c>
      <c r="P255" s="45"/>
      <c r="Q255" s="45">
        <v>1190875</v>
      </c>
      <c r="R255" s="45"/>
      <c r="S255" s="45">
        <f t="shared" si="20"/>
        <v>1404584</v>
      </c>
      <c r="T255" s="45"/>
      <c r="U255" s="44">
        <f t="shared" si="21"/>
        <v>0</v>
      </c>
      <c r="V255" s="44">
        <f t="shared" si="22"/>
        <v>0</v>
      </c>
    </row>
    <row r="256" spans="1:22" s="44" customFormat="1" ht="12.75" customHeight="1">
      <c r="B256" s="51"/>
    </row>
    <row r="257" spans="2:2" s="44" customFormat="1" ht="12.75" customHeight="1">
      <c r="B257" s="51"/>
    </row>
    <row r="258" spans="2:2" s="44" customFormat="1" ht="12.75" customHeight="1">
      <c r="B258" s="51"/>
    </row>
    <row r="259" spans="2:2" s="44" customFormat="1" ht="12.75" customHeight="1">
      <c r="B259" s="51"/>
    </row>
    <row r="260" spans="2:2" s="44" customFormat="1" ht="12.75" customHeight="1">
      <c r="B260" s="51"/>
    </row>
    <row r="261" spans="2:2" s="44" customFormat="1" ht="12.75" customHeight="1">
      <c r="B261" s="51"/>
    </row>
    <row r="262" spans="2:2" s="44" customFormat="1" ht="12.75" customHeight="1">
      <c r="B262" s="51"/>
    </row>
    <row r="263" spans="2:2" s="44" customFormat="1" ht="12.75" customHeight="1">
      <c r="B263" s="51"/>
    </row>
    <row r="264" spans="2:2" s="44" customFormat="1" ht="12.75" customHeight="1">
      <c r="B264" s="51"/>
    </row>
    <row r="265" spans="2:2" s="44" customFormat="1" ht="12.75" customHeight="1">
      <c r="B265" s="51"/>
    </row>
    <row r="266" spans="2:2" s="44" customFormat="1" ht="12.75" customHeight="1">
      <c r="B266" s="51"/>
    </row>
    <row r="267" spans="2:2" s="44" customFormat="1" ht="12.75" customHeight="1">
      <c r="B267" s="51"/>
    </row>
    <row r="268" spans="2:2" s="44" customFormat="1" ht="12.75" customHeight="1">
      <c r="B268" s="51"/>
    </row>
    <row r="269" spans="2:2" s="44" customFormat="1" ht="12.75" customHeight="1">
      <c r="B269" s="51"/>
    </row>
    <row r="270" spans="2:2" s="44" customFormat="1" ht="12.75" customHeight="1">
      <c r="B270" s="51"/>
    </row>
    <row r="271" spans="2:2" s="44" customFormat="1" ht="12.75" customHeight="1">
      <c r="B271" s="51"/>
    </row>
    <row r="272" spans="2:2" s="44" customFormat="1" ht="12.75" customHeight="1">
      <c r="B272" s="51"/>
    </row>
    <row r="273" spans="2:2" s="44" customFormat="1" ht="12.75" customHeight="1">
      <c r="B273" s="51"/>
    </row>
    <row r="274" spans="2:2" s="44" customFormat="1" ht="12.75" customHeight="1">
      <c r="B274" s="51"/>
    </row>
    <row r="275" spans="2:2" s="44" customFormat="1" ht="12.75" customHeight="1">
      <c r="B275" s="51"/>
    </row>
    <row r="276" spans="2:2" s="44" customFormat="1" ht="12.75" customHeight="1">
      <c r="B276" s="51"/>
    </row>
    <row r="277" spans="2:2" s="44" customFormat="1" ht="12.75" customHeight="1">
      <c r="B277" s="51"/>
    </row>
    <row r="278" spans="2:2" s="44" customFormat="1" ht="12.75" customHeight="1">
      <c r="B278" s="51"/>
    </row>
    <row r="279" spans="2:2" s="44" customFormat="1" ht="12.75" customHeight="1">
      <c r="B279" s="51"/>
    </row>
    <row r="280" spans="2:2" s="44" customFormat="1" ht="12.75" customHeight="1">
      <c r="B280" s="51"/>
    </row>
    <row r="281" spans="2:2" s="44" customFormat="1" ht="12.75" customHeight="1">
      <c r="B281" s="51"/>
    </row>
    <row r="282" spans="2:2" s="44" customFormat="1" ht="12.75" customHeight="1">
      <c r="B282" s="51"/>
    </row>
    <row r="283" spans="2:2" s="44" customFormat="1" ht="12.75" customHeight="1">
      <c r="B283" s="51"/>
    </row>
    <row r="284" spans="2:2" s="44" customFormat="1" ht="12.75" customHeight="1">
      <c r="B284" s="51"/>
    </row>
    <row r="285" spans="2:2" s="44" customFormat="1" ht="12.75" customHeight="1">
      <c r="B285" s="51"/>
    </row>
    <row r="286" spans="2:2" s="44" customFormat="1" ht="12.75" customHeight="1">
      <c r="B286" s="51"/>
    </row>
    <row r="287" spans="2:2" s="44" customFormat="1" ht="12.75" customHeight="1">
      <c r="B287" s="51"/>
    </row>
    <row r="288" spans="2:2" s="44" customFormat="1" ht="12.75" customHeight="1">
      <c r="B288" s="51"/>
    </row>
    <row r="289" spans="2:2" s="44" customFormat="1" ht="12.75" customHeight="1">
      <c r="B289" s="51"/>
    </row>
    <row r="290" spans="2:2" s="44" customFormat="1" ht="12.75" customHeight="1">
      <c r="B290" s="51"/>
    </row>
    <row r="291" spans="2:2" s="44" customFormat="1" ht="12.75" customHeight="1">
      <c r="B291" s="51"/>
    </row>
    <row r="292" spans="2:2" s="44" customFormat="1" ht="12.75" customHeight="1">
      <c r="B292" s="51"/>
    </row>
    <row r="293" spans="2:2" s="44" customFormat="1" ht="12.75" customHeight="1">
      <c r="B293" s="51"/>
    </row>
    <row r="294" spans="2:2" s="44" customFormat="1" ht="12.75" customHeight="1">
      <c r="B294" s="51"/>
    </row>
    <row r="295" spans="2:2" s="44" customFormat="1" ht="12.75" customHeight="1">
      <c r="B295" s="51"/>
    </row>
    <row r="296" spans="2:2" s="44" customFormat="1" ht="12.75" customHeight="1">
      <c r="B296" s="51"/>
    </row>
    <row r="297" spans="2:2" s="44" customFormat="1" ht="12.75" customHeight="1">
      <c r="B297" s="51"/>
    </row>
    <row r="298" spans="2:2" s="44" customFormat="1" ht="12.75" customHeight="1">
      <c r="B298" s="51"/>
    </row>
    <row r="299" spans="2:2" s="44" customFormat="1" ht="12.75" customHeight="1">
      <c r="B299" s="51"/>
    </row>
    <row r="300" spans="2:2" s="44" customFormat="1" ht="12.75" customHeight="1">
      <c r="B300" s="51"/>
    </row>
    <row r="301" spans="2:2" s="44" customFormat="1" ht="12.75" customHeight="1">
      <c r="B301" s="51"/>
    </row>
    <row r="302" spans="2:2" s="44" customFormat="1" ht="12.75" customHeight="1">
      <c r="B302" s="51"/>
    </row>
    <row r="303" spans="2:2" s="44" customFormat="1" ht="12.75" customHeight="1">
      <c r="B303" s="51"/>
    </row>
    <row r="304" spans="2:2" s="44" customFormat="1" ht="12.75" customHeight="1">
      <c r="B304" s="51"/>
    </row>
    <row r="305" spans="2:2" s="44" customFormat="1" ht="12.75" customHeight="1">
      <c r="B305" s="51"/>
    </row>
    <row r="306" spans="2:2" s="44" customFormat="1" ht="12.75" customHeight="1">
      <c r="B306" s="51"/>
    </row>
    <row r="307" spans="2:2" s="44" customFormat="1" ht="12.75" customHeight="1">
      <c r="B307" s="51"/>
    </row>
    <row r="308" spans="2:2" s="44" customFormat="1" ht="12.75" customHeight="1">
      <c r="B308" s="51"/>
    </row>
    <row r="309" spans="2:2" s="44" customFormat="1" ht="12.75" customHeight="1">
      <c r="B309" s="51"/>
    </row>
    <row r="310" spans="2:2" s="44" customFormat="1" ht="12.75" customHeight="1">
      <c r="B310" s="51"/>
    </row>
    <row r="311" spans="2:2" s="44" customFormat="1" ht="12.75" customHeight="1">
      <c r="B311" s="51"/>
    </row>
    <row r="312" spans="2:2" s="44" customFormat="1" ht="12.75" customHeight="1">
      <c r="B312" s="51"/>
    </row>
    <row r="313" spans="2:2" s="44" customFormat="1" ht="12.75" customHeight="1">
      <c r="B313" s="51"/>
    </row>
    <row r="314" spans="2:2" s="44" customFormat="1" ht="12.75" customHeight="1">
      <c r="B314" s="51"/>
    </row>
    <row r="315" spans="2:2" s="44" customFormat="1" ht="12.75" customHeight="1">
      <c r="B315" s="51"/>
    </row>
    <row r="316" spans="2:2" s="44" customFormat="1" ht="12.75" customHeight="1">
      <c r="B316" s="51"/>
    </row>
    <row r="317" spans="2:2" s="44" customFormat="1" ht="12.75" customHeight="1">
      <c r="B317" s="51"/>
    </row>
    <row r="318" spans="2:2" s="44" customFormat="1" ht="12.75" customHeight="1">
      <c r="B318" s="51"/>
    </row>
    <row r="319" spans="2:2" s="44" customFormat="1" ht="12.75" customHeight="1">
      <c r="B319" s="51"/>
    </row>
    <row r="320" spans="2:2" s="44" customFormat="1" ht="12.75" customHeight="1">
      <c r="B320" s="51"/>
    </row>
    <row r="321" spans="2:2" s="44" customFormat="1" ht="12.75" customHeight="1">
      <c r="B321" s="51"/>
    </row>
    <row r="322" spans="2:2" s="44" customFormat="1" ht="12.75" customHeight="1">
      <c r="B322" s="51"/>
    </row>
    <row r="323" spans="2:2" s="44" customFormat="1" ht="12.75" customHeight="1">
      <c r="B323" s="51"/>
    </row>
    <row r="324" spans="2:2" s="44" customFormat="1" ht="12.75" customHeight="1">
      <c r="B324" s="51"/>
    </row>
  </sheetData>
  <phoneticPr fontId="4" type="noConversion"/>
  <pageMargins left="0.75" right="0.75" top="0.5" bottom="0.5" header="0" footer="0.25"/>
  <pageSetup scale="85" firstPageNumber="28" pageOrder="overThenDown" orientation="portrait" useFirstPageNumber="1" r:id="rId1"/>
  <headerFooter alignWithMargins="0">
    <oddFooter>&amp;C&amp;"Times New Roman,Regular"&amp;11&amp;P</oddFooter>
  </headerFooter>
  <rowBreaks count="3" manualBreakCount="3">
    <brk id="69" max="18" man="1"/>
    <brk id="130" max="18" man="1"/>
    <brk id="195" max="18" man="1"/>
  </rowBreaks>
  <colBreaks count="1" manualBreakCount="1">
    <brk id="12" min="9" max="256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A310"/>
  <sheetViews>
    <sheetView view="pageBreakPreview" zoomScale="75" zoomScaleNormal="160" zoomScaleSheetLayoutView="75" workbookViewId="0">
      <pane xSplit="3" ySplit="8" topLeftCell="D26" activePane="bottomRight" state="frozen"/>
      <selection pane="topRight" activeCell="D1" sqref="D1"/>
      <selection pane="bottomLeft" activeCell="A9" sqref="A9"/>
      <selection pane="bottomRight" activeCell="S69" sqref="S69"/>
    </sheetView>
  </sheetViews>
  <sheetFormatPr defaultColWidth="0" defaultRowHeight="12.75" customHeight="1"/>
  <cols>
    <col min="1" max="1" width="15.109375" style="2" customWidth="1"/>
    <col min="2" max="2" width="1.6640625" customWidth="1"/>
    <col min="3" max="3" width="11.5546875" style="2" customWidth="1"/>
    <col min="4" max="4" width="1.6640625" style="2" customWidth="1"/>
    <col min="5" max="5" width="11.6640625" style="2" customWidth="1"/>
    <col min="6" max="6" width="1.6640625" style="2" customWidth="1"/>
    <col min="7" max="7" width="11.6640625" style="2" customWidth="1"/>
    <col min="8" max="8" width="1.6640625" style="2" customWidth="1"/>
    <col min="9" max="9" width="11.6640625" style="2" customWidth="1"/>
    <col min="10" max="10" width="1.6640625" style="2" customWidth="1"/>
    <col min="11" max="11" width="11.6640625" style="2" customWidth="1"/>
    <col min="12" max="12" width="1.6640625" style="2" customWidth="1"/>
    <col min="13" max="13" width="11.6640625" style="2" customWidth="1"/>
    <col min="14" max="14" width="1.6640625" style="2" customWidth="1"/>
    <col min="15" max="15" width="11.6640625" style="2" customWidth="1"/>
    <col min="16" max="16" width="1.6640625" style="2" customWidth="1"/>
    <col min="17" max="17" width="11.6640625" style="2" customWidth="1"/>
    <col min="18" max="18" width="1.6640625" style="2" customWidth="1"/>
    <col min="19" max="19" width="11.6640625" style="2" customWidth="1"/>
    <col min="20" max="20" width="1.6640625" style="2" customWidth="1"/>
    <col min="21" max="22" width="11.6640625" style="2" customWidth="1"/>
    <col min="23" max="27" width="11.6640625" style="2" hidden="1" customWidth="1"/>
    <col min="28" max="16384" width="0" style="2" hidden="1"/>
  </cols>
  <sheetData>
    <row r="1" spans="1:21" ht="12.75" customHeight="1">
      <c r="A1" s="1" t="s">
        <v>390</v>
      </c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</row>
    <row r="2" spans="1:21" ht="12.75" customHeight="1">
      <c r="A2" s="29" t="s">
        <v>495</v>
      </c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1" ht="12.75" customHeight="1">
      <c r="A3" s="22" t="s">
        <v>289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1" ht="12.75" customHeight="1">
      <c r="A4" s="22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</row>
    <row r="6" spans="1:21" s="3" customFormat="1" ht="12.75" customHeight="1">
      <c r="A6" s="6"/>
      <c r="C6" s="6"/>
      <c r="D6" s="6"/>
      <c r="E6" s="6"/>
      <c r="F6" s="6"/>
      <c r="G6" s="6"/>
      <c r="H6" s="6"/>
      <c r="I6" s="6"/>
      <c r="J6" s="6"/>
      <c r="K6" s="6"/>
      <c r="L6" s="6"/>
      <c r="M6" s="6" t="s">
        <v>317</v>
      </c>
      <c r="N6" s="6"/>
      <c r="O6" s="6" t="s">
        <v>318</v>
      </c>
      <c r="P6" s="6"/>
      <c r="Q6" s="6" t="s">
        <v>318</v>
      </c>
      <c r="R6" s="6"/>
      <c r="S6" s="6" t="s">
        <v>6</v>
      </c>
      <c r="T6" s="6"/>
    </row>
    <row r="7" spans="1:21" s="3" customFormat="1" ht="12.75" customHeight="1">
      <c r="A7" s="6"/>
      <c r="C7" s="6"/>
      <c r="D7" s="6"/>
      <c r="E7" s="6" t="s">
        <v>319</v>
      </c>
      <c r="F7" s="6"/>
      <c r="G7" s="6" t="s">
        <v>6</v>
      </c>
      <c r="H7" s="6"/>
      <c r="I7" s="6" t="s">
        <v>5</v>
      </c>
      <c r="J7" s="6"/>
      <c r="K7" s="6" t="s">
        <v>6</v>
      </c>
      <c r="L7" s="6"/>
      <c r="M7" s="6" t="s">
        <v>320</v>
      </c>
      <c r="N7" s="6"/>
      <c r="O7" s="8" t="s">
        <v>437</v>
      </c>
      <c r="P7" s="6"/>
      <c r="Q7" s="6" t="s">
        <v>321</v>
      </c>
      <c r="R7" s="6"/>
      <c r="S7" s="6" t="s">
        <v>320</v>
      </c>
      <c r="T7" s="6"/>
      <c r="U7" s="3" t="s">
        <v>428</v>
      </c>
    </row>
    <row r="8" spans="1:21" s="81" customFormat="1" ht="12.75" customHeight="1">
      <c r="A8" s="78" t="s">
        <v>8</v>
      </c>
      <c r="C8" s="78" t="s">
        <v>9</v>
      </c>
      <c r="D8" s="8"/>
      <c r="E8" s="78" t="s">
        <v>322</v>
      </c>
      <c r="F8" s="8"/>
      <c r="G8" s="78" t="s">
        <v>0</v>
      </c>
      <c r="H8" s="8"/>
      <c r="I8" s="78" t="s">
        <v>323</v>
      </c>
      <c r="J8" s="8"/>
      <c r="K8" s="78" t="s">
        <v>1</v>
      </c>
      <c r="L8" s="8"/>
      <c r="M8" s="78" t="s">
        <v>324</v>
      </c>
      <c r="N8" s="8"/>
      <c r="O8" s="78" t="s">
        <v>325</v>
      </c>
      <c r="P8" s="8"/>
      <c r="Q8" s="78" t="s">
        <v>325</v>
      </c>
      <c r="R8" s="8"/>
      <c r="S8" s="78" t="s">
        <v>324</v>
      </c>
      <c r="T8" s="8"/>
      <c r="U8" s="104" t="s">
        <v>429</v>
      </c>
    </row>
    <row r="9" spans="1:21" s="81" customFormat="1" ht="12.75" customHeight="1">
      <c r="A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pans="1:21" s="46" customFormat="1" ht="12.75" customHeight="1">
      <c r="A10" s="46" t="s">
        <v>12</v>
      </c>
      <c r="C10" s="46" t="s">
        <v>13</v>
      </c>
      <c r="E10" s="94">
        <v>6822847</v>
      </c>
      <c r="F10" s="94"/>
      <c r="G10" s="94">
        <v>412205159</v>
      </c>
      <c r="H10" s="94"/>
      <c r="I10" s="94">
        <v>148290965</v>
      </c>
      <c r="J10" s="94"/>
      <c r="K10" s="94">
        <v>251218536</v>
      </c>
      <c r="L10" s="94"/>
      <c r="M10" s="94">
        <f>21263457+17428730</f>
        <v>38692187</v>
      </c>
      <c r="N10" s="94"/>
      <c r="O10" s="46">
        <f>230387+331882</f>
        <v>562269</v>
      </c>
      <c r="P10" s="94"/>
      <c r="Q10" s="94">
        <f>18+6597254+92474678+81470862-58810645</f>
        <v>121732167</v>
      </c>
      <c r="R10" s="94"/>
      <c r="S10" s="94">
        <f t="shared" ref="S10:S72" si="0">+Q10+O10+M10</f>
        <v>160986623</v>
      </c>
      <c r="T10" s="94"/>
      <c r="U10" s="46">
        <f t="shared" ref="U10:U72" si="1">+G10-K10-S10</f>
        <v>0</v>
      </c>
    </row>
    <row r="11" spans="1:21" s="44" customFormat="1" ht="12.75" customHeight="1">
      <c r="A11" s="44" t="s">
        <v>14</v>
      </c>
      <c r="C11" s="44" t="s">
        <v>15</v>
      </c>
      <c r="E11" s="45">
        <v>7184521</v>
      </c>
      <c r="F11" s="45"/>
      <c r="G11" s="45">
        <v>16106177</v>
      </c>
      <c r="H11" s="45"/>
      <c r="I11" s="45">
        <v>3374126</v>
      </c>
      <c r="J11" s="45"/>
      <c r="K11" s="45">
        <v>5592274</v>
      </c>
      <c r="L11" s="45"/>
      <c r="M11" s="45">
        <f>114382+21134+1745061+32943</f>
        <v>1913520</v>
      </c>
      <c r="N11" s="45"/>
      <c r="O11" s="45">
        <v>0</v>
      </c>
      <c r="P11" s="45"/>
      <c r="Q11" s="45">
        <f>2415812+4547392+383562+1253617</f>
        <v>8600383</v>
      </c>
      <c r="R11" s="45"/>
      <c r="S11" s="45">
        <f t="shared" si="0"/>
        <v>10513903</v>
      </c>
      <c r="T11" s="45"/>
      <c r="U11" s="44">
        <f t="shared" si="1"/>
        <v>0</v>
      </c>
    </row>
    <row r="12" spans="1:21" s="44" customFormat="1" ht="12.75" customHeight="1">
      <c r="A12" s="44" t="s">
        <v>16</v>
      </c>
      <c r="C12" s="44" t="s">
        <v>17</v>
      </c>
      <c r="E12" s="45">
        <v>9841310</v>
      </c>
      <c r="F12" s="45"/>
      <c r="G12" s="45">
        <v>14234776</v>
      </c>
      <c r="H12" s="45"/>
      <c r="I12" s="45">
        <v>2582442</v>
      </c>
      <c r="J12" s="45"/>
      <c r="K12" s="45">
        <v>3505906</v>
      </c>
      <c r="L12" s="45"/>
      <c r="M12" s="45">
        <v>1124000</v>
      </c>
      <c r="N12" s="45"/>
      <c r="O12" s="45">
        <v>0</v>
      </c>
      <c r="P12" s="45"/>
      <c r="Q12" s="45">
        <f>2174136+2127236+416397+4887101</f>
        <v>9604870</v>
      </c>
      <c r="R12" s="45"/>
      <c r="S12" s="45">
        <f t="shared" si="0"/>
        <v>10728870</v>
      </c>
      <c r="T12" s="45"/>
      <c r="U12" s="44">
        <f t="shared" si="1"/>
        <v>0</v>
      </c>
    </row>
    <row r="13" spans="1:21" s="44" customFormat="1" ht="12.75" customHeight="1">
      <c r="A13" s="44" t="s">
        <v>18</v>
      </c>
      <c r="C13" s="44" t="s">
        <v>18</v>
      </c>
      <c r="E13" s="45">
        <v>6188512</v>
      </c>
      <c r="F13" s="45"/>
      <c r="G13" s="45">
        <v>10575111</v>
      </c>
      <c r="H13" s="45"/>
      <c r="I13" s="45">
        <v>2606321</v>
      </c>
      <c r="J13" s="45"/>
      <c r="K13" s="45">
        <v>5072261</v>
      </c>
      <c r="L13" s="45"/>
      <c r="M13" s="45">
        <v>295072</v>
      </c>
      <c r="N13" s="45"/>
      <c r="O13" s="45">
        <v>0</v>
      </c>
      <c r="P13" s="45"/>
      <c r="Q13" s="45">
        <f>1225356+2809493+14542+1158387</f>
        <v>5207778</v>
      </c>
      <c r="R13" s="45"/>
      <c r="S13" s="45">
        <f t="shared" si="0"/>
        <v>5502850</v>
      </c>
      <c r="T13" s="45"/>
      <c r="U13" s="44">
        <f t="shared" si="1"/>
        <v>0</v>
      </c>
    </row>
    <row r="14" spans="1:21" s="44" customFormat="1" ht="12.75" customHeight="1">
      <c r="A14" s="44" t="s">
        <v>19</v>
      </c>
      <c r="C14" s="44" t="s">
        <v>19</v>
      </c>
      <c r="E14" s="45">
        <v>2101871</v>
      </c>
      <c r="F14" s="45"/>
      <c r="G14" s="45">
        <v>9581147</v>
      </c>
      <c r="H14" s="45"/>
      <c r="I14" s="45">
        <v>6167925</v>
      </c>
      <c r="J14" s="45"/>
      <c r="K14" s="45">
        <v>7218228</v>
      </c>
      <c r="L14" s="45"/>
      <c r="M14" s="45">
        <f>811901+24843+233747</f>
        <v>1070491</v>
      </c>
      <c r="N14" s="45"/>
      <c r="O14" s="45">
        <v>412000</v>
      </c>
      <c r="P14" s="45"/>
      <c r="Q14" s="45">
        <f>462844+537689+36696-156801</f>
        <v>880428</v>
      </c>
      <c r="R14" s="45"/>
      <c r="S14" s="45">
        <f>+Q14+O14+M14</f>
        <v>2362919</v>
      </c>
      <c r="T14" s="45"/>
      <c r="U14" s="44">
        <f t="shared" si="1"/>
        <v>0</v>
      </c>
    </row>
    <row r="15" spans="1:21" s="44" customFormat="1" ht="12.75" customHeight="1">
      <c r="A15" s="44" t="s">
        <v>20</v>
      </c>
      <c r="C15" s="44" t="s">
        <v>20</v>
      </c>
      <c r="E15" s="45">
        <v>7223576</v>
      </c>
      <c r="F15" s="45"/>
      <c r="G15" s="45">
        <v>9971955</v>
      </c>
      <c r="H15" s="45"/>
      <c r="I15" s="45">
        <v>819106</v>
      </c>
      <c r="J15" s="45"/>
      <c r="K15" s="45">
        <v>3358005</v>
      </c>
      <c r="L15" s="45"/>
      <c r="M15" s="45">
        <f>901336+243013</f>
        <v>1144349</v>
      </c>
      <c r="N15" s="45"/>
      <c r="O15" s="45">
        <v>0</v>
      </c>
      <c r="P15" s="45"/>
      <c r="Q15" s="45">
        <f>1498367+3120945+11680+838609</f>
        <v>5469601</v>
      </c>
      <c r="R15" s="45"/>
      <c r="S15" s="45">
        <f t="shared" si="0"/>
        <v>6613950</v>
      </c>
      <c r="T15" s="45"/>
      <c r="U15" s="44">
        <f t="shared" si="1"/>
        <v>0</v>
      </c>
    </row>
    <row r="16" spans="1:21" s="44" customFormat="1" ht="12.75" customHeight="1">
      <c r="A16" s="44" t="s">
        <v>21</v>
      </c>
      <c r="C16" s="44" t="s">
        <v>22</v>
      </c>
      <c r="E16" s="45">
        <v>15226802</v>
      </c>
      <c r="F16" s="45"/>
      <c r="G16" s="45">
        <v>23927379</v>
      </c>
      <c r="H16" s="45"/>
      <c r="I16" s="45">
        <v>2201956</v>
      </c>
      <c r="J16" s="45"/>
      <c r="K16" s="45">
        <v>7665326</v>
      </c>
      <c r="L16" s="45"/>
      <c r="M16" s="45">
        <f>1281397+34294+35179+3508675</f>
        <v>4859545</v>
      </c>
      <c r="N16" s="45"/>
      <c r="O16" s="45">
        <v>0</v>
      </c>
      <c r="P16" s="45"/>
      <c r="Q16" s="45">
        <f>6696114+2119480+2586914</f>
        <v>11402508</v>
      </c>
      <c r="R16" s="45"/>
      <c r="S16" s="45">
        <f t="shared" si="0"/>
        <v>16262053</v>
      </c>
      <c r="T16" s="45"/>
      <c r="U16" s="44">
        <f t="shared" si="1"/>
        <v>0</v>
      </c>
    </row>
    <row r="17" spans="1:21" s="44" customFormat="1" ht="12.75" customHeight="1">
      <c r="A17" s="44" t="s">
        <v>23</v>
      </c>
      <c r="C17" s="44" t="s">
        <v>17</v>
      </c>
      <c r="E17" s="45">
        <v>39553968</v>
      </c>
      <c r="F17" s="45"/>
      <c r="G17" s="45">
        <v>53935917</v>
      </c>
      <c r="H17" s="45"/>
      <c r="I17" s="45">
        <v>10108679</v>
      </c>
      <c r="J17" s="45"/>
      <c r="K17" s="45">
        <v>16681459</v>
      </c>
      <c r="L17" s="45"/>
      <c r="M17" s="45">
        <v>25522946</v>
      </c>
      <c r="N17" s="45"/>
      <c r="O17" s="45">
        <v>0</v>
      </c>
      <c r="P17" s="45"/>
      <c r="Q17" s="45">
        <f>6319932+5083916+643228-315564</f>
        <v>11731512</v>
      </c>
      <c r="R17" s="45"/>
      <c r="S17" s="45">
        <f t="shared" si="0"/>
        <v>37254458</v>
      </c>
      <c r="T17" s="45"/>
      <c r="U17" s="44">
        <f t="shared" si="1"/>
        <v>0</v>
      </c>
    </row>
    <row r="18" spans="1:21" s="44" customFormat="1" ht="12.75" customHeight="1">
      <c r="A18" s="44" t="s">
        <v>24</v>
      </c>
      <c r="C18" s="44" t="s">
        <v>17</v>
      </c>
      <c r="E18" s="45">
        <v>13025232</v>
      </c>
      <c r="F18" s="45"/>
      <c r="G18" s="45">
        <v>28629152</v>
      </c>
      <c r="H18" s="45"/>
      <c r="I18" s="45">
        <v>0</v>
      </c>
      <c r="J18" s="45"/>
      <c r="K18" s="45">
        <v>14725853</v>
      </c>
      <c r="L18" s="45"/>
      <c r="M18" s="45">
        <f>130219+654343</f>
        <v>784562</v>
      </c>
      <c r="N18" s="45"/>
      <c r="O18" s="45">
        <v>0</v>
      </c>
      <c r="P18" s="45"/>
      <c r="Q18" s="45">
        <f>2870052+8540089+559965+1148631</f>
        <v>13118737</v>
      </c>
      <c r="R18" s="45"/>
      <c r="S18" s="45">
        <f t="shared" si="0"/>
        <v>13903299</v>
      </c>
      <c r="T18" s="45"/>
      <c r="U18" s="44">
        <f t="shared" si="1"/>
        <v>0</v>
      </c>
    </row>
    <row r="19" spans="1:21" s="44" customFormat="1" ht="12.75" customHeight="1">
      <c r="A19" s="44" t="s">
        <v>25</v>
      </c>
      <c r="C19" s="44" t="s">
        <v>13</v>
      </c>
      <c r="E19" s="45">
        <v>6759252</v>
      </c>
      <c r="F19" s="45"/>
      <c r="G19" s="45">
        <v>13980373</v>
      </c>
      <c r="H19" s="45"/>
      <c r="I19" s="45">
        <v>2241578</v>
      </c>
      <c r="J19" s="45"/>
      <c r="K19" s="45">
        <v>8602699</v>
      </c>
      <c r="M19" s="45">
        <f>1461423+65831+617685+330952</f>
        <v>2475891</v>
      </c>
      <c r="N19" s="45"/>
      <c r="O19" s="45">
        <v>0</v>
      </c>
      <c r="P19" s="45"/>
      <c r="Q19" s="45">
        <f>3053359+1757970-1909546</f>
        <v>2901783</v>
      </c>
      <c r="R19" s="45"/>
      <c r="S19" s="45">
        <f t="shared" si="0"/>
        <v>5377674</v>
      </c>
      <c r="T19" s="45"/>
      <c r="U19" s="44">
        <f t="shared" si="1"/>
        <v>0</v>
      </c>
    </row>
    <row r="20" spans="1:21" s="44" customFormat="1" ht="12.75" customHeight="1">
      <c r="A20" s="44" t="s">
        <v>26</v>
      </c>
      <c r="C20" s="44" t="s">
        <v>27</v>
      </c>
      <c r="E20" s="45">
        <v>16104055</v>
      </c>
      <c r="F20" s="45"/>
      <c r="G20" s="45">
        <v>27370755</v>
      </c>
      <c r="H20" s="45"/>
      <c r="I20" s="45">
        <v>2628424</v>
      </c>
      <c r="J20" s="45"/>
      <c r="K20" s="45">
        <v>12195802</v>
      </c>
      <c r="L20" s="45"/>
      <c r="M20" s="45">
        <v>129655</v>
      </c>
      <c r="N20" s="45"/>
      <c r="O20" s="45">
        <v>1373960</v>
      </c>
      <c r="P20" s="45"/>
      <c r="Q20" s="45">
        <f>2101157+1624471+3164727+6780983</f>
        <v>13671338</v>
      </c>
      <c r="R20" s="45"/>
      <c r="S20" s="45">
        <f t="shared" si="0"/>
        <v>15174953</v>
      </c>
      <c r="T20" s="45"/>
      <c r="U20" s="44">
        <f t="shared" si="1"/>
        <v>0</v>
      </c>
    </row>
    <row r="21" spans="1:21" s="44" customFormat="1" ht="12.75" customHeight="1">
      <c r="A21" s="44" t="s">
        <v>28</v>
      </c>
      <c r="C21" s="44" t="s">
        <v>27</v>
      </c>
      <c r="E21" s="45">
        <v>33130651</v>
      </c>
      <c r="F21" s="45"/>
      <c r="G21" s="45">
        <v>49908709</v>
      </c>
      <c r="H21" s="45"/>
      <c r="I21" s="45">
        <v>10654338</v>
      </c>
      <c r="J21" s="45"/>
      <c r="K21" s="45">
        <v>15766354</v>
      </c>
      <c r="L21" s="45"/>
      <c r="M21" s="45">
        <f>1533123+14063</f>
        <v>1547186</v>
      </c>
      <c r="N21" s="45"/>
      <c r="O21" s="45">
        <v>0</v>
      </c>
      <c r="P21" s="45"/>
      <c r="Q21" s="45">
        <f>25397007+848257+522545+5827360</f>
        <v>32595169</v>
      </c>
      <c r="R21" s="45"/>
      <c r="S21" s="45">
        <f t="shared" si="0"/>
        <v>34142355</v>
      </c>
      <c r="T21" s="45"/>
      <c r="U21" s="44">
        <f t="shared" si="1"/>
        <v>0</v>
      </c>
    </row>
    <row r="22" spans="1:21" s="44" customFormat="1" ht="12.75" customHeight="1">
      <c r="A22" s="44" t="s">
        <v>29</v>
      </c>
      <c r="C22" s="44" t="s">
        <v>30</v>
      </c>
      <c r="E22" s="45">
        <v>8162527</v>
      </c>
      <c r="F22" s="45"/>
      <c r="G22" s="45">
        <v>28241952</v>
      </c>
      <c r="H22" s="45"/>
      <c r="I22" s="45">
        <v>18223376</v>
      </c>
      <c r="J22" s="45"/>
      <c r="K22" s="45">
        <v>20469844</v>
      </c>
      <c r="L22" s="45"/>
      <c r="M22" s="45">
        <f>425094+390468+15201</f>
        <v>830763</v>
      </c>
      <c r="N22" s="45"/>
      <c r="O22" s="45">
        <v>0</v>
      </c>
      <c r="P22" s="45"/>
      <c r="Q22" s="45">
        <f>2357132+4705365+167643-299932+11137</f>
        <v>6941345</v>
      </c>
      <c r="R22" s="45"/>
      <c r="S22" s="45">
        <f t="shared" si="0"/>
        <v>7772108</v>
      </c>
      <c r="T22" s="45"/>
      <c r="U22" s="44">
        <f t="shared" si="1"/>
        <v>0</v>
      </c>
    </row>
    <row r="23" spans="1:21" s="44" customFormat="1" ht="12.75" customHeight="1">
      <c r="A23" s="44" t="s">
        <v>31</v>
      </c>
      <c r="C23" s="44" t="s">
        <v>27</v>
      </c>
      <c r="E23" s="45">
        <v>13779196</v>
      </c>
      <c r="F23" s="45"/>
      <c r="G23" s="45">
        <v>23580198</v>
      </c>
      <c r="H23" s="45"/>
      <c r="I23" s="45">
        <v>7941629</v>
      </c>
      <c r="J23" s="45"/>
      <c r="K23" s="45">
        <v>9444287</v>
      </c>
      <c r="L23" s="45"/>
      <c r="M23" s="45">
        <v>410269</v>
      </c>
      <c r="N23" s="45"/>
      <c r="O23" s="45">
        <v>0</v>
      </c>
      <c r="P23" s="45"/>
      <c r="Q23" s="45">
        <f>9435657+3192288+248695+849002</f>
        <v>13725642</v>
      </c>
      <c r="R23" s="45"/>
      <c r="S23" s="45">
        <f t="shared" si="0"/>
        <v>14135911</v>
      </c>
      <c r="T23" s="45"/>
      <c r="U23" s="44">
        <f t="shared" si="1"/>
        <v>0</v>
      </c>
    </row>
    <row r="24" spans="1:21" s="44" customFormat="1" ht="12.75" customHeight="1">
      <c r="A24" s="44" t="s">
        <v>32</v>
      </c>
      <c r="C24" s="44" t="s">
        <v>27</v>
      </c>
      <c r="E24" s="45">
        <v>6069567</v>
      </c>
      <c r="F24" s="45"/>
      <c r="G24" s="45">
        <v>13390330</v>
      </c>
      <c r="H24" s="45"/>
      <c r="I24" s="45">
        <v>4605580</v>
      </c>
      <c r="J24" s="45"/>
      <c r="K24" s="45">
        <v>5974928</v>
      </c>
      <c r="L24" s="45"/>
      <c r="M24" s="45">
        <f>195519+98956+46637</f>
        <v>341112</v>
      </c>
      <c r="N24" s="45"/>
      <c r="O24" s="45">
        <v>0</v>
      </c>
      <c r="P24" s="45"/>
      <c r="Q24" s="45">
        <f>6241287+105454+90950+636599</f>
        <v>7074290</v>
      </c>
      <c r="R24" s="45"/>
      <c r="S24" s="45">
        <f t="shared" si="0"/>
        <v>7415402</v>
      </c>
      <c r="T24" s="45"/>
      <c r="U24" s="44">
        <f t="shared" si="1"/>
        <v>0</v>
      </c>
    </row>
    <row r="25" spans="1:21" s="44" customFormat="1" ht="12.75" customHeight="1">
      <c r="A25" s="44" t="s">
        <v>34</v>
      </c>
      <c r="B25" s="51"/>
      <c r="C25" s="44" t="s">
        <v>30</v>
      </c>
      <c r="E25" s="45">
        <v>2862367</v>
      </c>
      <c r="F25" s="45"/>
      <c r="G25" s="45">
        <v>5523161</v>
      </c>
      <c r="H25" s="45"/>
      <c r="I25" s="45">
        <v>469927</v>
      </c>
      <c r="J25" s="45"/>
      <c r="K25" s="45">
        <v>2641503</v>
      </c>
      <c r="L25" s="45"/>
      <c r="M25" s="45">
        <f>104452+28324+47783+44861</f>
        <v>225420</v>
      </c>
      <c r="N25" s="45"/>
      <c r="O25" s="45">
        <v>0</v>
      </c>
      <c r="P25" s="45"/>
      <c r="Q25" s="45">
        <f>745604+170366+1740268</f>
        <v>2656238</v>
      </c>
      <c r="R25" s="45"/>
      <c r="S25" s="45">
        <f t="shared" si="0"/>
        <v>2881658</v>
      </c>
      <c r="T25" s="45"/>
      <c r="U25" s="44">
        <f t="shared" si="1"/>
        <v>0</v>
      </c>
    </row>
    <row r="26" spans="1:21" s="44" customFormat="1" ht="12.75" customHeight="1">
      <c r="A26" s="44" t="s">
        <v>35</v>
      </c>
      <c r="C26" s="44" t="s">
        <v>36</v>
      </c>
      <c r="E26" s="45">
        <v>7775193</v>
      </c>
      <c r="F26" s="45"/>
      <c r="G26" s="45">
        <v>11411107</v>
      </c>
      <c r="H26" s="45"/>
      <c r="I26" s="45">
        <v>1665846</v>
      </c>
      <c r="J26" s="45"/>
      <c r="K26" s="45">
        <v>2569615</v>
      </c>
      <c r="L26" s="45"/>
      <c r="M26" s="45">
        <f>529069+57258+81701+8835+76000</f>
        <v>752863</v>
      </c>
      <c r="N26" s="45"/>
      <c r="O26" s="45">
        <v>0</v>
      </c>
      <c r="P26" s="45"/>
      <c r="Q26" s="45">
        <f>3452726+1231709+3395137+9057</f>
        <v>8088629</v>
      </c>
      <c r="R26" s="45"/>
      <c r="S26" s="45">
        <f t="shared" si="0"/>
        <v>8841492</v>
      </c>
      <c r="T26" s="45"/>
      <c r="U26" s="44">
        <f t="shared" si="1"/>
        <v>0</v>
      </c>
    </row>
    <row r="27" spans="1:21" s="44" customFormat="1" ht="12.75" customHeight="1">
      <c r="A27" s="44" t="s">
        <v>37</v>
      </c>
      <c r="C27" s="44" t="s">
        <v>38</v>
      </c>
      <c r="E27" s="45">
        <v>4161012</v>
      </c>
      <c r="F27" s="45"/>
      <c r="G27" s="45">
        <v>7440213</v>
      </c>
      <c r="H27" s="45"/>
      <c r="I27" s="45">
        <v>2411175</v>
      </c>
      <c r="J27" s="45"/>
      <c r="K27" s="45">
        <v>2770460</v>
      </c>
      <c r="L27" s="45"/>
      <c r="M27" s="45">
        <f>534062+75442+43255+6760</f>
        <v>659519</v>
      </c>
      <c r="N27" s="45"/>
      <c r="O27" s="45">
        <v>0</v>
      </c>
      <c r="P27" s="45"/>
      <c r="Q27" s="45">
        <f>1506583+1772285+23376+637519+70471</f>
        <v>4010234</v>
      </c>
      <c r="R27" s="45"/>
      <c r="S27" s="45">
        <f t="shared" si="0"/>
        <v>4669753</v>
      </c>
      <c r="T27" s="45"/>
      <c r="U27" s="44">
        <f t="shared" si="1"/>
        <v>0</v>
      </c>
    </row>
    <row r="28" spans="1:21" s="44" customFormat="1" ht="12.75" customHeight="1">
      <c r="A28" s="44" t="s">
        <v>39</v>
      </c>
      <c r="C28" s="44" t="s">
        <v>40</v>
      </c>
      <c r="E28" s="45">
        <v>1715612</v>
      </c>
      <c r="F28" s="45"/>
      <c r="G28" s="45">
        <v>3038817</v>
      </c>
      <c r="H28" s="45"/>
      <c r="I28" s="45">
        <v>829444</v>
      </c>
      <c r="J28" s="45"/>
      <c r="K28" s="45">
        <v>1003239</v>
      </c>
      <c r="L28" s="45"/>
      <c r="M28" s="45">
        <f>109150+10065+6598</f>
        <v>125813</v>
      </c>
      <c r="N28" s="45"/>
      <c r="O28" s="45">
        <v>0</v>
      </c>
      <c r="P28" s="45"/>
      <c r="Q28" s="45">
        <f>1612294+274505+22966</f>
        <v>1909765</v>
      </c>
      <c r="R28" s="45"/>
      <c r="S28" s="45">
        <f>+Q28+O28+M28</f>
        <v>2035578</v>
      </c>
      <c r="T28" s="45"/>
      <c r="U28" s="44">
        <f t="shared" si="1"/>
        <v>0</v>
      </c>
    </row>
    <row r="29" spans="1:21" s="44" customFormat="1" ht="12.75" customHeight="1">
      <c r="A29" s="44" t="s">
        <v>41</v>
      </c>
      <c r="C29" s="44" t="s">
        <v>27</v>
      </c>
      <c r="E29" s="45">
        <v>6119890</v>
      </c>
      <c r="F29" s="45"/>
      <c r="G29" s="45">
        <v>15835108</v>
      </c>
      <c r="H29" s="45"/>
      <c r="I29" s="45">
        <v>6827821</v>
      </c>
      <c r="J29" s="45"/>
      <c r="K29" s="45">
        <v>13162255</v>
      </c>
      <c r="L29" s="45"/>
      <c r="M29" s="45">
        <f>134828+150000</f>
        <v>284828</v>
      </c>
      <c r="N29" s="45"/>
      <c r="O29" s="45">
        <v>0</v>
      </c>
      <c r="P29" s="45"/>
      <c r="Q29" s="45">
        <f>3452857+703632+679284-2447748</f>
        <v>2388025</v>
      </c>
      <c r="R29" s="45"/>
      <c r="S29" s="45">
        <f t="shared" si="0"/>
        <v>2672853</v>
      </c>
      <c r="T29" s="45"/>
      <c r="U29" s="44">
        <f t="shared" si="1"/>
        <v>0</v>
      </c>
    </row>
    <row r="30" spans="1:21" s="44" customFormat="1" ht="12.75" customHeight="1">
      <c r="A30" s="44" t="s">
        <v>42</v>
      </c>
      <c r="C30" s="44" t="s">
        <v>43</v>
      </c>
      <c r="E30" s="45">
        <v>5348081</v>
      </c>
      <c r="F30" s="45"/>
      <c r="G30" s="45">
        <v>11025417</v>
      </c>
      <c r="H30" s="45"/>
      <c r="I30" s="45">
        <v>3987928</v>
      </c>
      <c r="J30" s="45"/>
      <c r="K30" s="45">
        <v>5837802</v>
      </c>
      <c r="L30" s="45"/>
      <c r="M30" s="45">
        <v>7571185</v>
      </c>
      <c r="N30" s="45"/>
      <c r="O30" s="45">
        <v>1000000</v>
      </c>
      <c r="P30" s="45"/>
      <c r="Q30" s="45">
        <f>-3619889+401398+155-165234</f>
        <v>-3383570</v>
      </c>
      <c r="R30" s="45"/>
      <c r="S30" s="45">
        <f t="shared" si="0"/>
        <v>5187615</v>
      </c>
      <c r="T30" s="45"/>
      <c r="U30" s="44">
        <f t="shared" si="1"/>
        <v>0</v>
      </c>
    </row>
    <row r="31" spans="1:21" s="44" customFormat="1" ht="12.75" customHeight="1">
      <c r="A31" s="44" t="s">
        <v>44</v>
      </c>
      <c r="C31" s="44" t="s">
        <v>45</v>
      </c>
      <c r="E31" s="45">
        <v>21546075</v>
      </c>
      <c r="F31" s="45"/>
      <c r="G31" s="45">
        <v>31400984</v>
      </c>
      <c r="H31" s="45"/>
      <c r="I31" s="45">
        <v>5314529</v>
      </c>
      <c r="J31" s="45"/>
      <c r="K31" s="45">
        <v>7865335</v>
      </c>
      <c r="L31" s="45"/>
      <c r="M31" s="45">
        <f>6879477+104045+183337+1494044+15143322+686008-954584</f>
        <v>23535649</v>
      </c>
      <c r="N31" s="45"/>
      <c r="O31" s="45">
        <v>0</v>
      </c>
      <c r="P31" s="45"/>
      <c r="Q31" s="45">
        <v>0</v>
      </c>
      <c r="R31" s="45"/>
      <c r="S31" s="45">
        <f t="shared" si="0"/>
        <v>23535649</v>
      </c>
      <c r="T31" s="45"/>
      <c r="U31" s="44">
        <f t="shared" si="1"/>
        <v>0</v>
      </c>
    </row>
    <row r="32" spans="1:21" s="44" customFormat="1" ht="12.75" customHeight="1">
      <c r="A32" s="44" t="s">
        <v>46</v>
      </c>
      <c r="C32" s="44" t="s">
        <v>47</v>
      </c>
      <c r="E32" s="45">
        <v>16771395</v>
      </c>
      <c r="F32" s="45"/>
      <c r="G32" s="45">
        <v>27196429</v>
      </c>
      <c r="H32" s="45"/>
      <c r="I32" s="45">
        <v>7181946</v>
      </c>
      <c r="J32" s="45"/>
      <c r="K32" s="45">
        <v>9756791</v>
      </c>
      <c r="L32" s="45"/>
      <c r="M32" s="45">
        <f>173850+31674+439717+3683865</f>
        <v>4329106</v>
      </c>
      <c r="N32" s="45"/>
      <c r="O32" s="45">
        <f>507175+1140025+200000</f>
        <v>1847200</v>
      </c>
      <c r="P32" s="45"/>
      <c r="Q32" s="45">
        <f>1999624+3141826+162061+5959821</f>
        <v>11263332</v>
      </c>
      <c r="R32" s="45"/>
      <c r="S32" s="45">
        <f t="shared" si="0"/>
        <v>17439638</v>
      </c>
      <c r="T32" s="45"/>
      <c r="U32" s="44">
        <f t="shared" si="1"/>
        <v>0</v>
      </c>
    </row>
    <row r="33" spans="1:21" s="44" customFormat="1" ht="12.75" customHeight="1">
      <c r="A33" s="44" t="s">
        <v>48</v>
      </c>
      <c r="C33" s="44" t="s">
        <v>27</v>
      </c>
      <c r="E33" s="45">
        <v>16941825</v>
      </c>
      <c r="F33" s="45"/>
      <c r="G33" s="45">
        <v>30208859</v>
      </c>
      <c r="H33" s="45"/>
      <c r="I33" s="45">
        <v>9906375</v>
      </c>
      <c r="J33" s="45"/>
      <c r="K33" s="45">
        <v>16633833</v>
      </c>
      <c r="L33" s="45"/>
      <c r="M33" s="45">
        <v>1149687</v>
      </c>
      <c r="N33" s="45"/>
      <c r="O33" s="45">
        <v>0</v>
      </c>
      <c r="P33" s="45"/>
      <c r="Q33" s="45">
        <f>7849898+2868361+575497+1131583</f>
        <v>12425339</v>
      </c>
      <c r="R33" s="45"/>
      <c r="S33" s="45">
        <f t="shared" si="0"/>
        <v>13575026</v>
      </c>
      <c r="T33" s="45"/>
      <c r="U33" s="44">
        <f t="shared" si="1"/>
        <v>0</v>
      </c>
    </row>
    <row r="34" spans="1:21" s="44" customFormat="1" ht="12.75" customHeight="1">
      <c r="A34" s="44" t="s">
        <v>49</v>
      </c>
      <c r="C34" s="44" t="s">
        <v>27</v>
      </c>
      <c r="E34" s="45">
        <v>5229507</v>
      </c>
      <c r="F34" s="45"/>
      <c r="G34" s="45">
        <v>19159413</v>
      </c>
      <c r="H34" s="45"/>
      <c r="I34" s="45">
        <v>11734707</v>
      </c>
      <c r="J34" s="45"/>
      <c r="K34" s="45">
        <v>13223131</v>
      </c>
      <c r="L34" s="45"/>
      <c r="M34" s="45">
        <f>390766+112000</f>
        <v>502766</v>
      </c>
      <c r="N34" s="45"/>
      <c r="O34" s="45">
        <v>0</v>
      </c>
      <c r="P34" s="45"/>
      <c r="Q34" s="45">
        <f>1872709+521420+481090+2558297</f>
        <v>5433516</v>
      </c>
      <c r="R34" s="45"/>
      <c r="S34" s="45">
        <f t="shared" si="0"/>
        <v>5936282</v>
      </c>
      <c r="T34" s="45"/>
      <c r="U34" s="44">
        <f t="shared" si="1"/>
        <v>0</v>
      </c>
    </row>
    <row r="35" spans="1:21" s="44" customFormat="1" ht="12.75" customHeight="1">
      <c r="A35" s="44" t="s">
        <v>50</v>
      </c>
      <c r="C35" s="44" t="s">
        <v>27</v>
      </c>
      <c r="E35" s="45">
        <v>18088146</v>
      </c>
      <c r="F35" s="45"/>
      <c r="G35" s="45">
        <v>28328762</v>
      </c>
      <c r="H35" s="45"/>
      <c r="I35" s="45">
        <v>4369340</v>
      </c>
      <c r="J35" s="45"/>
      <c r="K35" s="45">
        <v>7654750</v>
      </c>
      <c r="L35" s="45"/>
      <c r="M35" s="45">
        <f>2687112+150673+530111+1090832</f>
        <v>4458728</v>
      </c>
      <c r="N35" s="45"/>
      <c r="O35" s="45">
        <v>1049591</v>
      </c>
      <c r="P35" s="45"/>
      <c r="Q35" s="45">
        <f>4905898+2527419+460119+7272257</f>
        <v>15165693</v>
      </c>
      <c r="R35" s="45"/>
      <c r="S35" s="45">
        <f t="shared" si="0"/>
        <v>20674012</v>
      </c>
      <c r="T35" s="45"/>
      <c r="U35" s="44">
        <f t="shared" si="1"/>
        <v>0</v>
      </c>
    </row>
    <row r="36" spans="1:21" s="44" customFormat="1" ht="12.75" customHeight="1">
      <c r="A36" s="44" t="s">
        <v>51</v>
      </c>
      <c r="C36" s="44" t="s">
        <v>27</v>
      </c>
      <c r="E36" s="45">
        <v>4308216</v>
      </c>
      <c r="F36" s="45"/>
      <c r="G36" s="45">
        <v>13054583</v>
      </c>
      <c r="H36" s="45"/>
      <c r="I36" s="45">
        <v>3712263</v>
      </c>
      <c r="J36" s="45"/>
      <c r="K36" s="45">
        <v>5357329</v>
      </c>
      <c r="L36" s="45"/>
      <c r="M36" s="45">
        <f>387084+143000+3686087</f>
        <v>4216171</v>
      </c>
      <c r="N36" s="45"/>
      <c r="O36" s="45">
        <v>0</v>
      </c>
      <c r="P36" s="45"/>
      <c r="Q36" s="45">
        <f>1630972+365021+79715+1405375</f>
        <v>3481083</v>
      </c>
      <c r="R36" s="45"/>
      <c r="S36" s="45">
        <f t="shared" si="0"/>
        <v>7697254</v>
      </c>
      <c r="T36" s="45"/>
      <c r="U36" s="44">
        <f t="shared" si="1"/>
        <v>0</v>
      </c>
    </row>
    <row r="37" spans="1:21" s="44" customFormat="1" ht="12.75" customHeight="1">
      <c r="A37" s="44" t="s">
        <v>462</v>
      </c>
      <c r="C37" s="44" t="s">
        <v>66</v>
      </c>
      <c r="E37" s="45">
        <v>2049143</v>
      </c>
      <c r="F37" s="45"/>
      <c r="G37" s="45">
        <v>3512565</v>
      </c>
      <c r="H37" s="45"/>
      <c r="I37" s="45">
        <v>854440</v>
      </c>
      <c r="J37" s="45"/>
      <c r="K37" s="45">
        <v>1128605</v>
      </c>
      <c r="L37" s="45"/>
      <c r="M37" s="45">
        <f>23652+37945+43583+31990</f>
        <v>137170</v>
      </c>
      <c r="N37" s="45"/>
      <c r="O37" s="45">
        <v>0</v>
      </c>
      <c r="P37" s="45"/>
      <c r="Q37" s="45">
        <f>1181740+168758+896292</f>
        <v>2246790</v>
      </c>
      <c r="R37" s="45"/>
      <c r="S37" s="45">
        <f t="shared" si="0"/>
        <v>2383960</v>
      </c>
      <c r="T37" s="45"/>
      <c r="U37" s="44">
        <f t="shared" si="1"/>
        <v>0</v>
      </c>
    </row>
    <row r="38" spans="1:21" s="44" customFormat="1" ht="12.75" customHeight="1">
      <c r="A38" s="44" t="s">
        <v>52</v>
      </c>
      <c r="C38" s="44" t="s">
        <v>53</v>
      </c>
      <c r="E38" s="45">
        <v>11216510</v>
      </c>
      <c r="F38" s="45"/>
      <c r="G38" s="45">
        <v>26136728</v>
      </c>
      <c r="H38" s="45"/>
      <c r="I38" s="45">
        <v>9895415</v>
      </c>
      <c r="J38" s="45"/>
      <c r="K38" s="45">
        <v>21491744</v>
      </c>
      <c r="L38" s="45"/>
      <c r="M38" s="45">
        <f>1393863+15424+1711286+1614282</f>
        <v>4734855</v>
      </c>
      <c r="N38" s="45"/>
      <c r="O38" s="45">
        <v>0</v>
      </c>
      <c r="P38" s="45"/>
      <c r="Q38" s="45">
        <f>1129302+2741246+880047-4840466</f>
        <v>-89871</v>
      </c>
      <c r="R38" s="45"/>
      <c r="S38" s="45">
        <f t="shared" si="0"/>
        <v>4644984</v>
      </c>
      <c r="T38" s="45"/>
      <c r="U38" s="44">
        <f t="shared" si="1"/>
        <v>0</v>
      </c>
    </row>
    <row r="39" spans="1:21" s="44" customFormat="1" ht="12.75" customHeight="1">
      <c r="A39" s="44" t="s">
        <v>54</v>
      </c>
      <c r="C39" s="44" t="s">
        <v>55</v>
      </c>
      <c r="E39" s="45">
        <v>13750248</v>
      </c>
      <c r="F39" s="45"/>
      <c r="G39" s="45">
        <v>18106650</v>
      </c>
      <c r="H39" s="45"/>
      <c r="I39" s="45">
        <v>1433117</v>
      </c>
      <c r="J39" s="45"/>
      <c r="K39" s="45">
        <v>2027919</v>
      </c>
      <c r="L39" s="45"/>
      <c r="M39" s="45">
        <f>1242762+44257+92914+1585542</f>
        <v>2965475</v>
      </c>
      <c r="N39" s="45"/>
      <c r="O39" s="45">
        <v>0</v>
      </c>
      <c r="P39" s="45"/>
      <c r="Q39" s="45">
        <f>1087895+9523702+6889+2494770</f>
        <v>13113256</v>
      </c>
      <c r="R39" s="45"/>
      <c r="S39" s="45">
        <f t="shared" si="0"/>
        <v>16078731</v>
      </c>
      <c r="T39" s="45"/>
      <c r="U39" s="44">
        <f t="shared" si="1"/>
        <v>0</v>
      </c>
    </row>
    <row r="40" spans="1:21" s="44" customFormat="1" ht="12.75" customHeight="1">
      <c r="A40" s="44" t="s">
        <v>56</v>
      </c>
      <c r="C40" s="44" t="s">
        <v>57</v>
      </c>
      <c r="E40" s="45">
        <v>5135312</v>
      </c>
      <c r="F40" s="45"/>
      <c r="G40" s="45">
        <v>8326757</v>
      </c>
      <c r="H40" s="45"/>
      <c r="I40" s="45">
        <v>2120364</v>
      </c>
      <c r="J40" s="45"/>
      <c r="K40" s="45">
        <v>3156759</v>
      </c>
      <c r="L40" s="45"/>
      <c r="M40" s="45">
        <v>266170</v>
      </c>
      <c r="N40" s="45"/>
      <c r="O40" s="45">
        <v>0</v>
      </c>
      <c r="P40" s="45"/>
      <c r="Q40" s="45">
        <f>2286414+2194295+69785+353334</f>
        <v>4903828</v>
      </c>
      <c r="R40" s="45"/>
      <c r="S40" s="45">
        <f t="shared" si="0"/>
        <v>5169998</v>
      </c>
      <c r="T40" s="45"/>
      <c r="U40" s="44">
        <f t="shared" si="1"/>
        <v>0</v>
      </c>
    </row>
    <row r="41" spans="1:21" s="44" customFormat="1" ht="12.75" customHeight="1">
      <c r="A41" s="44" t="s">
        <v>58</v>
      </c>
      <c r="C41" s="44" t="s">
        <v>59</v>
      </c>
      <c r="E41" s="45">
        <v>3789418</v>
      </c>
      <c r="F41" s="45"/>
      <c r="G41" s="45">
        <v>9475506</v>
      </c>
      <c r="H41" s="45"/>
      <c r="I41" s="45">
        <v>3338857</v>
      </c>
      <c r="J41" s="45"/>
      <c r="K41" s="45">
        <v>4164411</v>
      </c>
      <c r="L41" s="45"/>
      <c r="M41" s="45">
        <f>115416+161721</f>
        <v>277137</v>
      </c>
      <c r="N41" s="45"/>
      <c r="O41" s="45">
        <v>0</v>
      </c>
      <c r="P41" s="45"/>
      <c r="Q41" s="45">
        <f>1107398+3469843+81278+375439</f>
        <v>5033958</v>
      </c>
      <c r="R41" s="45"/>
      <c r="S41" s="45">
        <f t="shared" si="0"/>
        <v>5311095</v>
      </c>
      <c r="T41" s="45"/>
      <c r="U41" s="44">
        <f t="shared" si="1"/>
        <v>0</v>
      </c>
    </row>
    <row r="42" spans="1:21" s="44" customFormat="1" ht="12.75" customHeight="1">
      <c r="A42" s="44" t="s">
        <v>476</v>
      </c>
      <c r="C42" s="44" t="s">
        <v>15</v>
      </c>
      <c r="E42" s="45">
        <v>1266689</v>
      </c>
      <c r="F42" s="45"/>
      <c r="G42" s="45">
        <v>2380408</v>
      </c>
      <c r="H42" s="45"/>
      <c r="I42" s="45">
        <v>870788</v>
      </c>
      <c r="J42" s="45"/>
      <c r="K42" s="45">
        <v>1631709</v>
      </c>
      <c r="L42" s="45"/>
      <c r="M42" s="45">
        <v>102160</v>
      </c>
      <c r="N42" s="45"/>
      <c r="O42" s="45">
        <v>0</v>
      </c>
      <c r="P42" s="45"/>
      <c r="Q42" s="45">
        <f>-84062+264132+124570+341899</f>
        <v>646539</v>
      </c>
      <c r="R42" s="45"/>
      <c r="S42" s="45">
        <f>+Q42+O42+M42</f>
        <v>748699</v>
      </c>
      <c r="T42" s="45"/>
      <c r="U42" s="44">
        <f>+G42-K42-S42</f>
        <v>0</v>
      </c>
    </row>
    <row r="43" spans="1:21" s="44" customFormat="1" ht="12.75" customHeight="1">
      <c r="A43" s="44" t="s">
        <v>60</v>
      </c>
      <c r="C43" s="44" t="s">
        <v>61</v>
      </c>
      <c r="E43" s="45">
        <v>3393409</v>
      </c>
      <c r="F43" s="45"/>
      <c r="G43" s="45">
        <v>5218158</v>
      </c>
      <c r="H43" s="45"/>
      <c r="I43" s="45">
        <v>1104238</v>
      </c>
      <c r="J43" s="45"/>
      <c r="K43" s="45">
        <v>1378952</v>
      </c>
      <c r="L43" s="45"/>
      <c r="M43" s="45">
        <f>113914+45483+2259+87400+100000</f>
        <v>349056</v>
      </c>
      <c r="N43" s="45"/>
      <c r="O43" s="45">
        <v>0</v>
      </c>
      <c r="P43" s="45"/>
      <c r="Q43" s="45">
        <f>2087765+845147+370880+59817+126541</f>
        <v>3490150</v>
      </c>
      <c r="R43" s="45"/>
      <c r="S43" s="45">
        <f t="shared" si="0"/>
        <v>3839206</v>
      </c>
      <c r="T43" s="45"/>
      <c r="U43" s="44">
        <f t="shared" si="1"/>
        <v>0</v>
      </c>
    </row>
    <row r="44" spans="1:21" s="44" customFormat="1" ht="12.75" customHeight="1">
      <c r="A44" s="44" t="s">
        <v>62</v>
      </c>
      <c r="C44" s="44" t="s">
        <v>15</v>
      </c>
      <c r="E44" s="45">
        <v>24915403</v>
      </c>
      <c r="F44" s="45"/>
      <c r="G44" s="45">
        <v>55975738</v>
      </c>
      <c r="H44" s="45"/>
      <c r="I44" s="45">
        <v>18411798</v>
      </c>
      <c r="J44" s="45"/>
      <c r="K44" s="45">
        <v>23227328</v>
      </c>
      <c r="L44" s="45"/>
      <c r="M44" s="45">
        <f>223435+9525406+1553011+401923</f>
        <v>11703775</v>
      </c>
      <c r="N44" s="45"/>
      <c r="O44" s="45">
        <v>0</v>
      </c>
      <c r="P44" s="45"/>
      <c r="Q44" s="45">
        <f>6947380+3806492+6239+10284524</f>
        <v>21044635</v>
      </c>
      <c r="R44" s="45"/>
      <c r="S44" s="45">
        <f t="shared" si="0"/>
        <v>32748410</v>
      </c>
      <c r="T44" s="45"/>
      <c r="U44" s="44">
        <f t="shared" si="1"/>
        <v>0</v>
      </c>
    </row>
    <row r="45" spans="1:21" s="44" customFormat="1" ht="12.75" customHeight="1">
      <c r="A45" s="44" t="s">
        <v>485</v>
      </c>
      <c r="C45" s="44" t="s">
        <v>111</v>
      </c>
      <c r="E45" s="45">
        <v>1805406</v>
      </c>
      <c r="F45" s="45"/>
      <c r="G45" s="45">
        <v>2502562</v>
      </c>
      <c r="H45" s="45"/>
      <c r="I45" s="45">
        <v>218886</v>
      </c>
      <c r="J45" s="45"/>
      <c r="K45" s="45">
        <v>3120612</v>
      </c>
      <c r="L45" s="45"/>
      <c r="M45" s="45">
        <f>116474+23773+20974+7569</f>
        <v>168790</v>
      </c>
      <c r="N45" s="45"/>
      <c r="O45" s="45">
        <v>0</v>
      </c>
      <c r="P45" s="45"/>
      <c r="Q45" s="45">
        <f>818227+753317-2358384</f>
        <v>-786840</v>
      </c>
      <c r="R45" s="45"/>
      <c r="S45" s="45">
        <f>+Q45+O45+M45</f>
        <v>-618050</v>
      </c>
      <c r="T45" s="45"/>
      <c r="U45" s="44">
        <f>+G45-K45-S45</f>
        <v>0</v>
      </c>
    </row>
    <row r="46" spans="1:21" s="44" customFormat="1" ht="12.75" customHeight="1">
      <c r="A46" s="44" t="s">
        <v>63</v>
      </c>
      <c r="C46" s="44" t="s">
        <v>64</v>
      </c>
      <c r="E46" s="45">
        <v>3492182</v>
      </c>
      <c r="F46" s="45"/>
      <c r="G46" s="45">
        <v>12490380</v>
      </c>
      <c r="H46" s="45"/>
      <c r="I46" s="45">
        <v>8080366</v>
      </c>
      <c r="J46" s="45"/>
      <c r="K46" s="45">
        <v>11772473</v>
      </c>
      <c r="L46" s="45"/>
      <c r="M46" s="45">
        <f>315308+9840+51867</f>
        <v>377015</v>
      </c>
      <c r="N46" s="45"/>
      <c r="O46" s="45">
        <v>0</v>
      </c>
      <c r="P46" s="45"/>
      <c r="Q46" s="45">
        <f>1321881+408228+32607-1421824</f>
        <v>340892</v>
      </c>
      <c r="R46" s="45"/>
      <c r="S46" s="45">
        <f t="shared" si="0"/>
        <v>717907</v>
      </c>
      <c r="T46" s="45"/>
      <c r="U46" s="44">
        <f t="shared" si="1"/>
        <v>0</v>
      </c>
    </row>
    <row r="47" spans="1:21" s="44" customFormat="1" ht="12.75" customHeight="1">
      <c r="A47" s="44" t="s">
        <v>65</v>
      </c>
      <c r="C47" s="44" t="s">
        <v>66</v>
      </c>
      <c r="E47" s="45">
        <v>1792179</v>
      </c>
      <c r="F47" s="45"/>
      <c r="G47" s="45">
        <v>38251950</v>
      </c>
      <c r="H47" s="45"/>
      <c r="I47" s="45">
        <v>15314320</v>
      </c>
      <c r="J47" s="45"/>
      <c r="K47" s="45">
        <v>16299559</v>
      </c>
      <c r="L47" s="45"/>
      <c r="M47" s="45">
        <f>1408273+96635+2113822+102523</f>
        <v>3721253</v>
      </c>
      <c r="N47" s="45"/>
      <c r="O47" s="45">
        <v>6000000</v>
      </c>
      <c r="P47" s="45"/>
      <c r="Q47" s="45">
        <f>10389316+715552+1126270</f>
        <v>12231138</v>
      </c>
      <c r="R47" s="45"/>
      <c r="S47" s="45">
        <f>+Q47+O47+M47</f>
        <v>21952391</v>
      </c>
      <c r="T47" s="45"/>
      <c r="U47" s="44">
        <f>+G47-K47-S47</f>
        <v>0</v>
      </c>
    </row>
    <row r="48" spans="1:21" s="44" customFormat="1" ht="12.75" customHeight="1">
      <c r="A48" s="44" t="s">
        <v>67</v>
      </c>
      <c r="C48" s="44" t="s">
        <v>375</v>
      </c>
      <c r="E48" s="45">
        <v>5340559</v>
      </c>
      <c r="F48" s="45"/>
      <c r="G48" s="45">
        <v>8278209</v>
      </c>
      <c r="H48" s="45"/>
      <c r="I48" s="45">
        <v>2130842</v>
      </c>
      <c r="J48" s="45"/>
      <c r="K48" s="45">
        <v>2526568</v>
      </c>
      <c r="L48" s="45"/>
      <c r="M48" s="45">
        <f>591572+209460</f>
        <v>801032</v>
      </c>
      <c r="N48" s="45"/>
      <c r="O48" s="45">
        <v>0</v>
      </c>
      <c r="P48" s="45"/>
      <c r="Q48" s="45">
        <f>2389034+2234865+874+325836</f>
        <v>4950609</v>
      </c>
      <c r="R48" s="45"/>
      <c r="S48" s="45">
        <f t="shared" ref="S48:S53" si="2">+Q48+O48+M48</f>
        <v>5751641</v>
      </c>
      <c r="T48" s="45"/>
      <c r="U48" s="44">
        <f t="shared" ref="U48:U61" si="3">+G48-K48-S48</f>
        <v>0</v>
      </c>
    </row>
    <row r="49" spans="1:21" s="44" customFormat="1" ht="12.75" customHeight="1">
      <c r="A49" s="44" t="s">
        <v>68</v>
      </c>
      <c r="C49" s="44" t="s">
        <v>45</v>
      </c>
      <c r="E49" s="45">
        <v>731737</v>
      </c>
      <c r="F49" s="45"/>
      <c r="G49" s="45">
        <v>3333977</v>
      </c>
      <c r="H49" s="45"/>
      <c r="I49" s="45">
        <v>1898611</v>
      </c>
      <c r="J49" s="45"/>
      <c r="K49" s="45">
        <v>2270165</v>
      </c>
      <c r="L49" s="45"/>
      <c r="M49" s="45">
        <f>67951+11080+49940</f>
        <v>128971</v>
      </c>
      <c r="N49" s="45"/>
      <c r="O49" s="45">
        <v>0</v>
      </c>
      <c r="P49" s="45"/>
      <c r="Q49" s="45">
        <f>336333+408445+8+190055</f>
        <v>934841</v>
      </c>
      <c r="R49" s="45"/>
      <c r="S49" s="45">
        <f t="shared" si="2"/>
        <v>1063812</v>
      </c>
      <c r="T49" s="45"/>
      <c r="U49" s="44">
        <f t="shared" si="3"/>
        <v>0</v>
      </c>
    </row>
    <row r="50" spans="1:21" s="44" customFormat="1" ht="12.75" customHeight="1">
      <c r="A50" s="44" t="s">
        <v>69</v>
      </c>
      <c r="C50" s="44" t="s">
        <v>70</v>
      </c>
      <c r="E50" s="45">
        <v>7867174</v>
      </c>
      <c r="F50" s="45"/>
      <c r="G50" s="45">
        <v>15052288</v>
      </c>
      <c r="H50" s="45"/>
      <c r="I50" s="45">
        <v>2798753</v>
      </c>
      <c r="J50" s="45"/>
      <c r="K50" s="45">
        <v>7708549</v>
      </c>
      <c r="L50" s="45"/>
      <c r="M50" s="45">
        <f>1000+1580001+126861</f>
        <v>1707862</v>
      </c>
      <c r="N50" s="45"/>
      <c r="O50" s="45">
        <v>0</v>
      </c>
      <c r="P50" s="45"/>
      <c r="Q50" s="45">
        <f>4463107+581784+16325+572514+2147</f>
        <v>5635877</v>
      </c>
      <c r="R50" s="45"/>
      <c r="S50" s="45">
        <f t="shared" si="2"/>
        <v>7343739</v>
      </c>
      <c r="T50" s="45"/>
      <c r="U50" s="44">
        <f t="shared" si="3"/>
        <v>0</v>
      </c>
    </row>
    <row r="51" spans="1:21" s="44" customFormat="1" ht="12.75" customHeight="1">
      <c r="A51" s="44" t="s">
        <v>71</v>
      </c>
      <c r="C51" s="44" t="s">
        <v>45</v>
      </c>
      <c r="E51" s="45">
        <f>25281+339627+170+65644</f>
        <v>430722</v>
      </c>
      <c r="F51" s="45"/>
      <c r="G51" s="45">
        <v>638141</v>
      </c>
      <c r="H51" s="45"/>
      <c r="I51" s="45">
        <v>144498</v>
      </c>
      <c r="J51" s="45"/>
      <c r="K51" s="45">
        <v>213019</v>
      </c>
      <c r="L51" s="45"/>
      <c r="M51" s="45">
        <f>170+121771+9394+25312+2035+4218+67080</f>
        <v>229980</v>
      </c>
      <c r="N51" s="45"/>
      <c r="O51" s="45">
        <v>0</v>
      </c>
      <c r="P51" s="45"/>
      <c r="Q51" s="45">
        <f>51044+1500+927+105996+21427+5000+8683+565</f>
        <v>195142</v>
      </c>
      <c r="R51" s="45"/>
      <c r="S51" s="45">
        <f t="shared" si="2"/>
        <v>425122</v>
      </c>
      <c r="T51" s="45"/>
      <c r="U51" s="44">
        <f t="shared" si="3"/>
        <v>0</v>
      </c>
    </row>
    <row r="52" spans="1:21" s="44" customFormat="1" ht="12.75" customHeight="1">
      <c r="A52" s="44" t="s">
        <v>463</v>
      </c>
      <c r="C52" s="44" t="s">
        <v>464</v>
      </c>
      <c r="E52" s="45">
        <v>3895634</v>
      </c>
      <c r="F52" s="45"/>
      <c r="G52" s="45">
        <v>9324776</v>
      </c>
      <c r="H52" s="45"/>
      <c r="I52" s="45">
        <v>3446694</v>
      </c>
      <c r="J52" s="45"/>
      <c r="K52" s="45">
        <v>4106708</v>
      </c>
      <c r="L52" s="45"/>
      <c r="M52" s="45">
        <f>373638+1060016</f>
        <v>1433654</v>
      </c>
      <c r="N52" s="45"/>
      <c r="O52" s="45">
        <v>0</v>
      </c>
      <c r="P52" s="45"/>
      <c r="Q52" s="45">
        <f>1035267+1662207+147021+939919</f>
        <v>3784414</v>
      </c>
      <c r="R52" s="45"/>
      <c r="S52" s="45">
        <f t="shared" si="2"/>
        <v>5218068</v>
      </c>
      <c r="T52" s="45"/>
      <c r="U52" s="44">
        <f t="shared" si="3"/>
        <v>0</v>
      </c>
    </row>
    <row r="53" spans="1:21" s="44" customFormat="1" ht="12.75" customHeight="1">
      <c r="A53" s="44" t="s">
        <v>72</v>
      </c>
      <c r="C53" s="44" t="s">
        <v>66</v>
      </c>
      <c r="E53" s="45">
        <v>2537352</v>
      </c>
      <c r="F53" s="45"/>
      <c r="G53" s="45">
        <v>9430961</v>
      </c>
      <c r="H53" s="45"/>
      <c r="I53" s="45">
        <v>5627126</v>
      </c>
      <c r="J53" s="45"/>
      <c r="K53" s="45">
        <v>6768264</v>
      </c>
      <c r="L53" s="45"/>
      <c r="M53" s="45">
        <v>543850</v>
      </c>
      <c r="N53" s="45"/>
      <c r="O53" s="45">
        <v>0</v>
      </c>
      <c r="P53" s="45"/>
      <c r="Q53" s="45">
        <v>2118847</v>
      </c>
      <c r="R53" s="45"/>
      <c r="S53" s="45">
        <f t="shared" si="2"/>
        <v>2662697</v>
      </c>
      <c r="T53" s="45"/>
      <c r="U53" s="44">
        <f t="shared" si="3"/>
        <v>0</v>
      </c>
    </row>
    <row r="54" spans="1:21" s="44" customFormat="1" ht="12.75" customHeight="1">
      <c r="A54" s="44" t="s">
        <v>342</v>
      </c>
      <c r="C54" s="44" t="s">
        <v>27</v>
      </c>
      <c r="E54" s="45">
        <f>312122000+5702000</f>
        <v>317824000</v>
      </c>
      <c r="F54" s="45"/>
      <c r="G54" s="45">
        <v>720916000</v>
      </c>
      <c r="H54" s="45"/>
      <c r="I54" s="45">
        <v>100006000</v>
      </c>
      <c r="J54" s="45"/>
      <c r="K54" s="45">
        <v>301473000</v>
      </c>
      <c r="L54" s="45"/>
      <c r="M54" s="45">
        <f>122929000+893000+37560000+116964000+8382000</f>
        <v>286728000</v>
      </c>
      <c r="N54" s="45"/>
      <c r="O54" s="45">
        <v>0</v>
      </c>
      <c r="P54" s="45"/>
      <c r="Q54" s="45">
        <f>23000+16833000+6088000+66333000+33111000+10327000</f>
        <v>132715000</v>
      </c>
      <c r="R54" s="45"/>
      <c r="S54" s="45">
        <f t="shared" ref="S54:S61" si="4">+Q54+O54+M54</f>
        <v>419443000</v>
      </c>
      <c r="T54" s="45"/>
      <c r="U54" s="44">
        <f t="shared" si="3"/>
        <v>0</v>
      </c>
    </row>
    <row r="55" spans="1:21" s="44" customFormat="1" ht="12.75" hidden="1" customHeight="1">
      <c r="A55" s="44" t="s">
        <v>74</v>
      </c>
      <c r="C55" s="44" t="s">
        <v>27</v>
      </c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>
        <f t="shared" si="4"/>
        <v>0</v>
      </c>
      <c r="T55" s="45"/>
      <c r="U55" s="44">
        <f t="shared" si="3"/>
        <v>0</v>
      </c>
    </row>
    <row r="56" spans="1:21" s="44" customFormat="1" ht="12.75" customHeight="1">
      <c r="A56" s="44" t="s">
        <v>75</v>
      </c>
      <c r="C56" s="44" t="s">
        <v>76</v>
      </c>
      <c r="E56" s="45">
        <v>1183151</v>
      </c>
      <c r="F56" s="45"/>
      <c r="G56" s="45">
        <v>2696573</v>
      </c>
      <c r="H56" s="45"/>
      <c r="I56" s="45">
        <v>538138</v>
      </c>
      <c r="J56" s="45"/>
      <c r="K56" s="45">
        <v>1116167</v>
      </c>
      <c r="L56" s="45"/>
      <c r="M56" s="45">
        <f>60236+23926+6235</f>
        <v>90397</v>
      </c>
      <c r="N56" s="45"/>
      <c r="O56" s="45">
        <v>0</v>
      </c>
      <c r="P56" s="45"/>
      <c r="Q56" s="45">
        <f>535783+544494+5424+404308</f>
        <v>1490009</v>
      </c>
      <c r="R56" s="45"/>
      <c r="S56" s="45">
        <f t="shared" si="4"/>
        <v>1580406</v>
      </c>
      <c r="T56" s="45"/>
      <c r="U56" s="44">
        <f t="shared" si="3"/>
        <v>0</v>
      </c>
    </row>
    <row r="57" spans="1:21" s="44" customFormat="1" ht="12.75" customHeight="1">
      <c r="A57" s="44" t="s">
        <v>77</v>
      </c>
      <c r="C57" s="44" t="s">
        <v>43</v>
      </c>
      <c r="E57" s="45">
        <f>373495000+462000+8720000+1805000</f>
        <v>384482000</v>
      </c>
      <c r="F57" s="45"/>
      <c r="G57" s="45">
        <v>596571000</v>
      </c>
      <c r="H57" s="45"/>
      <c r="I57" s="45">
        <v>128052000</v>
      </c>
      <c r="J57" s="45"/>
      <c r="K57" s="45">
        <v>206043000</v>
      </c>
      <c r="L57" s="45"/>
      <c r="M57" s="45">
        <f>260251000+10719000</f>
        <v>270970000</v>
      </c>
      <c r="N57" s="45"/>
      <c r="O57" s="45">
        <v>0</v>
      </c>
      <c r="P57" s="45"/>
      <c r="Q57" s="45">
        <f>45373000+9991000+117971000+3416000-57193000</f>
        <v>119558000</v>
      </c>
      <c r="R57" s="45"/>
      <c r="S57" s="45">
        <f t="shared" si="4"/>
        <v>390528000</v>
      </c>
      <c r="T57" s="45"/>
      <c r="U57" s="44">
        <f t="shared" si="3"/>
        <v>0</v>
      </c>
    </row>
    <row r="58" spans="1:21" s="44" customFormat="1" ht="12.75" customHeight="1">
      <c r="A58" s="44" t="s">
        <v>94</v>
      </c>
      <c r="C58" s="44" t="s">
        <v>94</v>
      </c>
      <c r="E58" s="45">
        <f>1435173+393463</f>
        <v>1828636</v>
      </c>
      <c r="F58" s="45"/>
      <c r="G58" s="45">
        <v>3065899</v>
      </c>
      <c r="H58" s="45"/>
      <c r="I58" s="45">
        <v>681719</v>
      </c>
      <c r="J58" s="45"/>
      <c r="K58" s="45">
        <v>1123950</v>
      </c>
      <c r="L58" s="45"/>
      <c r="M58" s="45">
        <f>95580+66636+14360+167459</f>
        <v>344035</v>
      </c>
      <c r="N58" s="45"/>
      <c r="O58" s="45">
        <v>0</v>
      </c>
      <c r="P58" s="45"/>
      <c r="Q58" s="45">
        <f>241880+685497+94920+575617</f>
        <v>1597914</v>
      </c>
      <c r="R58" s="45"/>
      <c r="S58" s="45">
        <f>+Q58+O58+M58</f>
        <v>1941949</v>
      </c>
      <c r="T58" s="45"/>
      <c r="U58" s="44">
        <f>+G58-K58-S58</f>
        <v>0</v>
      </c>
    </row>
    <row r="59" spans="1:21" s="44" customFormat="1" ht="12.75" customHeight="1">
      <c r="A59" s="44" t="s">
        <v>78</v>
      </c>
      <c r="C59" s="44" t="s">
        <v>19</v>
      </c>
      <c r="E59" s="45">
        <v>2414737</v>
      </c>
      <c r="F59" s="45"/>
      <c r="G59" s="45">
        <v>7208755</v>
      </c>
      <c r="H59" s="45"/>
      <c r="I59" s="45">
        <v>3723798</v>
      </c>
      <c r="J59" s="45"/>
      <c r="K59" s="45">
        <v>4445926</v>
      </c>
      <c r="L59" s="45"/>
      <c r="M59" s="45">
        <f>60957+6577</f>
        <v>67534</v>
      </c>
      <c r="N59" s="45"/>
      <c r="O59" s="45">
        <v>0</v>
      </c>
      <c r="P59" s="45"/>
      <c r="Q59" s="45">
        <f>205180+909427+675692+904996</f>
        <v>2695295</v>
      </c>
      <c r="R59" s="45"/>
      <c r="S59" s="45">
        <f t="shared" si="4"/>
        <v>2762829</v>
      </c>
      <c r="T59" s="45"/>
      <c r="U59" s="44">
        <f t="shared" si="3"/>
        <v>0</v>
      </c>
    </row>
    <row r="60" spans="1:21" s="44" customFormat="1" ht="12.75" customHeight="1">
      <c r="A60" s="44" t="s">
        <v>79</v>
      </c>
      <c r="C60" s="44" t="s">
        <v>80</v>
      </c>
      <c r="E60" s="45">
        <v>1514752</v>
      </c>
      <c r="F60" s="45"/>
      <c r="G60" s="45">
        <v>4490475</v>
      </c>
      <c r="H60" s="45"/>
      <c r="I60" s="45">
        <v>2759698</v>
      </c>
      <c r="J60" s="45"/>
      <c r="K60" s="45">
        <v>2969935</v>
      </c>
      <c r="L60" s="45"/>
      <c r="M60" s="45">
        <f>4355+0</f>
        <v>4355</v>
      </c>
      <c r="N60" s="45"/>
      <c r="O60" s="45">
        <v>0</v>
      </c>
      <c r="P60" s="45"/>
      <c r="Q60" s="45">
        <f>565181+855011+95993</f>
        <v>1516185</v>
      </c>
      <c r="R60" s="45"/>
      <c r="S60" s="45">
        <f t="shared" si="4"/>
        <v>1520540</v>
      </c>
      <c r="T60" s="45"/>
      <c r="U60" s="44">
        <f t="shared" si="3"/>
        <v>0</v>
      </c>
    </row>
    <row r="61" spans="1:21" s="44" customFormat="1" ht="12.75" customHeight="1">
      <c r="A61" s="44" t="s">
        <v>81</v>
      </c>
      <c r="C61" s="44" t="s">
        <v>81</v>
      </c>
      <c r="E61" s="45">
        <v>1167337</v>
      </c>
      <c r="F61" s="45"/>
      <c r="G61" s="45">
        <v>3896277</v>
      </c>
      <c r="H61" s="45"/>
      <c r="I61" s="45">
        <v>1102476</v>
      </c>
      <c r="J61" s="45"/>
      <c r="K61" s="45">
        <v>2576038</v>
      </c>
      <c r="L61" s="45"/>
      <c r="M61" s="45">
        <f>63526+73166+2251+42559+250000</f>
        <v>431502</v>
      </c>
      <c r="N61" s="45"/>
      <c r="O61" s="45">
        <v>0</v>
      </c>
      <c r="P61" s="45"/>
      <c r="Q61" s="45">
        <f>811486+300275+140605-363629</f>
        <v>888737</v>
      </c>
      <c r="R61" s="45"/>
      <c r="S61" s="45">
        <f t="shared" si="4"/>
        <v>1320239</v>
      </c>
      <c r="T61" s="45"/>
      <c r="U61" s="44">
        <f t="shared" si="3"/>
        <v>0</v>
      </c>
    </row>
    <row r="62" spans="1:21" s="44" customFormat="1" ht="12.75" customHeight="1">
      <c r="A62" s="47" t="s">
        <v>465</v>
      </c>
      <c r="B62" s="47"/>
      <c r="C62" s="47" t="s">
        <v>57</v>
      </c>
      <c r="E62" s="45">
        <v>1447684</v>
      </c>
      <c r="F62" s="45"/>
      <c r="G62" s="45">
        <v>2561808</v>
      </c>
      <c r="H62" s="45"/>
      <c r="I62" s="45">
        <v>654963</v>
      </c>
      <c r="J62" s="45"/>
      <c r="K62" s="45">
        <v>1155319</v>
      </c>
      <c r="L62" s="45"/>
      <c r="M62" s="45">
        <f>14757+20946+118000+96409</f>
        <v>250112</v>
      </c>
      <c r="N62" s="45"/>
      <c r="O62" s="45">
        <v>0</v>
      </c>
      <c r="P62" s="45"/>
      <c r="Q62" s="45">
        <f>844930+217439+94008</f>
        <v>1156377</v>
      </c>
      <c r="R62" s="45"/>
      <c r="S62" s="45">
        <f>+Q62+O62+M62</f>
        <v>1406489</v>
      </c>
      <c r="T62" s="45"/>
      <c r="U62" s="44">
        <f>+G62-K62-S62</f>
        <v>0</v>
      </c>
    </row>
    <row r="63" spans="1:21" s="44" customFormat="1" ht="12.75" customHeight="1">
      <c r="A63" s="44" t="s">
        <v>82</v>
      </c>
      <c r="C63" s="44" t="s">
        <v>13</v>
      </c>
      <c r="E63" s="45">
        <f>15230304+155501+365759+41000</f>
        <v>15792564</v>
      </c>
      <c r="F63" s="45"/>
      <c r="G63" s="45">
        <v>53127733</v>
      </c>
      <c r="H63" s="45"/>
      <c r="I63" s="45">
        <v>16744184</v>
      </c>
      <c r="J63" s="45"/>
      <c r="K63" s="45">
        <v>34614230</v>
      </c>
      <c r="L63" s="45"/>
      <c r="M63" s="45">
        <f>1659898+119714+214316+470328+1953969+19804+218197+10793252</f>
        <v>15449478</v>
      </c>
      <c r="N63" s="45"/>
      <c r="O63" s="45">
        <v>0</v>
      </c>
      <c r="P63" s="45"/>
      <c r="Q63" s="45">
        <f>7599834+3474129-8009938</f>
        <v>3064025</v>
      </c>
      <c r="R63" s="45"/>
      <c r="S63" s="45">
        <f t="shared" ref="S63:S65" si="5">+Q63+O63+M63</f>
        <v>18513503</v>
      </c>
      <c r="T63" s="45"/>
      <c r="U63" s="44">
        <f t="shared" si="1"/>
        <v>0</v>
      </c>
    </row>
    <row r="64" spans="1:21" s="44" customFormat="1" ht="12.75" customHeight="1">
      <c r="A64" s="44" t="s">
        <v>83</v>
      </c>
      <c r="C64" s="44" t="s">
        <v>66</v>
      </c>
      <c r="E64" s="45">
        <f>86196757+77085</f>
        <v>86273842</v>
      </c>
      <c r="F64" s="45"/>
      <c r="G64" s="45">
        <v>196914765</v>
      </c>
      <c r="H64" s="45"/>
      <c r="I64" s="45">
        <v>33061285</v>
      </c>
      <c r="J64" s="45"/>
      <c r="K64" s="45">
        <v>71508732</v>
      </c>
      <c r="L64" s="45"/>
      <c r="M64" s="45">
        <f>38925450+352511+375130+11076643+15943399+102228+26260000</f>
        <v>93035361</v>
      </c>
      <c r="N64" s="45"/>
      <c r="O64" s="45">
        <f>10172634+1116000</f>
        <v>11288634</v>
      </c>
      <c r="P64" s="45"/>
      <c r="Q64" s="45">
        <f>31002915+60413-416332-9564958</f>
        <v>21082038</v>
      </c>
      <c r="R64" s="45"/>
      <c r="S64" s="45">
        <f>+Q64+O64+M64</f>
        <v>125406033</v>
      </c>
      <c r="T64" s="45"/>
      <c r="U64" s="44">
        <f>+G64-K64-S64</f>
        <v>0</v>
      </c>
    </row>
    <row r="65" spans="1:21" s="44" customFormat="1" ht="12.75" customHeight="1">
      <c r="A65" s="44" t="s">
        <v>84</v>
      </c>
      <c r="C65" s="44" t="s">
        <v>45</v>
      </c>
      <c r="E65" s="45">
        <v>1665760</v>
      </c>
      <c r="F65" s="45"/>
      <c r="G65" s="45">
        <v>3584946</v>
      </c>
      <c r="H65" s="45"/>
      <c r="I65" s="45">
        <v>1549539</v>
      </c>
      <c r="J65" s="45"/>
      <c r="K65" s="45">
        <v>1714264</v>
      </c>
      <c r="L65" s="45"/>
      <c r="M65" s="45">
        <v>0</v>
      </c>
      <c r="N65" s="45"/>
      <c r="O65" s="45">
        <v>0</v>
      </c>
      <c r="P65" s="45"/>
      <c r="Q65" s="45">
        <f>1250136+620546</f>
        <v>1870682</v>
      </c>
      <c r="R65" s="45"/>
      <c r="S65" s="45">
        <f t="shared" si="5"/>
        <v>1870682</v>
      </c>
      <c r="T65" s="45"/>
      <c r="U65" s="44">
        <f t="shared" si="1"/>
        <v>0</v>
      </c>
    </row>
    <row r="66" spans="1:21" s="44" customFormat="1" ht="12.75" customHeight="1">
      <c r="A66" s="44" t="s">
        <v>85</v>
      </c>
      <c r="C66" s="44" t="s">
        <v>85</v>
      </c>
      <c r="E66" s="45">
        <f>7217526+196654</f>
        <v>7414180</v>
      </c>
      <c r="F66" s="45"/>
      <c r="G66" s="45">
        <v>12343154</v>
      </c>
      <c r="H66" s="45"/>
      <c r="I66" s="45">
        <v>1064380</v>
      </c>
      <c r="J66" s="45"/>
      <c r="K66" s="45">
        <v>2590057</v>
      </c>
      <c r="L66" s="45"/>
      <c r="M66" s="45">
        <f>1558490+135000+35940+1450586+902239+196654</f>
        <v>4278909</v>
      </c>
      <c r="N66" s="45"/>
      <c r="O66" s="45">
        <v>0</v>
      </c>
      <c r="P66" s="45"/>
      <c r="Q66" s="45">
        <f>3019128+2012299+442761</f>
        <v>5474188</v>
      </c>
      <c r="R66" s="45"/>
      <c r="S66" s="45">
        <f t="shared" si="0"/>
        <v>9753097</v>
      </c>
      <c r="T66" s="45"/>
      <c r="U66" s="44">
        <f t="shared" si="1"/>
        <v>0</v>
      </c>
    </row>
    <row r="67" spans="1:21" s="44" customFormat="1" ht="12.75" customHeight="1">
      <c r="A67" s="44" t="s">
        <v>86</v>
      </c>
      <c r="C67" s="44" t="s">
        <v>86</v>
      </c>
      <c r="E67" s="45">
        <v>16947895</v>
      </c>
      <c r="F67" s="45"/>
      <c r="G67" s="45">
        <v>28500618</v>
      </c>
      <c r="H67" s="45"/>
      <c r="I67" s="45">
        <v>6569138</v>
      </c>
      <c r="J67" s="45"/>
      <c r="K67" s="45">
        <v>26328213</v>
      </c>
      <c r="L67" s="45"/>
      <c r="M67" s="45">
        <f>1941264+1395641+57377+39208</f>
        <v>3433490</v>
      </c>
      <c r="N67" s="45"/>
      <c r="O67" s="45">
        <v>0</v>
      </c>
      <c r="P67" s="45"/>
      <c r="Q67" s="45">
        <f>4329430+4174827-95031-9670311</f>
        <v>-1261085</v>
      </c>
      <c r="R67" s="45"/>
      <c r="S67" s="45">
        <f t="shared" si="0"/>
        <v>2172405</v>
      </c>
      <c r="T67" s="45"/>
      <c r="U67" s="44">
        <f t="shared" si="1"/>
        <v>0</v>
      </c>
    </row>
    <row r="68" spans="1:21" s="44" customFormat="1" ht="12.75" customHeight="1">
      <c r="A68" s="44" t="s">
        <v>87</v>
      </c>
      <c r="C68" s="44" t="s">
        <v>88</v>
      </c>
      <c r="D68" s="35"/>
      <c r="E68" s="45">
        <v>1171575</v>
      </c>
      <c r="F68" s="45"/>
      <c r="G68" s="45">
        <v>2941651</v>
      </c>
      <c r="H68" s="45"/>
      <c r="I68" s="45">
        <v>1179606</v>
      </c>
      <c r="J68" s="45"/>
      <c r="K68" s="45">
        <v>1369480</v>
      </c>
      <c r="L68" s="45"/>
      <c r="M68" s="45">
        <f>146134+578</f>
        <v>146712</v>
      </c>
      <c r="N68" s="45"/>
      <c r="O68" s="45">
        <v>0</v>
      </c>
      <c r="P68" s="45"/>
      <c r="Q68" s="45">
        <f>660681+943487-178709</f>
        <v>1425459</v>
      </c>
      <c r="R68" s="45"/>
      <c r="S68" s="45">
        <f t="shared" si="0"/>
        <v>1572171</v>
      </c>
      <c r="T68" s="45"/>
      <c r="U68" s="44">
        <f>+G68-K68-S68</f>
        <v>0</v>
      </c>
    </row>
    <row r="69" spans="1:21" s="44" customFormat="1" ht="12.75" customHeight="1">
      <c r="D69" s="3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8" t="s">
        <v>484</v>
      </c>
      <c r="T69" s="45"/>
    </row>
    <row r="70" spans="1:21" s="44" customFormat="1" ht="12.75" customHeight="1">
      <c r="A70" s="44" t="s">
        <v>394</v>
      </c>
      <c r="C70" s="44" t="s">
        <v>89</v>
      </c>
      <c r="E70" s="94">
        <f>3124448+20900</f>
        <v>3145348</v>
      </c>
      <c r="F70" s="94"/>
      <c r="G70" s="94">
        <v>7959321</v>
      </c>
      <c r="H70" s="94"/>
      <c r="I70" s="94">
        <v>2349556</v>
      </c>
      <c r="J70" s="94"/>
      <c r="K70" s="94">
        <v>3628296</v>
      </c>
      <c r="L70" s="94"/>
      <c r="M70" s="94">
        <f>166045+261290</f>
        <v>427335</v>
      </c>
      <c r="N70" s="94"/>
      <c r="O70" s="94">
        <v>0</v>
      </c>
      <c r="P70" s="94"/>
      <c r="Q70" s="94">
        <f>1161245+1173059+1569386</f>
        <v>3903690</v>
      </c>
      <c r="R70" s="94"/>
      <c r="S70" s="94">
        <f t="shared" si="0"/>
        <v>4331025</v>
      </c>
      <c r="T70" s="94"/>
      <c r="U70" s="46">
        <f t="shared" si="1"/>
        <v>0</v>
      </c>
    </row>
    <row r="71" spans="1:21" s="44" customFormat="1" ht="12.75" customHeight="1">
      <c r="A71" s="44" t="s">
        <v>90</v>
      </c>
      <c r="C71" s="44" t="s">
        <v>43</v>
      </c>
      <c r="E71" s="45">
        <f>66087819+623614</f>
        <v>66711433</v>
      </c>
      <c r="F71" s="45"/>
      <c r="G71" s="45">
        <v>160202260</v>
      </c>
      <c r="H71" s="45"/>
      <c r="I71" s="45">
        <v>49722297</v>
      </c>
      <c r="J71" s="45"/>
      <c r="K71" s="45">
        <v>102411552</v>
      </c>
      <c r="L71" s="45"/>
      <c r="M71" s="45">
        <f>8126478+521882+820433+36321480+835108</f>
        <v>46625381</v>
      </c>
      <c r="N71" s="45"/>
      <c r="O71" s="45">
        <v>1421481</v>
      </c>
      <c r="P71" s="45"/>
      <c r="Q71" s="45">
        <f>17912920+8027917-16196991</f>
        <v>9743846</v>
      </c>
      <c r="R71" s="45"/>
      <c r="S71" s="45">
        <f t="shared" si="0"/>
        <v>57790708</v>
      </c>
      <c r="T71" s="45"/>
      <c r="U71" s="44">
        <f t="shared" si="1"/>
        <v>0</v>
      </c>
    </row>
    <row r="72" spans="1:21" s="44" customFormat="1" ht="12.75" customHeight="1">
      <c r="A72" s="44" t="s">
        <v>93</v>
      </c>
      <c r="C72" s="44" t="s">
        <v>94</v>
      </c>
      <c r="E72" s="45">
        <v>1317951</v>
      </c>
      <c r="F72" s="45"/>
      <c r="G72" s="45">
        <v>4850778</v>
      </c>
      <c r="H72" s="45"/>
      <c r="I72" s="45">
        <v>2701082</v>
      </c>
      <c r="J72" s="45"/>
      <c r="K72" s="45">
        <v>3157336</v>
      </c>
      <c r="L72" s="45"/>
      <c r="M72" s="45">
        <f>299180+106758</f>
        <v>405938</v>
      </c>
      <c r="N72" s="45"/>
      <c r="O72" s="45">
        <v>0</v>
      </c>
      <c r="P72" s="45"/>
      <c r="Q72" s="45">
        <f>639860+300041+31771+315832</f>
        <v>1287504</v>
      </c>
      <c r="R72" s="45"/>
      <c r="S72" s="45">
        <f t="shared" si="0"/>
        <v>1693442</v>
      </c>
      <c r="T72" s="45"/>
      <c r="U72" s="44">
        <f t="shared" si="1"/>
        <v>0</v>
      </c>
    </row>
    <row r="73" spans="1:21" s="44" customFormat="1" ht="12.75" customHeight="1">
      <c r="A73" s="44" t="s">
        <v>488</v>
      </c>
      <c r="C73" s="44" t="s">
        <v>27</v>
      </c>
      <c r="E73" s="45">
        <f>3711262+119980</f>
        <v>3831242</v>
      </c>
      <c r="F73" s="45"/>
      <c r="G73" s="45">
        <v>13542012</v>
      </c>
      <c r="H73" s="45"/>
      <c r="I73" s="45">
        <v>7190084</v>
      </c>
      <c r="J73" s="45"/>
      <c r="K73" s="45">
        <v>11002856</v>
      </c>
      <c r="L73" s="45"/>
      <c r="M73" s="45">
        <v>1489179</v>
      </c>
      <c r="N73" s="45"/>
      <c r="O73" s="45">
        <v>0</v>
      </c>
      <c r="P73" s="45"/>
      <c r="Q73" s="45">
        <f>-951244+771344+12370+1217507</f>
        <v>1049977</v>
      </c>
      <c r="R73" s="45"/>
      <c r="S73" s="45">
        <f>+Q73+O73+M73</f>
        <v>2539156</v>
      </c>
      <c r="T73" s="45"/>
      <c r="U73" s="44">
        <f>+G73-K73-S73</f>
        <v>0</v>
      </c>
    </row>
    <row r="74" spans="1:21" s="46" customFormat="1" ht="12.75" customHeight="1">
      <c r="A74" s="46" t="s">
        <v>95</v>
      </c>
      <c r="C74" s="46" t="s">
        <v>94</v>
      </c>
      <c r="E74" s="45">
        <f>316152+33574</f>
        <v>349726</v>
      </c>
      <c r="F74" s="45"/>
      <c r="G74" s="45">
        <v>4643093</v>
      </c>
      <c r="H74" s="45"/>
      <c r="I74" s="45">
        <v>2994778</v>
      </c>
      <c r="J74" s="45"/>
      <c r="K74" s="45">
        <v>4102685</v>
      </c>
      <c r="L74" s="45"/>
      <c r="M74" s="45">
        <f>52251+24271+4992+33575</f>
        <v>115089</v>
      </c>
      <c r="N74" s="45"/>
      <c r="O74" s="45">
        <v>0</v>
      </c>
      <c r="P74" s="45"/>
      <c r="Q74" s="45">
        <f>-632014+3077856+19038-2039561</f>
        <v>425319</v>
      </c>
      <c r="R74" s="45"/>
      <c r="S74" s="45">
        <f t="shared" ref="S74:S79" si="6">+Q74+O74+M74</f>
        <v>540408</v>
      </c>
      <c r="T74" s="45"/>
      <c r="U74" s="44">
        <f t="shared" ref="U74:U80" si="7">+G74-K74-S74</f>
        <v>0</v>
      </c>
    </row>
    <row r="75" spans="1:21" s="44" customFormat="1" ht="12.75" customHeight="1">
      <c r="A75" s="44" t="s">
        <v>91</v>
      </c>
      <c r="C75" s="44" t="s">
        <v>92</v>
      </c>
      <c r="E75" s="45">
        <v>10981652</v>
      </c>
      <c r="F75" s="45"/>
      <c r="G75" s="45">
        <v>24437664</v>
      </c>
      <c r="H75" s="45"/>
      <c r="I75" s="45">
        <v>11422727</v>
      </c>
      <c r="J75" s="45"/>
      <c r="K75" s="45">
        <v>12384959</v>
      </c>
      <c r="L75" s="45"/>
      <c r="M75" s="45">
        <v>711386</v>
      </c>
      <c r="N75" s="45"/>
      <c r="O75" s="45">
        <v>0</v>
      </c>
      <c r="P75" s="45"/>
      <c r="Q75" s="45">
        <f>3668797+963103+5651582+1057837</f>
        <v>11341319</v>
      </c>
      <c r="R75" s="45"/>
      <c r="S75" s="45">
        <f t="shared" si="6"/>
        <v>12052705</v>
      </c>
      <c r="T75" s="45"/>
      <c r="U75" s="44">
        <f t="shared" si="7"/>
        <v>0</v>
      </c>
    </row>
    <row r="76" spans="1:21" s="44" customFormat="1" ht="12.75" customHeight="1">
      <c r="A76" s="44" t="s">
        <v>96</v>
      </c>
      <c r="C76" s="44" t="s">
        <v>97</v>
      </c>
      <c r="E76" s="45">
        <f>5659948+10000</f>
        <v>5669948</v>
      </c>
      <c r="F76" s="45"/>
      <c r="G76" s="45">
        <v>8011410</v>
      </c>
      <c r="H76" s="45"/>
      <c r="I76" s="45">
        <v>1364866</v>
      </c>
      <c r="J76" s="45"/>
      <c r="K76" s="45">
        <v>1703048</v>
      </c>
      <c r="L76" s="45"/>
      <c r="M76" s="45">
        <f>270317+3000+10000</f>
        <v>283317</v>
      </c>
      <c r="N76" s="45"/>
      <c r="O76" s="45">
        <v>0</v>
      </c>
      <c r="P76" s="45"/>
      <c r="Q76" s="45">
        <f>2640713+2254190+1130142</f>
        <v>6025045</v>
      </c>
      <c r="R76" s="45"/>
      <c r="S76" s="45">
        <f t="shared" si="6"/>
        <v>6308362</v>
      </c>
      <c r="T76" s="45"/>
      <c r="U76" s="44">
        <f t="shared" si="7"/>
        <v>0</v>
      </c>
    </row>
    <row r="77" spans="1:21" s="44" customFormat="1" ht="12.75" customHeight="1">
      <c r="A77" s="44" t="s">
        <v>98</v>
      </c>
      <c r="C77" s="44" t="s">
        <v>17</v>
      </c>
      <c r="E77" s="45">
        <f>6688285+1153300</f>
        <v>7841585</v>
      </c>
      <c r="F77" s="45"/>
      <c r="G77" s="45">
        <v>26871207</v>
      </c>
      <c r="H77" s="45"/>
      <c r="I77" s="45">
        <v>9517964</v>
      </c>
      <c r="J77" s="45"/>
      <c r="K77" s="45">
        <v>17654441</v>
      </c>
      <c r="L77" s="45"/>
      <c r="M77" s="45">
        <f>1546093+4475028+460852+596372</f>
        <v>7078345</v>
      </c>
      <c r="N77" s="45"/>
      <c r="O77" s="45">
        <v>0</v>
      </c>
      <c r="P77" s="45"/>
      <c r="Q77" s="45">
        <f>1061601+4566007-3489187</f>
        <v>2138421</v>
      </c>
      <c r="R77" s="45"/>
      <c r="S77" s="45">
        <f t="shared" si="6"/>
        <v>9216766</v>
      </c>
      <c r="T77" s="45"/>
      <c r="U77" s="44">
        <f t="shared" si="7"/>
        <v>0</v>
      </c>
    </row>
    <row r="78" spans="1:21" s="44" customFormat="1" ht="12.75" customHeight="1">
      <c r="A78" s="44" t="s">
        <v>99</v>
      </c>
      <c r="C78" s="44" t="s">
        <v>66</v>
      </c>
      <c r="E78" s="45">
        <v>10461714</v>
      </c>
      <c r="F78" s="45"/>
      <c r="G78" s="45">
        <v>14407869</v>
      </c>
      <c r="H78" s="45"/>
      <c r="I78" s="45">
        <v>1892302</v>
      </c>
      <c r="J78" s="45"/>
      <c r="K78" s="45">
        <v>3895373</v>
      </c>
      <c r="L78" s="45"/>
      <c r="M78" s="45">
        <f>827506+7093+49475+6069</f>
        <v>890143</v>
      </c>
      <c r="N78" s="45"/>
      <c r="O78" s="45">
        <v>0</v>
      </c>
      <c r="P78" s="45"/>
      <c r="Q78" s="45">
        <f>3858379+1846321+3917653</f>
        <v>9622353</v>
      </c>
      <c r="R78" s="45"/>
      <c r="S78" s="45">
        <f t="shared" si="6"/>
        <v>10512496</v>
      </c>
      <c r="T78" s="45"/>
      <c r="U78" s="44">
        <f t="shared" si="7"/>
        <v>0</v>
      </c>
    </row>
    <row r="79" spans="1:21" s="44" customFormat="1" ht="12.75" customHeight="1">
      <c r="A79" s="44" t="s">
        <v>100</v>
      </c>
      <c r="C79" s="44" t="s">
        <v>27</v>
      </c>
      <c r="E79" s="45">
        <f>10263847+6098+50132</f>
        <v>10320077</v>
      </c>
      <c r="F79" s="45"/>
      <c r="G79" s="45">
        <v>34088704</v>
      </c>
      <c r="H79" s="45"/>
      <c r="I79" s="45">
        <v>13950061</v>
      </c>
      <c r="J79" s="45"/>
      <c r="K79" s="45">
        <v>19390515</v>
      </c>
      <c r="L79" s="45"/>
      <c r="M79" s="45">
        <f>818515+35218</f>
        <v>853733</v>
      </c>
      <c r="N79" s="45"/>
      <c r="O79" s="45">
        <v>0</v>
      </c>
      <c r="P79" s="45"/>
      <c r="Q79" s="45">
        <f>7621186+1433798+3596149+1193323</f>
        <v>13844456</v>
      </c>
      <c r="R79" s="45"/>
      <c r="S79" s="45">
        <f t="shared" si="6"/>
        <v>14698189</v>
      </c>
      <c r="T79" s="45"/>
      <c r="U79" s="44">
        <f t="shared" si="7"/>
        <v>0</v>
      </c>
    </row>
    <row r="80" spans="1:21" s="44" customFormat="1" ht="12.75" customHeight="1">
      <c r="A80" s="44" t="s">
        <v>101</v>
      </c>
      <c r="C80" s="44" t="s">
        <v>30</v>
      </c>
      <c r="E80" s="45">
        <v>10996500</v>
      </c>
      <c r="F80" s="45"/>
      <c r="G80" s="45">
        <v>26627647</v>
      </c>
      <c r="H80" s="45"/>
      <c r="I80" s="45">
        <v>13367736</v>
      </c>
      <c r="J80" s="45"/>
      <c r="K80" s="45">
        <v>18794787</v>
      </c>
      <c r="L80" s="45"/>
      <c r="M80" s="45">
        <v>853084</v>
      </c>
      <c r="N80" s="45"/>
      <c r="O80" s="45">
        <v>0</v>
      </c>
      <c r="P80" s="45"/>
      <c r="Q80" s="45">
        <f>4496405+2678806+346215-541650</f>
        <v>6979776</v>
      </c>
      <c r="R80" s="45"/>
      <c r="S80" s="45">
        <f>+Q80+O80+M80</f>
        <v>7832860</v>
      </c>
      <c r="T80" s="45"/>
      <c r="U80" s="44">
        <f t="shared" si="7"/>
        <v>0</v>
      </c>
    </row>
    <row r="81" spans="1:21" s="44" customFormat="1" ht="12.75" customHeight="1">
      <c r="A81" s="44" t="s">
        <v>102</v>
      </c>
      <c r="C81" s="44" t="s">
        <v>103</v>
      </c>
      <c r="E81" s="45">
        <v>29337127</v>
      </c>
      <c r="F81" s="45"/>
      <c r="G81" s="45">
        <v>43073818</v>
      </c>
      <c r="H81" s="45"/>
      <c r="I81" s="45">
        <v>10890797</v>
      </c>
      <c r="J81" s="45"/>
      <c r="K81" s="45">
        <v>20344923</v>
      </c>
      <c r="L81" s="45"/>
      <c r="M81" s="45">
        <v>4233394</v>
      </c>
      <c r="N81" s="45"/>
      <c r="O81" s="45">
        <v>0</v>
      </c>
      <c r="P81" s="45"/>
      <c r="Q81" s="45">
        <f>12692924+3911307+1528211+363059</f>
        <v>18495501</v>
      </c>
      <c r="R81" s="45"/>
      <c r="S81" s="45">
        <f t="shared" ref="S81:S143" si="8">+Q81+O81+M81</f>
        <v>22728895</v>
      </c>
      <c r="T81" s="45"/>
      <c r="U81" s="44">
        <f t="shared" ref="U81:U146" si="9">+G81-K81-S81</f>
        <v>0</v>
      </c>
    </row>
    <row r="82" spans="1:21" s="44" customFormat="1" ht="12.75" customHeight="1">
      <c r="A82" s="44" t="s">
        <v>104</v>
      </c>
      <c r="C82" s="44" t="s">
        <v>13</v>
      </c>
      <c r="E82" s="45">
        <f>12846788+47071</f>
        <v>12893859</v>
      </c>
      <c r="F82" s="45"/>
      <c r="G82" s="45">
        <v>18867365</v>
      </c>
      <c r="H82" s="45"/>
      <c r="I82" s="45">
        <v>3349220</v>
      </c>
      <c r="J82" s="45"/>
      <c r="K82" s="45">
        <v>6498243</v>
      </c>
      <c r="L82" s="45"/>
      <c r="M82" s="45">
        <f>1024045+98695+299264+28790+88629</f>
        <v>1539423</v>
      </c>
      <c r="N82" s="45"/>
      <c r="O82" s="45">
        <v>0</v>
      </c>
      <c r="P82" s="45"/>
      <c r="Q82" s="45">
        <f>5615411+1488672+3725616</f>
        <v>10829699</v>
      </c>
      <c r="R82" s="45"/>
      <c r="S82" s="45">
        <f t="shared" si="8"/>
        <v>12369122</v>
      </c>
      <c r="T82" s="45"/>
      <c r="U82" s="44">
        <f t="shared" si="9"/>
        <v>0</v>
      </c>
    </row>
    <row r="83" spans="1:21" s="44" customFormat="1" ht="12.75" customHeight="1">
      <c r="A83" s="44" t="s">
        <v>105</v>
      </c>
      <c r="C83" s="44" t="s">
        <v>27</v>
      </c>
      <c r="E83" s="45">
        <v>5705614</v>
      </c>
      <c r="F83" s="45"/>
      <c r="G83" s="45">
        <v>14402147</v>
      </c>
      <c r="H83" s="45"/>
      <c r="I83" s="45">
        <v>5981568</v>
      </c>
      <c r="J83" s="45"/>
      <c r="K83" s="45">
        <v>7197784</v>
      </c>
      <c r="L83" s="45"/>
      <c r="M83" s="45">
        <f>160838+7559+250000</f>
        <v>418397</v>
      </c>
      <c r="N83" s="45"/>
      <c r="O83" s="45">
        <v>0</v>
      </c>
      <c r="P83" s="45"/>
      <c r="Q83" s="45">
        <f>2199327+2758074+1836124-7559</f>
        <v>6785966</v>
      </c>
      <c r="R83" s="45"/>
      <c r="S83" s="45">
        <f t="shared" si="8"/>
        <v>7204363</v>
      </c>
      <c r="T83" s="45"/>
      <c r="U83" s="44">
        <f t="shared" si="9"/>
        <v>0</v>
      </c>
    </row>
    <row r="84" spans="1:21" s="44" customFormat="1" ht="12.75" customHeight="1">
      <c r="A84" s="44" t="s">
        <v>106</v>
      </c>
      <c r="C84" s="44" t="s">
        <v>107</v>
      </c>
      <c r="E84" s="45">
        <f>11766180+264321+102376+59364</f>
        <v>12192241</v>
      </c>
      <c r="F84" s="45"/>
      <c r="G84" s="45">
        <v>22480862</v>
      </c>
      <c r="H84" s="45"/>
      <c r="I84" s="45">
        <v>2677861</v>
      </c>
      <c r="J84" s="45"/>
      <c r="K84" s="45">
        <v>8331562</v>
      </c>
      <c r="L84" s="45"/>
      <c r="M84" s="45">
        <f>14149300-8769084</f>
        <v>5380216</v>
      </c>
      <c r="N84" s="45"/>
      <c r="O84" s="45">
        <v>1000000</v>
      </c>
      <c r="P84" s="45"/>
      <c r="Q84" s="45">
        <f>4143164+2818273+134+807513</f>
        <v>7769084</v>
      </c>
      <c r="R84" s="45"/>
      <c r="S84" s="45">
        <f t="shared" si="8"/>
        <v>14149300</v>
      </c>
      <c r="T84" s="45"/>
      <c r="U84" s="44">
        <f t="shared" si="9"/>
        <v>0</v>
      </c>
    </row>
    <row r="85" spans="1:21" s="44" customFormat="1" ht="12.75" customHeight="1">
      <c r="A85" s="44" t="s">
        <v>108</v>
      </c>
      <c r="C85" s="44" t="s">
        <v>45</v>
      </c>
      <c r="E85" s="45">
        <v>10878898</v>
      </c>
      <c r="F85" s="45"/>
      <c r="G85" s="45">
        <v>19894727</v>
      </c>
      <c r="H85" s="45"/>
      <c r="I85" s="45">
        <v>6833049</v>
      </c>
      <c r="J85" s="45"/>
      <c r="K85" s="45">
        <v>11642056</v>
      </c>
      <c r="L85" s="45"/>
      <c r="M85" s="45">
        <v>2093568</v>
      </c>
      <c r="N85" s="45"/>
      <c r="O85" s="45">
        <v>0</v>
      </c>
      <c r="P85" s="45"/>
      <c r="Q85" s="45">
        <f>2524653+5606132+41485-2013167</f>
        <v>6159103</v>
      </c>
      <c r="R85" s="45"/>
      <c r="S85" s="45">
        <f t="shared" si="8"/>
        <v>8252671</v>
      </c>
      <c r="T85" s="45"/>
      <c r="U85" s="44">
        <f t="shared" si="9"/>
        <v>0</v>
      </c>
    </row>
    <row r="86" spans="1:21" s="44" customFormat="1" ht="12.75" customHeight="1">
      <c r="A86" s="44" t="s">
        <v>109</v>
      </c>
      <c r="C86" s="44" t="s">
        <v>110</v>
      </c>
      <c r="E86" s="45">
        <f>3424547+12959+40441</f>
        <v>3477947</v>
      </c>
      <c r="F86" s="45"/>
      <c r="G86" s="45">
        <v>8692720</v>
      </c>
      <c r="H86" s="45"/>
      <c r="I86" s="45">
        <v>1743513</v>
      </c>
      <c r="J86" s="45"/>
      <c r="K86" s="45">
        <v>3450876</v>
      </c>
      <c r="L86" s="45"/>
      <c r="M86" s="45">
        <f>280528+67549+1476842+20000+19355</f>
        <v>1864274</v>
      </c>
      <c r="N86" s="45"/>
      <c r="O86" s="45">
        <v>0</v>
      </c>
      <c r="P86" s="45"/>
      <c r="Q86" s="45">
        <f>1318639+1323781+730586+4564</f>
        <v>3377570</v>
      </c>
      <c r="R86" s="45"/>
      <c r="S86" s="45">
        <f t="shared" si="8"/>
        <v>5241844</v>
      </c>
      <c r="T86" s="45"/>
      <c r="U86" s="44">
        <f t="shared" si="9"/>
        <v>0</v>
      </c>
    </row>
    <row r="87" spans="1:21" s="44" customFormat="1" ht="12.75" customHeight="1">
      <c r="A87" s="44" t="s">
        <v>43</v>
      </c>
      <c r="C87" s="44" t="s">
        <v>111</v>
      </c>
      <c r="E87" s="45">
        <v>8145758</v>
      </c>
      <c r="F87" s="45"/>
      <c r="G87" s="45">
        <v>15011524</v>
      </c>
      <c r="H87" s="45"/>
      <c r="I87" s="45">
        <v>5581464</v>
      </c>
      <c r="J87" s="45"/>
      <c r="K87" s="45">
        <v>9330187</v>
      </c>
      <c r="L87" s="45"/>
      <c r="M87" s="45">
        <f>109296+1024344</f>
        <v>1133640</v>
      </c>
      <c r="N87" s="45"/>
      <c r="O87" s="45">
        <v>0</v>
      </c>
      <c r="P87" s="45"/>
      <c r="Q87" s="45">
        <f>1908468+2033024+557424+48781</f>
        <v>4547697</v>
      </c>
      <c r="R87" s="45"/>
      <c r="S87" s="45">
        <f t="shared" si="8"/>
        <v>5681337</v>
      </c>
      <c r="T87" s="45"/>
      <c r="U87" s="44">
        <f t="shared" si="9"/>
        <v>0</v>
      </c>
    </row>
    <row r="88" spans="1:21" s="44" customFormat="1" ht="12.75" customHeight="1">
      <c r="A88" s="44" t="s">
        <v>112</v>
      </c>
      <c r="C88" s="44" t="s">
        <v>76</v>
      </c>
      <c r="E88" s="45">
        <v>10629534</v>
      </c>
      <c r="F88" s="45"/>
      <c r="G88" s="45">
        <v>15707759</v>
      </c>
      <c r="H88" s="45"/>
      <c r="I88" s="45">
        <v>1777768</v>
      </c>
      <c r="J88" s="45"/>
      <c r="K88" s="45">
        <v>3307014</v>
      </c>
      <c r="L88" s="45"/>
      <c r="M88" s="45">
        <f>339903+51782+372891+244130+8925</f>
        <v>1017631</v>
      </c>
      <c r="N88" s="45"/>
      <c r="O88" s="45">
        <v>271444</v>
      </c>
      <c r="P88" s="45"/>
      <c r="Q88" s="45">
        <f>1991515+7356588+1763567</f>
        <v>11111670</v>
      </c>
      <c r="R88" s="45"/>
      <c r="S88" s="45">
        <f t="shared" si="8"/>
        <v>12400745</v>
      </c>
      <c r="T88" s="45"/>
      <c r="U88" s="44">
        <f t="shared" si="9"/>
        <v>0</v>
      </c>
    </row>
    <row r="89" spans="1:21" s="44" customFormat="1" ht="12.75" customHeight="1">
      <c r="A89" s="44" t="s">
        <v>113</v>
      </c>
      <c r="C89" s="44" t="s">
        <v>43</v>
      </c>
      <c r="E89" s="45">
        <f>35719540+494029</f>
        <v>36213569</v>
      </c>
      <c r="F89" s="45"/>
      <c r="G89" s="45">
        <v>48344734</v>
      </c>
      <c r="H89" s="45"/>
      <c r="I89" s="45">
        <v>7407746</v>
      </c>
      <c r="J89" s="45"/>
      <c r="K89" s="45">
        <v>13095126</v>
      </c>
      <c r="L89" s="45"/>
      <c r="M89" s="45">
        <f>12262475+1153639</f>
        <v>13416114</v>
      </c>
      <c r="N89" s="45"/>
      <c r="O89" s="45">
        <v>1700031</v>
      </c>
      <c r="P89" s="45"/>
      <c r="Q89" s="45">
        <f>12264957+4349271+3519235</f>
        <v>20133463</v>
      </c>
      <c r="R89" s="45"/>
      <c r="S89" s="45">
        <f t="shared" si="8"/>
        <v>35249608</v>
      </c>
      <c r="T89" s="45"/>
      <c r="U89" s="44">
        <f t="shared" si="9"/>
        <v>0</v>
      </c>
    </row>
    <row r="90" spans="1:21" s="44" customFormat="1" ht="12.75" customHeight="1">
      <c r="A90" s="44" t="s">
        <v>490</v>
      </c>
      <c r="C90" s="44" t="s">
        <v>57</v>
      </c>
      <c r="E90" s="45">
        <v>4189894</v>
      </c>
      <c r="F90" s="45"/>
      <c r="G90" s="45">
        <v>8743152</v>
      </c>
      <c r="H90" s="45"/>
      <c r="I90" s="45">
        <v>1850406</v>
      </c>
      <c r="J90" s="45"/>
      <c r="K90" s="45">
        <v>5086412</v>
      </c>
      <c r="L90" s="45"/>
      <c r="M90" s="45">
        <f>6521+81744+650224+281675</f>
        <v>1020164</v>
      </c>
      <c r="N90" s="45"/>
      <c r="O90" s="45"/>
      <c r="P90" s="45"/>
      <c r="Q90" s="45">
        <f>3261212-214182+75984-486438</f>
        <v>2636576</v>
      </c>
      <c r="R90" s="45"/>
      <c r="S90" s="45">
        <f>+Q90+O90+M90</f>
        <v>3656740</v>
      </c>
      <c r="T90" s="45"/>
      <c r="U90" s="44">
        <f>+G90-K90-S90</f>
        <v>0</v>
      </c>
    </row>
    <row r="91" spans="1:21" s="44" customFormat="1" ht="12.75" customHeight="1">
      <c r="A91" s="44" t="s">
        <v>114</v>
      </c>
      <c r="C91" s="44" t="s">
        <v>27</v>
      </c>
      <c r="E91" s="45">
        <v>183</v>
      </c>
      <c r="F91" s="45"/>
      <c r="G91" s="45">
        <v>21514573</v>
      </c>
      <c r="H91" s="45"/>
      <c r="I91" s="45">
        <v>18459462</v>
      </c>
      <c r="J91" s="45"/>
      <c r="K91" s="45">
        <v>24225959</v>
      </c>
      <c r="L91" s="45"/>
      <c r="M91" s="45">
        <v>146240</v>
      </c>
      <c r="N91" s="45"/>
      <c r="O91" s="45">
        <v>0</v>
      </c>
      <c r="P91" s="45"/>
      <c r="Q91" s="45">
        <f>-1550828-1986753+125113+554842</f>
        <v>-2857626</v>
      </c>
      <c r="R91" s="45"/>
      <c r="S91" s="45">
        <f>+Q91+O91+M91</f>
        <v>-2711386</v>
      </c>
      <c r="T91" s="45"/>
      <c r="U91" s="44">
        <f>+G91-K91-S91</f>
        <v>0</v>
      </c>
    </row>
    <row r="92" spans="1:21" s="44" customFormat="1" ht="12.75" customHeight="1">
      <c r="A92" s="44" t="s">
        <v>115</v>
      </c>
      <c r="C92" s="44" t="s">
        <v>19</v>
      </c>
      <c r="E92" s="45">
        <v>1843298</v>
      </c>
      <c r="F92" s="45"/>
      <c r="G92" s="45">
        <v>4551921</v>
      </c>
      <c r="H92" s="45"/>
      <c r="I92" s="45">
        <v>1768788</v>
      </c>
      <c r="J92" s="45"/>
      <c r="K92" s="45">
        <v>2731149</v>
      </c>
      <c r="L92" s="45"/>
      <c r="M92" s="45">
        <f>208447+15198+32500+102995</f>
        <v>359140</v>
      </c>
      <c r="N92" s="45"/>
      <c r="O92" s="45">
        <v>0</v>
      </c>
      <c r="P92" s="45"/>
      <c r="Q92" s="45">
        <f>1087768+1790+84453+287621</f>
        <v>1461632</v>
      </c>
      <c r="R92" s="45"/>
      <c r="S92" s="45">
        <f t="shared" si="8"/>
        <v>1820772</v>
      </c>
      <c r="T92" s="45"/>
      <c r="U92" s="44">
        <f t="shared" si="9"/>
        <v>0</v>
      </c>
    </row>
    <row r="93" spans="1:21" s="44" customFormat="1" ht="12.75" customHeight="1">
      <c r="A93" s="44" t="s">
        <v>116</v>
      </c>
      <c r="C93" s="44" t="s">
        <v>80</v>
      </c>
      <c r="E93" s="45">
        <v>910924</v>
      </c>
      <c r="F93" s="45"/>
      <c r="G93" s="45">
        <v>5487537</v>
      </c>
      <c r="H93" s="45"/>
      <c r="I93" s="45">
        <v>3742744</v>
      </c>
      <c r="J93" s="45"/>
      <c r="K93" s="45">
        <v>4275846</v>
      </c>
      <c r="L93" s="45"/>
      <c r="M93" s="45">
        <f>69208+26970</f>
        <v>96178</v>
      </c>
      <c r="N93" s="45"/>
      <c r="O93" s="45">
        <v>0</v>
      </c>
      <c r="P93" s="45"/>
      <c r="Q93" s="45">
        <f>289634+475782+92848+257249</f>
        <v>1115513</v>
      </c>
      <c r="R93" s="45"/>
      <c r="S93" s="45">
        <f>+Q93+O93+M93</f>
        <v>1211691</v>
      </c>
      <c r="T93" s="45"/>
      <c r="U93" s="44">
        <f t="shared" si="9"/>
        <v>0</v>
      </c>
    </row>
    <row r="94" spans="1:21" s="44" customFormat="1" ht="12.75" customHeight="1">
      <c r="A94" s="44" t="s">
        <v>117</v>
      </c>
      <c r="C94" s="44" t="s">
        <v>43</v>
      </c>
      <c r="E94" s="45">
        <v>4802588</v>
      </c>
      <c r="F94" s="45"/>
      <c r="G94" s="45">
        <v>8589466</v>
      </c>
      <c r="H94" s="45"/>
      <c r="I94" s="45">
        <v>945834</v>
      </c>
      <c r="J94" s="45"/>
      <c r="K94" s="45">
        <v>3149866</v>
      </c>
      <c r="L94" s="45"/>
      <c r="M94" s="45">
        <f>177382+39965</f>
        <v>217347</v>
      </c>
      <c r="N94" s="45"/>
      <c r="O94" s="45">
        <v>0</v>
      </c>
      <c r="P94" s="45"/>
      <c r="Q94" s="45">
        <f>4200095+755556+1+266601</f>
        <v>5222253</v>
      </c>
      <c r="R94" s="45"/>
      <c r="S94" s="45">
        <f>+Q94+O94+M94</f>
        <v>5439600</v>
      </c>
      <c r="T94" s="45"/>
      <c r="U94" s="44">
        <f t="shared" si="9"/>
        <v>0</v>
      </c>
    </row>
    <row r="95" spans="1:21" s="44" customFormat="1" ht="12.75" customHeight="1">
      <c r="A95" s="44" t="s">
        <v>118</v>
      </c>
      <c r="C95" s="44" t="s">
        <v>13</v>
      </c>
      <c r="E95" s="45">
        <f>36909421+335067</f>
        <v>37244488</v>
      </c>
      <c r="F95" s="45"/>
      <c r="G95" s="45">
        <v>96023826</v>
      </c>
      <c r="H95" s="45"/>
      <c r="I95" s="45">
        <v>39978562</v>
      </c>
      <c r="J95" s="45"/>
      <c r="K95" s="45">
        <v>75366658</v>
      </c>
      <c r="L95" s="45"/>
      <c r="M95" s="45">
        <f>11718951+8924923</f>
        <v>20643874</v>
      </c>
      <c r="N95" s="45"/>
      <c r="O95" s="45">
        <v>0</v>
      </c>
      <c r="P95" s="45"/>
      <c r="Q95" s="45">
        <f>16127714+5822575-208463-21728532</f>
        <v>13294</v>
      </c>
      <c r="R95" s="45"/>
      <c r="S95" s="45">
        <f t="shared" si="8"/>
        <v>20657168</v>
      </c>
      <c r="T95" s="45"/>
      <c r="U95" s="44">
        <f t="shared" si="9"/>
        <v>0</v>
      </c>
    </row>
    <row r="96" spans="1:21" s="44" customFormat="1" ht="12.75" customHeight="1">
      <c r="A96" s="44" t="s">
        <v>120</v>
      </c>
      <c r="C96" s="44" t="s">
        <v>121</v>
      </c>
      <c r="E96" s="45">
        <f>5257218+70002</f>
        <v>5327220</v>
      </c>
      <c r="F96" s="45"/>
      <c r="G96" s="45">
        <v>9593003</v>
      </c>
      <c r="H96" s="45"/>
      <c r="I96" s="45">
        <v>1199027</v>
      </c>
      <c r="J96" s="45"/>
      <c r="K96" s="45">
        <v>3817707</v>
      </c>
      <c r="L96" s="45"/>
      <c r="M96" s="45">
        <f>455093+124478+72632+543177</f>
        <v>1195380</v>
      </c>
      <c r="N96" s="45"/>
      <c r="O96" s="45">
        <v>0</v>
      </c>
      <c r="P96" s="45"/>
      <c r="Q96" s="45">
        <f>3035878+1544038</f>
        <v>4579916</v>
      </c>
      <c r="R96" s="45"/>
      <c r="S96" s="45">
        <f t="shared" si="8"/>
        <v>5775296</v>
      </c>
      <c r="T96" s="45"/>
      <c r="U96" s="44">
        <f t="shared" si="9"/>
        <v>0</v>
      </c>
    </row>
    <row r="97" spans="1:21" s="44" customFormat="1" ht="12.75" customHeight="1">
      <c r="A97" s="44" t="s">
        <v>122</v>
      </c>
      <c r="C97" s="44" t="s">
        <v>43</v>
      </c>
      <c r="E97" s="45">
        <f>40827546+471332</f>
        <v>41298878</v>
      </c>
      <c r="F97" s="45"/>
      <c r="G97" s="45">
        <v>161725563</v>
      </c>
      <c r="H97" s="45"/>
      <c r="I97" s="45">
        <v>116865664</v>
      </c>
      <c r="J97" s="45"/>
      <c r="K97" s="45">
        <v>121094992</v>
      </c>
      <c r="L97" s="45"/>
      <c r="M97" s="45">
        <f>4213624+1241443</f>
        <v>5455067</v>
      </c>
      <c r="N97" s="45"/>
      <c r="O97" s="45">
        <v>0</v>
      </c>
      <c r="P97" s="45"/>
      <c r="Q97" s="45">
        <f>25281935+5148100+2117264+2628205</f>
        <v>35175504</v>
      </c>
      <c r="R97" s="45"/>
      <c r="S97" s="45">
        <f t="shared" si="8"/>
        <v>40630571</v>
      </c>
      <c r="T97" s="45"/>
      <c r="U97" s="44">
        <f t="shared" si="9"/>
        <v>0</v>
      </c>
    </row>
    <row r="98" spans="1:21" s="44" customFormat="1" ht="12.75" customHeight="1">
      <c r="A98" s="44" t="s">
        <v>45</v>
      </c>
      <c r="C98" s="44" t="s">
        <v>103</v>
      </c>
      <c r="E98" s="45">
        <v>16318832</v>
      </c>
      <c r="F98" s="45"/>
      <c r="G98" s="45">
        <v>36374641</v>
      </c>
      <c r="H98" s="45"/>
      <c r="I98" s="45">
        <v>14531726</v>
      </c>
      <c r="J98" s="45"/>
      <c r="K98" s="45">
        <v>27154821</v>
      </c>
      <c r="L98" s="45"/>
      <c r="M98" s="45">
        <f>1847423+211154+54610+77997</f>
        <v>2191184</v>
      </c>
      <c r="N98" s="45"/>
      <c r="O98" s="45">
        <v>0</v>
      </c>
      <c r="P98" s="45"/>
      <c r="Q98" s="45">
        <f>2393672+6052023+545256-1962315</f>
        <v>7028636</v>
      </c>
      <c r="R98" s="45"/>
      <c r="S98" s="45">
        <f t="shared" si="8"/>
        <v>9219820</v>
      </c>
      <c r="T98" s="45"/>
      <c r="U98" s="44">
        <f t="shared" si="9"/>
        <v>0</v>
      </c>
    </row>
    <row r="99" spans="1:21" s="44" customFormat="1" ht="12.75" customHeight="1">
      <c r="A99" s="44" t="s">
        <v>123</v>
      </c>
      <c r="C99" s="44" t="s">
        <v>45</v>
      </c>
      <c r="E99" s="45">
        <f>4897478+10576</f>
        <v>4908054</v>
      </c>
      <c r="F99" s="45"/>
      <c r="G99" s="45">
        <v>8783859</v>
      </c>
      <c r="H99" s="45"/>
      <c r="I99" s="45">
        <v>815122</v>
      </c>
      <c r="J99" s="45"/>
      <c r="K99" s="45">
        <v>3807769</v>
      </c>
      <c r="L99" s="45"/>
      <c r="M99" s="45">
        <f>64046+22774+27892+57347</f>
        <v>172059</v>
      </c>
      <c r="N99" s="45"/>
      <c r="O99" s="45">
        <v>0</v>
      </c>
      <c r="P99" s="45"/>
      <c r="Q99" s="45">
        <f>1937901+1458594+620316+787220</f>
        <v>4804031</v>
      </c>
      <c r="R99" s="45"/>
      <c r="S99" s="45">
        <f t="shared" si="8"/>
        <v>4976090</v>
      </c>
      <c r="T99" s="45"/>
      <c r="U99" s="44">
        <f t="shared" si="9"/>
        <v>0</v>
      </c>
    </row>
    <row r="100" spans="1:21" s="44" customFormat="1" ht="12.75" customHeight="1">
      <c r="A100" s="44" t="s">
        <v>124</v>
      </c>
      <c r="C100" s="44" t="s">
        <v>125</v>
      </c>
      <c r="E100" s="45">
        <f>2679881+4104488</f>
        <v>6784369</v>
      </c>
      <c r="F100" s="45"/>
      <c r="G100" s="45">
        <v>9567597</v>
      </c>
      <c r="H100" s="45"/>
      <c r="I100" s="45">
        <v>1781309</v>
      </c>
      <c r="J100" s="45"/>
      <c r="K100" s="45">
        <v>2542898</v>
      </c>
      <c r="L100" s="45"/>
      <c r="M100" s="45">
        <f>309558+75055+177050+187176</f>
        <v>748839</v>
      </c>
      <c r="N100" s="45"/>
      <c r="O100" s="45">
        <v>0</v>
      </c>
      <c r="P100" s="45"/>
      <c r="Q100" s="45">
        <f>2701779+829632+2652964+91485</f>
        <v>6275860</v>
      </c>
      <c r="R100" s="45"/>
      <c r="S100" s="45">
        <f t="shared" si="8"/>
        <v>7024699</v>
      </c>
      <c r="T100" s="45"/>
      <c r="U100" s="44">
        <f t="shared" si="9"/>
        <v>0</v>
      </c>
    </row>
    <row r="101" spans="1:21" s="44" customFormat="1" ht="12.75" customHeight="1">
      <c r="A101" s="44" t="s">
        <v>126</v>
      </c>
      <c r="C101" s="44" t="s">
        <v>27</v>
      </c>
      <c r="E101" s="45">
        <v>6328063</v>
      </c>
      <c r="F101" s="45"/>
      <c r="G101" s="45">
        <v>18834292</v>
      </c>
      <c r="H101" s="45"/>
      <c r="I101" s="45">
        <v>10012649</v>
      </c>
      <c r="J101" s="45"/>
      <c r="K101" s="45">
        <v>11279429</v>
      </c>
      <c r="L101" s="45"/>
      <c r="M101" s="45">
        <f>193280+126001+37110</f>
        <v>356391</v>
      </c>
      <c r="N101" s="45"/>
      <c r="O101" s="45">
        <v>0</v>
      </c>
      <c r="P101" s="45"/>
      <c r="Q101" s="45">
        <f>5815672+591462+878579-87241</f>
        <v>7198472</v>
      </c>
      <c r="R101" s="45"/>
      <c r="S101" s="45">
        <f t="shared" si="8"/>
        <v>7554863</v>
      </c>
      <c r="T101" s="45"/>
      <c r="U101" s="44">
        <f t="shared" si="9"/>
        <v>0</v>
      </c>
    </row>
    <row r="102" spans="1:21" s="44" customFormat="1" ht="12.75" customHeight="1">
      <c r="A102" s="44" t="s">
        <v>127</v>
      </c>
      <c r="C102" s="44" t="s">
        <v>43</v>
      </c>
      <c r="E102" s="45">
        <f>18274931+164263+214849</f>
        <v>18654043</v>
      </c>
      <c r="F102" s="45"/>
      <c r="G102" s="45">
        <v>27022510</v>
      </c>
      <c r="H102" s="45"/>
      <c r="I102" s="45">
        <v>4639449</v>
      </c>
      <c r="J102" s="45"/>
      <c r="K102" s="45">
        <v>18561565</v>
      </c>
      <c r="L102" s="45"/>
      <c r="M102" s="45">
        <v>5148752</v>
      </c>
      <c r="N102" s="45"/>
      <c r="O102" s="45">
        <v>0</v>
      </c>
      <c r="P102" s="45"/>
      <c r="Q102" s="45">
        <f>3183859+7388881+264-7260811</f>
        <v>3312193</v>
      </c>
      <c r="R102" s="45"/>
      <c r="S102" s="45">
        <f t="shared" si="8"/>
        <v>8460945</v>
      </c>
      <c r="T102" s="45"/>
      <c r="U102" s="44">
        <f t="shared" si="9"/>
        <v>0</v>
      </c>
    </row>
    <row r="103" spans="1:21" s="44" customFormat="1" ht="12.75" customHeight="1">
      <c r="A103" s="44" t="s">
        <v>128</v>
      </c>
      <c r="C103" s="44" t="s">
        <v>119</v>
      </c>
      <c r="E103" s="45">
        <f>2767223+6553</f>
        <v>2773776</v>
      </c>
      <c r="F103" s="45"/>
      <c r="G103" s="45">
        <v>5350779</v>
      </c>
      <c r="H103" s="45"/>
      <c r="I103" s="45">
        <v>951002</v>
      </c>
      <c r="J103" s="45"/>
      <c r="K103" s="45">
        <v>1551884</v>
      </c>
      <c r="L103" s="45"/>
      <c r="M103" s="45">
        <f>833254+230555</f>
        <v>1063809</v>
      </c>
      <c r="N103" s="45"/>
      <c r="O103" s="45">
        <v>0</v>
      </c>
      <c r="P103" s="45"/>
      <c r="Q103" s="45">
        <f>1668668+794958+331210-59750</f>
        <v>2735086</v>
      </c>
      <c r="R103" s="45"/>
      <c r="S103" s="45">
        <f t="shared" si="8"/>
        <v>3798895</v>
      </c>
      <c r="T103" s="45"/>
      <c r="U103" s="44">
        <f t="shared" si="9"/>
        <v>0</v>
      </c>
    </row>
    <row r="104" spans="1:21" s="44" customFormat="1" ht="12.75" customHeight="1">
      <c r="A104" s="44" t="s">
        <v>129</v>
      </c>
      <c r="C104" s="44" t="s">
        <v>80</v>
      </c>
      <c r="E104" s="45">
        <f>995145+501</f>
        <v>995646</v>
      </c>
      <c r="F104" s="45"/>
      <c r="G104" s="45">
        <v>2160417</v>
      </c>
      <c r="H104" s="45"/>
      <c r="I104" s="45">
        <v>414856</v>
      </c>
      <c r="J104" s="45"/>
      <c r="K104" s="45">
        <v>1034528</v>
      </c>
      <c r="L104" s="45"/>
      <c r="M104" s="45">
        <f>7908+30463+2309+840</f>
        <v>41520</v>
      </c>
      <c r="N104" s="45"/>
      <c r="O104" s="45">
        <v>0</v>
      </c>
      <c r="P104" s="45"/>
      <c r="Q104" s="45">
        <f>505186+144738+19225+414348+872</f>
        <v>1084369</v>
      </c>
      <c r="R104" s="45"/>
      <c r="S104" s="45">
        <f t="shared" si="8"/>
        <v>1125889</v>
      </c>
      <c r="T104" s="45"/>
      <c r="U104" s="44">
        <f t="shared" si="9"/>
        <v>0</v>
      </c>
    </row>
    <row r="105" spans="1:21" s="44" customFormat="1" ht="12.75" customHeight="1">
      <c r="A105" s="44" t="s">
        <v>130</v>
      </c>
      <c r="C105" s="44" t="s">
        <v>66</v>
      </c>
      <c r="E105" s="45">
        <v>28365196</v>
      </c>
      <c r="F105" s="45"/>
      <c r="G105" s="45">
        <v>62096172</v>
      </c>
      <c r="H105" s="45"/>
      <c r="I105" s="45">
        <v>29607674</v>
      </c>
      <c r="J105" s="45"/>
      <c r="K105" s="45">
        <v>34761933</v>
      </c>
      <c r="L105" s="45"/>
      <c r="M105" s="45">
        <f>2180768+313746+232000+10440</f>
        <v>2736954</v>
      </c>
      <c r="N105" s="45"/>
      <c r="O105" s="45">
        <v>0</v>
      </c>
      <c r="P105" s="45"/>
      <c r="Q105" s="45">
        <f>9357832+9879414+1548114+3811925</f>
        <v>24597285</v>
      </c>
      <c r="R105" s="45"/>
      <c r="S105" s="45">
        <f t="shared" si="8"/>
        <v>27334239</v>
      </c>
      <c r="T105" s="45"/>
      <c r="U105" s="44">
        <f t="shared" si="9"/>
        <v>0</v>
      </c>
    </row>
    <row r="106" spans="1:21" s="44" customFormat="1" ht="12.75" customHeight="1">
      <c r="A106" s="44" t="s">
        <v>131</v>
      </c>
      <c r="C106" s="44" t="s">
        <v>13</v>
      </c>
      <c r="E106" s="45">
        <f>22550833+12312+2987</f>
        <v>22566132</v>
      </c>
      <c r="F106" s="45"/>
      <c r="G106" s="45">
        <v>37339532</v>
      </c>
      <c r="H106" s="45"/>
      <c r="I106" s="45">
        <v>10420213</v>
      </c>
      <c r="J106" s="45"/>
      <c r="K106" s="45">
        <v>15379360</v>
      </c>
      <c r="L106" s="45"/>
      <c r="M106" s="45">
        <f>21960172-18574315</f>
        <v>3385857</v>
      </c>
      <c r="N106" s="45"/>
      <c r="O106" s="45">
        <v>0</v>
      </c>
      <c r="P106" s="45"/>
      <c r="Q106" s="45">
        <f>13064788+5914549-437426+32404</f>
        <v>18574315</v>
      </c>
      <c r="R106" s="45"/>
      <c r="S106" s="45">
        <f t="shared" si="8"/>
        <v>21960172</v>
      </c>
      <c r="T106" s="45"/>
      <c r="U106" s="44">
        <f t="shared" si="9"/>
        <v>0</v>
      </c>
    </row>
    <row r="107" spans="1:21" s="44" customFormat="1" ht="12.75" customHeight="1">
      <c r="A107" s="44" t="s">
        <v>38</v>
      </c>
      <c r="C107" s="44" t="s">
        <v>132</v>
      </c>
      <c r="E107" s="45">
        <v>2201854</v>
      </c>
      <c r="F107" s="45"/>
      <c r="G107" s="45">
        <v>5344814</v>
      </c>
      <c r="H107" s="45"/>
      <c r="I107" s="45">
        <v>1870508</v>
      </c>
      <c r="J107" s="45"/>
      <c r="K107" s="45">
        <v>2602377</v>
      </c>
      <c r="L107" s="45"/>
      <c r="M107" s="45">
        <f>75156+456992+286087</f>
        <v>818235</v>
      </c>
      <c r="N107" s="45"/>
      <c r="O107" s="45">
        <v>14781</v>
      </c>
      <c r="P107" s="45"/>
      <c r="Q107" s="45">
        <f>805433+650595+31492+421901</f>
        <v>1909421</v>
      </c>
      <c r="R107" s="45"/>
      <c r="S107" s="45">
        <f t="shared" si="8"/>
        <v>2742437</v>
      </c>
      <c r="T107" s="45"/>
      <c r="U107" s="44">
        <f t="shared" si="9"/>
        <v>0</v>
      </c>
    </row>
    <row r="108" spans="1:21" s="44" customFormat="1" ht="12.75" customHeight="1">
      <c r="A108" s="44" t="s">
        <v>133</v>
      </c>
      <c r="C108" s="44" t="s">
        <v>27</v>
      </c>
      <c r="E108" s="45">
        <f>5938559+27490</f>
        <v>5966049</v>
      </c>
      <c r="F108" s="45"/>
      <c r="G108" s="45">
        <v>65689109</v>
      </c>
      <c r="H108" s="45"/>
      <c r="I108" s="45">
        <v>47656922</v>
      </c>
      <c r="J108" s="45"/>
      <c r="K108" s="45">
        <v>57130469</v>
      </c>
      <c r="L108" s="45"/>
      <c r="M108" s="45">
        <f>2859775+7614500</f>
        <v>10474275</v>
      </c>
      <c r="N108" s="45"/>
      <c r="O108" s="45">
        <v>0</v>
      </c>
      <c r="P108" s="45"/>
      <c r="Q108" s="45">
        <f>4810920+573411-7267284-32682</f>
        <v>-1915635</v>
      </c>
      <c r="R108" s="45"/>
      <c r="S108" s="45">
        <f t="shared" si="8"/>
        <v>8558640</v>
      </c>
      <c r="T108" s="45"/>
      <c r="U108" s="44">
        <f>+G108-K108-S108</f>
        <v>0</v>
      </c>
    </row>
    <row r="109" spans="1:21" s="44" customFormat="1" ht="12.75" customHeight="1">
      <c r="A109" s="44" t="s">
        <v>482</v>
      </c>
      <c r="C109" s="44" t="s">
        <v>45</v>
      </c>
      <c r="E109" s="45">
        <v>14963597</v>
      </c>
      <c r="F109" s="45"/>
      <c r="G109" s="45">
        <v>23656171</v>
      </c>
      <c r="H109" s="45"/>
      <c r="I109" s="45">
        <v>7023608</v>
      </c>
      <c r="J109" s="45"/>
      <c r="K109" s="45">
        <v>7661785</v>
      </c>
      <c r="L109" s="45"/>
      <c r="M109" s="45">
        <f>545095+61332+210756+745243</f>
        <v>1562426</v>
      </c>
      <c r="N109" s="45"/>
      <c r="O109" s="45">
        <v>0</v>
      </c>
      <c r="P109" s="45"/>
      <c r="Q109" s="45">
        <f>2731840+9501039+2195710+3371</f>
        <v>14431960</v>
      </c>
      <c r="R109" s="45"/>
      <c r="S109" s="45">
        <f t="shared" si="8"/>
        <v>15994386</v>
      </c>
      <c r="T109" s="45"/>
      <c r="U109" s="44">
        <f t="shared" si="9"/>
        <v>0</v>
      </c>
    </row>
    <row r="110" spans="1:21" s="44" customFormat="1" ht="12.75" customHeight="1">
      <c r="A110" s="44" t="s">
        <v>136</v>
      </c>
      <c r="C110" s="44" t="s">
        <v>136</v>
      </c>
      <c r="E110" s="45">
        <v>3577254</v>
      </c>
      <c r="F110" s="45"/>
      <c r="G110" s="45">
        <v>5783952</v>
      </c>
      <c r="H110" s="45"/>
      <c r="I110" s="45">
        <v>922226</v>
      </c>
      <c r="J110" s="45"/>
      <c r="K110" s="45">
        <v>1117286</v>
      </c>
      <c r="L110" s="45"/>
      <c r="M110" s="45">
        <f>138703+438207+4354</f>
        <v>581264</v>
      </c>
      <c r="N110" s="45"/>
      <c r="O110" s="45">
        <v>0</v>
      </c>
      <c r="P110" s="45"/>
      <c r="Q110" s="45">
        <f>1676455+2393735+11081+4131</f>
        <v>4085402</v>
      </c>
      <c r="R110" s="45"/>
      <c r="S110" s="45">
        <f t="shared" si="8"/>
        <v>4666666</v>
      </c>
      <c r="T110" s="45"/>
      <c r="U110" s="44">
        <f t="shared" si="9"/>
        <v>0</v>
      </c>
    </row>
    <row r="111" spans="1:21" s="44" customFormat="1" ht="12.75" customHeight="1">
      <c r="A111" s="44" t="s">
        <v>137</v>
      </c>
      <c r="C111" s="44" t="s">
        <v>22</v>
      </c>
      <c r="E111" s="45">
        <v>19691153</v>
      </c>
      <c r="F111" s="45"/>
      <c r="G111" s="45">
        <v>32582118</v>
      </c>
      <c r="H111" s="45"/>
      <c r="I111" s="45">
        <v>5923829</v>
      </c>
      <c r="J111" s="45"/>
      <c r="K111" s="45">
        <v>11088773</v>
      </c>
      <c r="L111" s="45"/>
      <c r="M111" s="45">
        <f>21493345-17424327</f>
        <v>4069018</v>
      </c>
      <c r="N111" s="45"/>
      <c r="O111" s="45">
        <v>2120760</v>
      </c>
      <c r="P111" s="45"/>
      <c r="Q111" s="45">
        <f>7993656+7863374-553463</f>
        <v>15303567</v>
      </c>
      <c r="R111" s="45"/>
      <c r="S111" s="45">
        <f t="shared" si="8"/>
        <v>21493345</v>
      </c>
      <c r="T111" s="45"/>
      <c r="U111" s="44">
        <f t="shared" si="9"/>
        <v>0</v>
      </c>
    </row>
    <row r="112" spans="1:21" s="121" customFormat="1" ht="12.75" hidden="1" customHeight="1">
      <c r="A112" s="121" t="s">
        <v>138</v>
      </c>
      <c r="C112" s="121" t="s">
        <v>139</v>
      </c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>
        <f t="shared" si="8"/>
        <v>0</v>
      </c>
      <c r="T112" s="127"/>
      <c r="U112" s="121">
        <f t="shared" si="9"/>
        <v>0</v>
      </c>
    </row>
    <row r="113" spans="1:22" s="44" customFormat="1" ht="12.75" customHeight="1">
      <c r="A113" s="44" t="s">
        <v>140</v>
      </c>
      <c r="C113" s="44" t="s">
        <v>66</v>
      </c>
      <c r="E113" s="45">
        <v>50267894</v>
      </c>
      <c r="F113" s="45"/>
      <c r="G113" s="45">
        <v>73574591</v>
      </c>
      <c r="H113" s="45"/>
      <c r="I113" s="45">
        <v>17542302</v>
      </c>
      <c r="J113" s="45"/>
      <c r="K113" s="45">
        <v>22057486</v>
      </c>
      <c r="L113" s="45"/>
      <c r="M113" s="45">
        <f>1237429+2830214+31974+395585</f>
        <v>4495202</v>
      </c>
      <c r="N113" s="45"/>
      <c r="O113" s="45">
        <v>3000000</v>
      </c>
      <c r="P113" s="45"/>
      <c r="Q113" s="45">
        <v>44021903</v>
      </c>
      <c r="R113" s="45"/>
      <c r="S113" s="45">
        <f t="shared" si="8"/>
        <v>51517105</v>
      </c>
      <c r="T113" s="45"/>
      <c r="U113" s="44">
        <f t="shared" si="9"/>
        <v>0</v>
      </c>
    </row>
    <row r="114" spans="1:22" s="44" customFormat="1" ht="12.75" customHeight="1">
      <c r="A114" s="44" t="s">
        <v>478</v>
      </c>
      <c r="C114" s="44" t="s">
        <v>92</v>
      </c>
      <c r="E114" s="45">
        <v>962249</v>
      </c>
      <c r="F114" s="45"/>
      <c r="G114" s="45">
        <v>4413684</v>
      </c>
      <c r="H114" s="45"/>
      <c r="I114" s="45">
        <v>2918403</v>
      </c>
      <c r="J114" s="45"/>
      <c r="K114" s="45">
        <v>4244597</v>
      </c>
      <c r="L114" s="45"/>
      <c r="M114" s="45">
        <v>44908</v>
      </c>
      <c r="N114" s="45"/>
      <c r="O114" s="45">
        <v>0</v>
      </c>
      <c r="P114" s="45"/>
      <c r="Q114" s="45">
        <f>206458+377483-459762</f>
        <v>124179</v>
      </c>
      <c r="R114" s="45"/>
      <c r="S114" s="45">
        <f>+Q114+O114+M114</f>
        <v>169087</v>
      </c>
      <c r="T114" s="45"/>
      <c r="U114" s="44">
        <f t="shared" si="9"/>
        <v>0</v>
      </c>
    </row>
    <row r="115" spans="1:22" s="44" customFormat="1" ht="12.75" customHeight="1">
      <c r="A115" s="44" t="s">
        <v>141</v>
      </c>
      <c r="C115" s="44" t="s">
        <v>27</v>
      </c>
      <c r="E115" s="45">
        <f>7007088+220939+2397079</f>
        <v>9625106</v>
      </c>
      <c r="F115" s="45"/>
      <c r="G115" s="45">
        <v>39066152</v>
      </c>
      <c r="H115" s="45"/>
      <c r="I115" s="45">
        <v>21183697</v>
      </c>
      <c r="J115" s="45"/>
      <c r="K115" s="45">
        <v>26765910</v>
      </c>
      <c r="L115" s="45"/>
      <c r="M115" s="45">
        <f>359397+2782856</f>
        <v>3142253</v>
      </c>
      <c r="N115" s="45"/>
      <c r="O115" s="45">
        <v>0</v>
      </c>
      <c r="P115" s="45"/>
      <c r="Q115" s="45">
        <f>5266492+780071+343522+2767904</f>
        <v>9157989</v>
      </c>
      <c r="R115" s="45"/>
      <c r="S115" s="45">
        <f t="shared" si="8"/>
        <v>12300242</v>
      </c>
      <c r="T115" s="45"/>
      <c r="U115" s="44">
        <f t="shared" si="9"/>
        <v>0</v>
      </c>
    </row>
    <row r="116" spans="1:22" s="44" customFormat="1" ht="12.75" customHeight="1">
      <c r="A116" s="44" t="s">
        <v>142</v>
      </c>
      <c r="C116" s="44" t="s">
        <v>102</v>
      </c>
      <c r="E116" s="45">
        <f>3198387+5333418</f>
        <v>8531805</v>
      </c>
      <c r="F116" s="45"/>
      <c r="G116" s="45">
        <v>22252005</v>
      </c>
      <c r="H116" s="45"/>
      <c r="I116" s="45">
        <v>8248090</v>
      </c>
      <c r="J116" s="45"/>
      <c r="K116" s="45">
        <v>18100302</v>
      </c>
      <c r="L116" s="45"/>
      <c r="M116" s="45">
        <f>98935+53378+303535+104385+1577589+933199</f>
        <v>3071021</v>
      </c>
      <c r="N116" s="45"/>
      <c r="O116" s="45">
        <v>0</v>
      </c>
      <c r="P116" s="45"/>
      <c r="Q116" s="45">
        <f>3153883+3670910-5744111</f>
        <v>1080682</v>
      </c>
      <c r="R116" s="45"/>
      <c r="S116" s="45">
        <f>+Q116+O116+M116</f>
        <v>4151703</v>
      </c>
      <c r="T116" s="45"/>
      <c r="U116" s="44">
        <f t="shared" si="9"/>
        <v>0</v>
      </c>
    </row>
    <row r="117" spans="1:22" s="44" customFormat="1" ht="12.75" customHeight="1">
      <c r="A117" s="44" t="s">
        <v>143</v>
      </c>
      <c r="C117" s="44" t="s">
        <v>111</v>
      </c>
      <c r="E117" s="45">
        <f>18420764+195768</f>
        <v>18616532</v>
      </c>
      <c r="F117" s="45"/>
      <c r="G117" s="45">
        <v>43862207</v>
      </c>
      <c r="H117" s="45"/>
      <c r="I117" s="45">
        <v>22876597</v>
      </c>
      <c r="J117" s="45"/>
      <c r="K117" s="45">
        <v>26344526</v>
      </c>
      <c r="L117" s="45"/>
      <c r="M117" s="45">
        <f>2998900+1216587</f>
        <v>4215487</v>
      </c>
      <c r="N117" s="45"/>
      <c r="O117" s="45">
        <v>0</v>
      </c>
      <c r="P117" s="45"/>
      <c r="Q117" s="45">
        <f>3429456+2825839+5078023+1968876</f>
        <v>13302194</v>
      </c>
      <c r="R117" s="45"/>
      <c r="S117" s="45">
        <f>+Q117+O117+M117</f>
        <v>17517681</v>
      </c>
      <c r="T117" s="45"/>
      <c r="U117" s="44">
        <f>+G117-K117-S117</f>
        <v>0</v>
      </c>
    </row>
    <row r="118" spans="1:22" s="44" customFormat="1" ht="12.75" customHeight="1">
      <c r="A118" s="44" t="s">
        <v>144</v>
      </c>
      <c r="C118" s="44" t="s">
        <v>88</v>
      </c>
      <c r="E118" s="45">
        <f>9798932+331581+15641</f>
        <v>10146154</v>
      </c>
      <c r="F118" s="45"/>
      <c r="G118" s="45">
        <v>32237830</v>
      </c>
      <c r="H118" s="45"/>
      <c r="I118" s="45">
        <v>17270940</v>
      </c>
      <c r="J118" s="45"/>
      <c r="K118" s="45">
        <v>20500757</v>
      </c>
      <c r="L118" s="45"/>
      <c r="M118" s="45">
        <f>1590426+1187686+6504+85678</f>
        <v>2870294</v>
      </c>
      <c r="N118" s="45"/>
      <c r="O118" s="45">
        <v>0</v>
      </c>
      <c r="P118" s="45"/>
      <c r="Q118" s="45">
        <f>5069554+3924360+434498-561633</f>
        <v>8866779</v>
      </c>
      <c r="R118" s="45"/>
      <c r="S118" s="45">
        <f t="shared" si="8"/>
        <v>11737073</v>
      </c>
      <c r="T118" s="45"/>
      <c r="U118" s="44">
        <f t="shared" si="9"/>
        <v>0</v>
      </c>
    </row>
    <row r="119" spans="1:22" s="44" customFormat="1" ht="12.75" customHeight="1">
      <c r="A119" s="44" t="s">
        <v>36</v>
      </c>
      <c r="C119" s="44" t="s">
        <v>145</v>
      </c>
      <c r="E119" s="45">
        <f>1745566+65034</f>
        <v>1810600</v>
      </c>
      <c r="F119" s="45"/>
      <c r="G119" s="45">
        <v>3577030</v>
      </c>
      <c r="H119" s="45"/>
      <c r="I119" s="45">
        <v>1157627</v>
      </c>
      <c r="J119" s="45"/>
      <c r="K119" s="45">
        <v>1496792</v>
      </c>
      <c r="L119" s="45"/>
      <c r="M119" s="45">
        <f>190404+65034+217156</f>
        <v>472594</v>
      </c>
      <c r="N119" s="45"/>
      <c r="O119" s="45">
        <v>0</v>
      </c>
      <c r="P119" s="45"/>
      <c r="Q119" s="45">
        <f>1183188+230590+193866</f>
        <v>1607644</v>
      </c>
      <c r="R119" s="45"/>
      <c r="S119" s="45">
        <f t="shared" si="8"/>
        <v>2080238</v>
      </c>
      <c r="T119" s="45"/>
      <c r="U119" s="44">
        <f t="shared" si="9"/>
        <v>0</v>
      </c>
    </row>
    <row r="120" spans="1:22" s="44" customFormat="1" ht="12.75" customHeight="1">
      <c r="A120" s="44" t="s">
        <v>146</v>
      </c>
      <c r="C120" s="44" t="s">
        <v>147</v>
      </c>
      <c r="E120" s="45">
        <f>2314320+48513+201000</f>
        <v>2563833</v>
      </c>
      <c r="F120" s="45"/>
      <c r="G120" s="45">
        <v>6283824</v>
      </c>
      <c r="H120" s="45"/>
      <c r="I120" s="45">
        <v>2225592</v>
      </c>
      <c r="J120" s="45"/>
      <c r="K120" s="45">
        <v>2883550</v>
      </c>
      <c r="L120" s="45"/>
      <c r="M120" s="45">
        <f>175169+41645+37016+500000</f>
        <v>753830</v>
      </c>
      <c r="N120" s="45"/>
      <c r="O120" s="45">
        <v>0</v>
      </c>
      <c r="P120" s="45"/>
      <c r="Q120" s="45">
        <f>1002292+1655587-11434-1</f>
        <v>2646444</v>
      </c>
      <c r="R120" s="45"/>
      <c r="S120" s="45">
        <f t="shared" si="8"/>
        <v>3400274</v>
      </c>
      <c r="T120" s="45"/>
      <c r="U120" s="44">
        <f t="shared" si="9"/>
        <v>0</v>
      </c>
    </row>
    <row r="121" spans="1:22" s="44" customFormat="1" ht="12.75" customHeight="1">
      <c r="A121" s="44" t="s">
        <v>17</v>
      </c>
      <c r="C121" s="44" t="s">
        <v>17</v>
      </c>
      <c r="E121" s="45">
        <f>8393344+59267+268343</f>
        <v>8720954</v>
      </c>
      <c r="F121" s="45"/>
      <c r="G121" s="45">
        <v>42711791</v>
      </c>
      <c r="H121" s="45"/>
      <c r="I121" s="45">
        <v>11279169</v>
      </c>
      <c r="J121" s="45"/>
      <c r="K121" s="45">
        <v>17763657</v>
      </c>
      <c r="L121" s="45"/>
      <c r="M121" s="45">
        <f>1106227+15028044+1559947+268343</f>
        <v>17962561</v>
      </c>
      <c r="N121" s="45"/>
      <c r="O121" s="45">
        <v>0</v>
      </c>
      <c r="P121" s="45"/>
      <c r="Q121" s="45">
        <f>512520+5900476+330314+242263</f>
        <v>6985573</v>
      </c>
      <c r="R121" s="45"/>
      <c r="S121" s="45">
        <f>+Q121+O121+M121</f>
        <v>24948134</v>
      </c>
      <c r="T121" s="45"/>
      <c r="U121" s="44">
        <f t="shared" si="9"/>
        <v>0</v>
      </c>
    </row>
    <row r="122" spans="1:22" s="44" customFormat="1" ht="12.75" customHeight="1">
      <c r="A122" s="44" t="s">
        <v>148</v>
      </c>
      <c r="C122" s="44" t="s">
        <v>15</v>
      </c>
      <c r="E122" s="45">
        <v>1704700</v>
      </c>
      <c r="F122" s="45"/>
      <c r="G122" s="45">
        <v>3303414</v>
      </c>
      <c r="H122" s="45"/>
      <c r="I122" s="45">
        <v>1045943</v>
      </c>
      <c r="J122" s="45"/>
      <c r="K122" s="45">
        <v>1255815</v>
      </c>
      <c r="L122" s="45"/>
      <c r="M122" s="45">
        <v>153347</v>
      </c>
      <c r="N122" s="45"/>
      <c r="O122" s="45">
        <v>0</v>
      </c>
      <c r="P122" s="45"/>
      <c r="Q122" s="45">
        <f>1313329+430864+9721+140338</f>
        <v>1894252</v>
      </c>
      <c r="R122" s="45"/>
      <c r="S122" s="45">
        <f t="shared" si="8"/>
        <v>2047599</v>
      </c>
      <c r="T122" s="45"/>
      <c r="U122" s="44">
        <f t="shared" si="9"/>
        <v>0</v>
      </c>
    </row>
    <row r="123" spans="1:22" s="44" customFormat="1" ht="12.75" customHeight="1">
      <c r="A123" s="44" t="s">
        <v>149</v>
      </c>
      <c r="C123" s="44" t="s">
        <v>45</v>
      </c>
      <c r="E123" s="45">
        <f>943888+1004178</f>
        <v>1948066</v>
      </c>
      <c r="F123" s="45"/>
      <c r="G123" s="45">
        <v>9619858</v>
      </c>
      <c r="H123" s="45"/>
      <c r="I123" s="45">
        <v>4128904</v>
      </c>
      <c r="J123" s="45"/>
      <c r="K123" s="45">
        <v>6855421</v>
      </c>
      <c r="L123" s="45"/>
      <c r="M123" s="45">
        <f>72851+2729</f>
        <v>75580</v>
      </c>
      <c r="N123" s="45"/>
      <c r="O123" s="45">
        <v>0</v>
      </c>
      <c r="P123" s="45"/>
      <c r="Q123" s="45">
        <f>-168501+2301279+556079</f>
        <v>2688857</v>
      </c>
      <c r="R123" s="45"/>
      <c r="S123" s="45">
        <f t="shared" si="8"/>
        <v>2764437</v>
      </c>
      <c r="T123" s="45"/>
      <c r="U123" s="44">
        <f t="shared" si="9"/>
        <v>0</v>
      </c>
    </row>
    <row r="124" spans="1:22" s="44" customFormat="1" ht="12.75" customHeight="1">
      <c r="A124" s="44" t="s">
        <v>150</v>
      </c>
      <c r="C124" s="44" t="s">
        <v>27</v>
      </c>
      <c r="E124" s="45">
        <f>13475486+2813147</f>
        <v>16288633</v>
      </c>
      <c r="F124" s="45"/>
      <c r="G124" s="45">
        <v>26958058</v>
      </c>
      <c r="H124" s="45"/>
      <c r="I124" s="45">
        <v>8930015</v>
      </c>
      <c r="J124" s="45"/>
      <c r="K124" s="45">
        <v>9887515</v>
      </c>
      <c r="L124" s="45"/>
      <c r="M124" s="45">
        <f>1530904+119353+98963</f>
        <v>1749220</v>
      </c>
      <c r="N124" s="45"/>
      <c r="O124" s="45">
        <v>0</v>
      </c>
      <c r="P124" s="45"/>
      <c r="Q124" s="45">
        <f>3684988+2255470+1062186+8318679</f>
        <v>15321323</v>
      </c>
      <c r="R124" s="45"/>
      <c r="S124" s="45">
        <f t="shared" si="8"/>
        <v>17070543</v>
      </c>
      <c r="T124" s="45"/>
      <c r="U124" s="44">
        <f t="shared" si="9"/>
        <v>0</v>
      </c>
    </row>
    <row r="125" spans="1:22" s="44" customFormat="1" ht="12.75" customHeight="1">
      <c r="A125" s="44" t="s">
        <v>151</v>
      </c>
      <c r="C125" s="44" t="s">
        <v>13</v>
      </c>
      <c r="E125" s="45">
        <v>5155150</v>
      </c>
      <c r="F125" s="45"/>
      <c r="G125" s="45">
        <v>12566610</v>
      </c>
      <c r="H125" s="45"/>
      <c r="I125" s="45">
        <v>3983325</v>
      </c>
      <c r="J125" s="45"/>
      <c r="K125" s="45">
        <v>8983164</v>
      </c>
      <c r="L125" s="45"/>
      <c r="M125" s="45">
        <f>162937+104437</f>
        <v>267374</v>
      </c>
      <c r="N125" s="45"/>
      <c r="O125" s="45">
        <v>400000</v>
      </c>
      <c r="P125" s="45"/>
      <c r="Q125" s="45">
        <f>1132437+1979872+8921-205158</f>
        <v>2916072</v>
      </c>
      <c r="R125" s="45"/>
      <c r="S125" s="45">
        <f t="shared" si="8"/>
        <v>3583446</v>
      </c>
      <c r="T125" s="45"/>
      <c r="U125" s="44">
        <f t="shared" si="9"/>
        <v>0</v>
      </c>
    </row>
    <row r="126" spans="1:22" s="44" customFormat="1" ht="12.75" customHeight="1">
      <c r="A126" s="2" t="s">
        <v>481</v>
      </c>
      <c r="B126" s="2"/>
      <c r="C126" s="2" t="s">
        <v>45</v>
      </c>
      <c r="D126" s="2"/>
      <c r="E126" s="32">
        <f>1302443+799076</f>
        <v>2101519</v>
      </c>
      <c r="F126" s="32"/>
      <c r="G126" s="32">
        <v>6070666</v>
      </c>
      <c r="H126" s="32"/>
      <c r="I126" s="32">
        <v>3060063</v>
      </c>
      <c r="J126" s="32"/>
      <c r="K126" s="32">
        <v>3326242</v>
      </c>
      <c r="L126" s="32"/>
      <c r="M126" s="32">
        <v>1398</v>
      </c>
      <c r="N126" s="32"/>
      <c r="O126" s="32">
        <v>0</v>
      </c>
      <c r="P126" s="32"/>
      <c r="Q126" s="32">
        <f>2014123+384993+343910</f>
        <v>2743026</v>
      </c>
      <c r="R126" s="32"/>
      <c r="S126" s="45">
        <f t="shared" si="8"/>
        <v>2744424</v>
      </c>
      <c r="T126" s="32"/>
      <c r="U126" s="2">
        <v>0</v>
      </c>
      <c r="V126" s="2"/>
    </row>
    <row r="127" spans="1:22" s="44" customFormat="1" ht="12.75" customHeight="1">
      <c r="A127" s="2" t="s">
        <v>152</v>
      </c>
      <c r="B127" s="2"/>
      <c r="C127" s="2" t="s">
        <v>153</v>
      </c>
      <c r="D127" s="2"/>
      <c r="E127" s="32">
        <f>11516076+26792</f>
        <v>11542868</v>
      </c>
      <c r="F127" s="32"/>
      <c r="G127" s="32">
        <v>30441192</v>
      </c>
      <c r="H127" s="32"/>
      <c r="I127" s="32">
        <v>11244303</v>
      </c>
      <c r="J127" s="32"/>
      <c r="K127" s="32">
        <v>20149302</v>
      </c>
      <c r="L127" s="32"/>
      <c r="M127" s="32">
        <f>4935588+384821+2874531+659373+61604+21864</f>
        <v>8937781</v>
      </c>
      <c r="N127" s="32"/>
      <c r="O127" s="32">
        <v>0</v>
      </c>
      <c r="P127" s="32"/>
      <c r="Q127" s="32">
        <f>509765+1495323-650979</f>
        <v>1354109</v>
      </c>
      <c r="R127" s="32"/>
      <c r="S127" s="45">
        <f t="shared" si="8"/>
        <v>10291890</v>
      </c>
      <c r="T127" s="32"/>
      <c r="U127" s="2">
        <v>0</v>
      </c>
      <c r="V127" s="2"/>
    </row>
    <row r="128" spans="1:22" s="121" customFormat="1" ht="12.75" hidden="1" customHeight="1">
      <c r="A128" s="121" t="s">
        <v>154</v>
      </c>
      <c r="C128" s="121" t="s">
        <v>27</v>
      </c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>
        <f t="shared" si="8"/>
        <v>0</v>
      </c>
      <c r="T128" s="127"/>
      <c r="U128" s="121">
        <f t="shared" si="9"/>
        <v>0</v>
      </c>
    </row>
    <row r="129" spans="1:22" s="44" customFormat="1" ht="12.75" customHeight="1">
      <c r="A129" s="44" t="s">
        <v>155</v>
      </c>
      <c r="C129" s="44" t="s">
        <v>40</v>
      </c>
      <c r="E129" s="45">
        <f>8699113+54794+18666+858979</f>
        <v>9631552</v>
      </c>
      <c r="F129" s="45"/>
      <c r="G129" s="45">
        <v>14675682</v>
      </c>
      <c r="H129" s="45"/>
      <c r="I129" s="45">
        <v>3034336</v>
      </c>
      <c r="J129" s="45"/>
      <c r="K129" s="45">
        <v>4993544</v>
      </c>
      <c r="L129" s="45"/>
      <c r="M129" s="45">
        <f>948905+53673+424461+18666</f>
        <v>1445705</v>
      </c>
      <c r="N129" s="45"/>
      <c r="O129" s="45">
        <f>2191294+2924090+3373+3117676</f>
        <v>8236433</v>
      </c>
      <c r="P129" s="45"/>
      <c r="Q129" s="45">
        <v>0</v>
      </c>
      <c r="R129" s="45"/>
      <c r="S129" s="45">
        <f t="shared" si="8"/>
        <v>9682138</v>
      </c>
      <c r="T129" s="45"/>
      <c r="U129" s="44">
        <f t="shared" si="9"/>
        <v>0</v>
      </c>
    </row>
    <row r="130" spans="1:22" s="44" customFormat="1" ht="12.75" customHeight="1"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8" t="s">
        <v>484</v>
      </c>
      <c r="T130" s="45"/>
    </row>
    <row r="131" spans="1:22" s="44" customFormat="1" ht="12.75" customHeight="1">
      <c r="A131" s="44" t="s">
        <v>156</v>
      </c>
      <c r="C131" s="44" t="s">
        <v>156</v>
      </c>
      <c r="E131" s="94">
        <v>8194143</v>
      </c>
      <c r="F131" s="94"/>
      <c r="G131" s="94">
        <v>21340921</v>
      </c>
      <c r="H131" s="94"/>
      <c r="I131" s="94">
        <v>8960592</v>
      </c>
      <c r="J131" s="94"/>
      <c r="K131" s="94">
        <v>14294006</v>
      </c>
      <c r="L131" s="94"/>
      <c r="M131" s="94">
        <f>1202828+374000+1063603</f>
        <v>2640431</v>
      </c>
      <c r="N131" s="94"/>
      <c r="O131" s="94">
        <v>709112</v>
      </c>
      <c r="P131" s="94"/>
      <c r="Q131" s="94">
        <f>2712234+1500118-514980</f>
        <v>3697372</v>
      </c>
      <c r="R131" s="94"/>
      <c r="S131" s="94">
        <f t="shared" si="8"/>
        <v>7046915</v>
      </c>
      <c r="T131" s="94"/>
      <c r="U131" s="46">
        <f t="shared" si="9"/>
        <v>0</v>
      </c>
      <c r="V131" s="46"/>
    </row>
    <row r="132" spans="1:22" s="44" customFormat="1" ht="12.75" customHeight="1">
      <c r="A132" s="44" t="s">
        <v>157</v>
      </c>
      <c r="C132" s="44" t="s">
        <v>33</v>
      </c>
      <c r="E132" s="45">
        <f>922745+1418871</f>
        <v>2341616</v>
      </c>
      <c r="F132" s="45"/>
      <c r="G132" s="45">
        <v>4794759</v>
      </c>
      <c r="H132" s="45"/>
      <c r="I132" s="45">
        <v>1628592</v>
      </c>
      <c r="J132" s="45"/>
      <c r="K132" s="45">
        <v>1869817</v>
      </c>
      <c r="L132" s="45"/>
      <c r="M132" s="45">
        <f>36305+143182+39854</f>
        <v>219341</v>
      </c>
      <c r="N132" s="45"/>
      <c r="O132" s="45">
        <v>0</v>
      </c>
      <c r="P132" s="45"/>
      <c r="Q132" s="45">
        <f>415206+1035416+1254979</f>
        <v>2705601</v>
      </c>
      <c r="R132" s="45"/>
      <c r="S132" s="45">
        <f>+Q132+O132+M132</f>
        <v>2924942</v>
      </c>
      <c r="T132" s="45"/>
      <c r="U132" s="44">
        <f t="shared" si="9"/>
        <v>0</v>
      </c>
    </row>
    <row r="133" spans="1:22" s="44" customFormat="1" ht="12.75" customHeight="1">
      <c r="A133" s="44" t="s">
        <v>158</v>
      </c>
      <c r="C133" s="44" t="s">
        <v>159</v>
      </c>
      <c r="E133" s="45">
        <v>7957366</v>
      </c>
      <c r="F133" s="45"/>
      <c r="G133" s="45">
        <v>13788322</v>
      </c>
      <c r="H133" s="45"/>
      <c r="I133" s="45">
        <v>4188911</v>
      </c>
      <c r="J133" s="45"/>
      <c r="K133" s="45">
        <v>5350714</v>
      </c>
      <c r="L133" s="45"/>
      <c r="M133" s="45">
        <v>963745</v>
      </c>
      <c r="N133" s="45"/>
      <c r="O133" s="45">
        <v>0</v>
      </c>
      <c r="P133" s="45"/>
      <c r="Q133" s="45">
        <f>4528947+2450489+138847+355580</f>
        <v>7473863</v>
      </c>
      <c r="R133" s="45"/>
      <c r="S133" s="45">
        <f t="shared" si="8"/>
        <v>8437608</v>
      </c>
      <c r="T133" s="45"/>
      <c r="U133" s="44">
        <f t="shared" si="9"/>
        <v>0</v>
      </c>
    </row>
    <row r="134" spans="1:22" s="46" customFormat="1" ht="12.75" customHeight="1">
      <c r="A134" s="46" t="s">
        <v>160</v>
      </c>
      <c r="C134" s="46" t="s">
        <v>111</v>
      </c>
      <c r="E134" s="45">
        <f>42479721+3391317</f>
        <v>45871038</v>
      </c>
      <c r="F134" s="45"/>
      <c r="G134" s="45">
        <v>63414143</v>
      </c>
      <c r="H134" s="45"/>
      <c r="I134" s="45">
        <v>12366084</v>
      </c>
      <c r="J134" s="45"/>
      <c r="K134" s="45">
        <v>20672416</v>
      </c>
      <c r="L134" s="45"/>
      <c r="M134" s="45">
        <f>14575815+331716</f>
        <v>14907531</v>
      </c>
      <c r="N134" s="45"/>
      <c r="O134" s="45">
        <v>0</v>
      </c>
      <c r="P134" s="45"/>
      <c r="Q134" s="45">
        <f>12693451+9592899+145176+5402670</f>
        <v>27834196</v>
      </c>
      <c r="R134" s="45"/>
      <c r="S134" s="45">
        <f t="shared" si="8"/>
        <v>42741727</v>
      </c>
      <c r="T134" s="45"/>
      <c r="U134" s="44">
        <f t="shared" si="9"/>
        <v>0</v>
      </c>
    </row>
    <row r="135" spans="1:22" s="44" customFormat="1" ht="12.75" customHeight="1">
      <c r="A135" s="44" t="s">
        <v>161</v>
      </c>
      <c r="C135" s="44" t="s">
        <v>15</v>
      </c>
      <c r="E135" s="45">
        <v>3247234</v>
      </c>
      <c r="F135" s="45"/>
      <c r="G135" s="45">
        <v>21145127</v>
      </c>
      <c r="H135" s="45"/>
      <c r="I135" s="45">
        <v>11389514</v>
      </c>
      <c r="J135" s="45"/>
      <c r="K135" s="45">
        <v>16393710</v>
      </c>
      <c r="L135" s="45"/>
      <c r="M135" s="45">
        <f>700602+3353545+21109</f>
        <v>4075256</v>
      </c>
      <c r="N135" s="45"/>
      <c r="O135" s="45">
        <v>0</v>
      </c>
      <c r="P135" s="45"/>
      <c r="Q135" s="45">
        <f>1174510+1710764+145568-2354681</f>
        <v>676161</v>
      </c>
      <c r="R135" s="45"/>
      <c r="S135" s="45">
        <f t="shared" si="8"/>
        <v>4751417</v>
      </c>
      <c r="T135" s="45"/>
      <c r="U135" s="44">
        <f t="shared" si="9"/>
        <v>0</v>
      </c>
    </row>
    <row r="136" spans="1:22" s="44" customFormat="1" ht="12.75" customHeight="1">
      <c r="A136" s="44" t="s">
        <v>162</v>
      </c>
      <c r="C136" s="44" t="s">
        <v>163</v>
      </c>
      <c r="E136" s="45">
        <f>25430785+4344069</f>
        <v>29774854</v>
      </c>
      <c r="F136" s="45"/>
      <c r="G136" s="45">
        <v>43961845</v>
      </c>
      <c r="H136" s="45"/>
      <c r="I136" s="45">
        <v>3402050</v>
      </c>
      <c r="J136" s="45"/>
      <c r="K136" s="45">
        <v>10382478</v>
      </c>
      <c r="L136" s="45"/>
      <c r="M136" s="45">
        <f>761401+34705+102233+107481</f>
        <v>1005820</v>
      </c>
      <c r="N136" s="45"/>
      <c r="O136" s="45">
        <v>0</v>
      </c>
      <c r="P136" s="45"/>
      <c r="Q136" s="45">
        <f>101661+34735678+442440-2706232</f>
        <v>32573547</v>
      </c>
      <c r="R136" s="45"/>
      <c r="S136" s="45">
        <f t="shared" si="8"/>
        <v>33579367</v>
      </c>
      <c r="T136" s="45"/>
      <c r="U136" s="44">
        <f t="shared" si="9"/>
        <v>0</v>
      </c>
    </row>
    <row r="137" spans="1:22" s="44" customFormat="1" ht="12.75" customHeight="1">
      <c r="A137" s="44" t="s">
        <v>164</v>
      </c>
      <c r="C137" s="44" t="s">
        <v>27</v>
      </c>
      <c r="E137" s="45">
        <f>3750189+17308516</f>
        <v>21058705</v>
      </c>
      <c r="F137" s="45"/>
      <c r="G137" s="45">
        <v>31431254</v>
      </c>
      <c r="H137" s="45"/>
      <c r="I137" s="45">
        <v>7308421</v>
      </c>
      <c r="J137" s="45"/>
      <c r="K137" s="45">
        <v>8982938</v>
      </c>
      <c r="L137" s="45"/>
      <c r="M137" s="45">
        <f>94380+47032+58336</f>
        <v>199748</v>
      </c>
      <c r="N137" s="45"/>
      <c r="O137" s="45">
        <v>809416</v>
      </c>
      <c r="P137" s="45"/>
      <c r="Q137" s="45">
        <f>10400300+394065+494985+10149802</f>
        <v>21439152</v>
      </c>
      <c r="R137" s="45"/>
      <c r="S137" s="45">
        <f t="shared" si="8"/>
        <v>22448316</v>
      </c>
      <c r="T137" s="45"/>
      <c r="U137" s="44">
        <f t="shared" si="9"/>
        <v>0</v>
      </c>
    </row>
    <row r="138" spans="1:22" s="44" customFormat="1" ht="12.75" customHeight="1">
      <c r="A138" s="44" t="s">
        <v>53</v>
      </c>
      <c r="C138" s="44" t="s">
        <v>53</v>
      </c>
      <c r="E138" s="45">
        <f>33381037+12203</f>
        <v>33393240</v>
      </c>
      <c r="F138" s="45"/>
      <c r="G138" s="45">
        <v>44588109</v>
      </c>
      <c r="H138" s="45"/>
      <c r="I138" s="45">
        <v>6892342</v>
      </c>
      <c r="J138" s="45"/>
      <c r="K138" s="45">
        <v>10961426</v>
      </c>
      <c r="L138" s="45"/>
      <c r="M138" s="45">
        <f>3422652+1165207</f>
        <v>4587859</v>
      </c>
      <c r="N138" s="45"/>
      <c r="O138" s="45">
        <v>0</v>
      </c>
      <c r="P138" s="45"/>
      <c r="Q138" s="45">
        <f>8879640+15109785+1389504+3659895</f>
        <v>29038824</v>
      </c>
      <c r="R138" s="45"/>
      <c r="S138" s="45">
        <f t="shared" si="8"/>
        <v>33626683</v>
      </c>
      <c r="T138" s="45"/>
      <c r="U138" s="44">
        <f t="shared" si="9"/>
        <v>0</v>
      </c>
    </row>
    <row r="139" spans="1:22" s="44" customFormat="1" ht="12.75" customHeight="1">
      <c r="A139" s="44" t="s">
        <v>165</v>
      </c>
      <c r="C139" s="44" t="s">
        <v>92</v>
      </c>
      <c r="E139" s="45">
        <v>21381265</v>
      </c>
      <c r="F139" s="45"/>
      <c r="G139" s="45">
        <v>62278759</v>
      </c>
      <c r="H139" s="45"/>
      <c r="I139" s="45">
        <v>30574167</v>
      </c>
      <c r="J139" s="45"/>
      <c r="K139" s="45">
        <v>36878285</v>
      </c>
      <c r="L139" s="45"/>
      <c r="M139" s="45">
        <f>607442+1439399+2263721+2</f>
        <v>4310564</v>
      </c>
      <c r="N139" s="45"/>
      <c r="O139" s="45">
        <v>0</v>
      </c>
      <c r="P139" s="45"/>
      <c r="Q139" s="45">
        <f>18215630+3008410-134130</f>
        <v>21089910</v>
      </c>
      <c r="R139" s="45"/>
      <c r="S139" s="45">
        <f t="shared" si="8"/>
        <v>25400474</v>
      </c>
      <c r="T139" s="45"/>
      <c r="U139" s="44">
        <f t="shared" si="9"/>
        <v>0</v>
      </c>
    </row>
    <row r="140" spans="1:22" s="44" customFormat="1" ht="12.75" customHeight="1">
      <c r="A140" s="44" t="s">
        <v>166</v>
      </c>
      <c r="C140" s="44" t="s">
        <v>92</v>
      </c>
      <c r="E140" s="45">
        <v>1235408</v>
      </c>
      <c r="F140" s="45"/>
      <c r="G140" s="45">
        <v>5286945</v>
      </c>
      <c r="H140" s="45"/>
      <c r="I140" s="45">
        <v>820589</v>
      </c>
      <c r="J140" s="45"/>
      <c r="K140" s="45">
        <v>4245861</v>
      </c>
      <c r="L140" s="45"/>
      <c r="M140" s="45">
        <f>31074+15047+1198466+38883</f>
        <v>1283470</v>
      </c>
      <c r="N140" s="45"/>
      <c r="O140" s="45">
        <v>0</v>
      </c>
      <c r="P140" s="45"/>
      <c r="Q140" s="45">
        <f>456499+120971-819856</f>
        <v>-242386</v>
      </c>
      <c r="R140" s="45"/>
      <c r="S140" s="45">
        <f t="shared" si="8"/>
        <v>1041084</v>
      </c>
      <c r="T140" s="45"/>
      <c r="U140" s="44">
        <f t="shared" si="9"/>
        <v>0</v>
      </c>
    </row>
    <row r="141" spans="1:22" s="44" customFormat="1" ht="12.75" customHeight="1">
      <c r="A141" s="44" t="s">
        <v>167</v>
      </c>
      <c r="C141" s="44" t="s">
        <v>66</v>
      </c>
      <c r="E141" s="45">
        <f>7747023+5580681</f>
        <v>13327704</v>
      </c>
      <c r="F141" s="45"/>
      <c r="G141" s="45">
        <v>21292292</v>
      </c>
      <c r="H141" s="45"/>
      <c r="I141" s="45">
        <v>5330615</v>
      </c>
      <c r="J141" s="45"/>
      <c r="K141" s="45">
        <v>7259789</v>
      </c>
      <c r="L141" s="45"/>
      <c r="M141" s="45">
        <f>1093737+286193+1302681</f>
        <v>2682611</v>
      </c>
      <c r="N141" s="45"/>
      <c r="O141" s="45">
        <v>109857</v>
      </c>
      <c r="P141" s="45"/>
      <c r="Q141" s="45">
        <f>3077355+7647579+308381+206720</f>
        <v>11240035</v>
      </c>
      <c r="R141" s="45"/>
      <c r="S141" s="45">
        <f t="shared" si="8"/>
        <v>14032503</v>
      </c>
      <c r="T141" s="45"/>
      <c r="U141" s="44">
        <f t="shared" si="9"/>
        <v>0</v>
      </c>
    </row>
    <row r="142" spans="1:22" s="44" customFormat="1" ht="12.75" customHeight="1">
      <c r="A142" s="44" t="s">
        <v>168</v>
      </c>
      <c r="C142" s="44" t="s">
        <v>27</v>
      </c>
      <c r="E142" s="45">
        <v>6030583</v>
      </c>
      <c r="F142" s="45"/>
      <c r="G142" s="45">
        <v>15669820</v>
      </c>
      <c r="H142" s="45"/>
      <c r="I142" s="45">
        <v>5852462</v>
      </c>
      <c r="J142" s="45"/>
      <c r="K142" s="45">
        <v>7441891</v>
      </c>
      <c r="L142" s="45"/>
      <c r="M142" s="45">
        <f>917370+100675</f>
        <v>1018045</v>
      </c>
      <c r="N142" s="45"/>
      <c r="O142" s="45">
        <v>0</v>
      </c>
      <c r="P142" s="45"/>
      <c r="Q142" s="45">
        <f>4100151+1096393+1530118+483222</f>
        <v>7209884</v>
      </c>
      <c r="R142" s="45"/>
      <c r="S142" s="45">
        <f t="shared" si="8"/>
        <v>8227929</v>
      </c>
      <c r="T142" s="45"/>
      <c r="U142" s="44">
        <f t="shared" si="9"/>
        <v>0</v>
      </c>
    </row>
    <row r="143" spans="1:22" s="44" customFormat="1" ht="12.75" customHeight="1">
      <c r="A143" s="44" t="s">
        <v>169</v>
      </c>
      <c r="C143" s="44" t="s">
        <v>103</v>
      </c>
      <c r="E143" s="45">
        <f>23751430+1015072</f>
        <v>24766502</v>
      </c>
      <c r="F143" s="45"/>
      <c r="G143" s="45">
        <v>56776265</v>
      </c>
      <c r="H143" s="45"/>
      <c r="I143" s="45">
        <v>25630761</v>
      </c>
      <c r="J143" s="45"/>
      <c r="K143" s="45">
        <v>30683102</v>
      </c>
      <c r="L143" s="45"/>
      <c r="M143" s="45">
        <f>1753992+907039+2125562</f>
        <v>4786593</v>
      </c>
      <c r="N143" s="45"/>
      <c r="O143" s="45">
        <v>0</v>
      </c>
      <c r="P143" s="45"/>
      <c r="Q143" s="45">
        <f>11229134+6021656+1123051+2932729</f>
        <v>21306570</v>
      </c>
      <c r="R143" s="45"/>
      <c r="S143" s="45">
        <f t="shared" si="8"/>
        <v>26093163</v>
      </c>
      <c r="T143" s="45"/>
      <c r="U143" s="44">
        <f t="shared" si="9"/>
        <v>0</v>
      </c>
    </row>
    <row r="144" spans="1:22" s="44" customFormat="1" ht="12.75" customHeight="1">
      <c r="A144" s="44" t="s">
        <v>170</v>
      </c>
      <c r="C144" s="44" t="s">
        <v>171</v>
      </c>
      <c r="E144" s="45">
        <v>5376427</v>
      </c>
      <c r="F144" s="45"/>
      <c r="G144" s="45">
        <v>9138469</v>
      </c>
      <c r="H144" s="45"/>
      <c r="I144" s="45">
        <v>3444272</v>
      </c>
      <c r="J144" s="45"/>
      <c r="K144" s="45">
        <v>3822837</v>
      </c>
      <c r="L144" s="45"/>
      <c r="M144" s="45">
        <v>117077</v>
      </c>
      <c r="N144" s="45"/>
      <c r="O144" s="45">
        <v>0</v>
      </c>
      <c r="P144" s="45"/>
      <c r="Q144" s="45">
        <f>3007113+1402201+54608+734633</f>
        <v>5198555</v>
      </c>
      <c r="R144" s="45"/>
      <c r="S144" s="45">
        <f t="shared" ref="S144:S207" si="10">+Q144+O144+M144</f>
        <v>5315632</v>
      </c>
      <c r="T144" s="45"/>
      <c r="U144" s="44">
        <f t="shared" si="9"/>
        <v>0</v>
      </c>
    </row>
    <row r="145" spans="1:21" s="44" customFormat="1" ht="12.75" customHeight="1">
      <c r="A145" s="44" t="s">
        <v>172</v>
      </c>
      <c r="C145" s="44" t="s">
        <v>103</v>
      </c>
      <c r="E145" s="45">
        <f>7424202+62738</f>
        <v>7486940</v>
      </c>
      <c r="F145" s="45"/>
      <c r="G145" s="45">
        <v>34073161</v>
      </c>
      <c r="H145" s="45"/>
      <c r="I145" s="45">
        <v>25562262</v>
      </c>
      <c r="J145" s="45"/>
      <c r="K145" s="45">
        <v>30568850</v>
      </c>
      <c r="L145" s="45"/>
      <c r="M145" s="45">
        <v>843014</v>
      </c>
      <c r="N145" s="45"/>
      <c r="O145" s="45">
        <v>0</v>
      </c>
      <c r="P145" s="45"/>
      <c r="Q145" s="45">
        <f>5128686+293291+232959-2993639</f>
        <v>2661297</v>
      </c>
      <c r="R145" s="45"/>
      <c r="S145" s="45">
        <f t="shared" si="10"/>
        <v>3504311</v>
      </c>
      <c r="T145" s="45"/>
      <c r="U145" s="44">
        <f t="shared" si="9"/>
        <v>0</v>
      </c>
    </row>
    <row r="146" spans="1:21" s="44" customFormat="1" ht="12.75" customHeight="1">
      <c r="A146" s="44" t="s">
        <v>66</v>
      </c>
      <c r="C146" s="44" t="s">
        <v>45</v>
      </c>
      <c r="E146" s="45">
        <f>19291233+6510171</f>
        <v>25801404</v>
      </c>
      <c r="F146" s="45"/>
      <c r="G146" s="45">
        <v>37004177</v>
      </c>
      <c r="H146" s="45"/>
      <c r="I146" s="45">
        <v>8234420</v>
      </c>
      <c r="J146" s="45"/>
      <c r="K146" s="45">
        <v>10347003</v>
      </c>
      <c r="L146" s="45"/>
      <c r="M146" s="45">
        <f>1525719+4292+2631758</f>
        <v>4161769</v>
      </c>
      <c r="N146" s="45"/>
      <c r="O146" s="45">
        <v>0</v>
      </c>
      <c r="P146" s="45"/>
      <c r="Q146" s="45">
        <f>12975774+5983229+3536402</f>
        <v>22495405</v>
      </c>
      <c r="R146" s="45"/>
      <c r="S146" s="45">
        <f t="shared" si="10"/>
        <v>26657174</v>
      </c>
      <c r="T146" s="45"/>
      <c r="U146" s="44">
        <f t="shared" si="9"/>
        <v>0</v>
      </c>
    </row>
    <row r="147" spans="1:21" s="44" customFormat="1" ht="12.75" customHeight="1">
      <c r="A147" s="44" t="s">
        <v>173</v>
      </c>
      <c r="C147" s="44" t="s">
        <v>66</v>
      </c>
      <c r="E147" s="45">
        <v>20149958</v>
      </c>
      <c r="F147" s="45"/>
      <c r="G147" s="45">
        <v>24399413</v>
      </c>
      <c r="H147" s="45"/>
      <c r="I147" s="45">
        <v>1331925</v>
      </c>
      <c r="J147" s="45"/>
      <c r="K147" s="45">
        <v>4011941</v>
      </c>
      <c r="L147" s="45"/>
      <c r="M147" s="45">
        <f>2215358+139448+73018+465255</f>
        <v>2893079</v>
      </c>
      <c r="N147" s="45"/>
      <c r="O147" s="45">
        <v>0</v>
      </c>
      <c r="P147" s="45"/>
      <c r="Q147" s="45">
        <f>13889748+2031588+138238+1434819</f>
        <v>17494393</v>
      </c>
      <c r="R147" s="45"/>
      <c r="S147" s="45">
        <f t="shared" si="10"/>
        <v>20387472</v>
      </c>
      <c r="T147" s="45"/>
      <c r="U147" s="44">
        <f t="shared" ref="U147:U213" si="11">+G147-K147-S147</f>
        <v>0</v>
      </c>
    </row>
    <row r="148" spans="1:21" s="44" customFormat="1" ht="12.75" customHeight="1">
      <c r="A148" s="44" t="s">
        <v>174</v>
      </c>
      <c r="C148" s="44" t="s">
        <v>45</v>
      </c>
      <c r="E148" s="45">
        <v>555712</v>
      </c>
      <c r="F148" s="45"/>
      <c r="G148" s="45">
        <v>2182248</v>
      </c>
      <c r="H148" s="45"/>
      <c r="I148" s="45">
        <v>1395766</v>
      </c>
      <c r="J148" s="45"/>
      <c r="K148" s="45">
        <v>1623875</v>
      </c>
      <c r="L148" s="45"/>
      <c r="M148" s="45">
        <v>625</v>
      </c>
      <c r="N148" s="45"/>
      <c r="O148" s="45">
        <v>0</v>
      </c>
      <c r="P148" s="45"/>
      <c r="Q148" s="45">
        <f>201848+55024+181+300695</f>
        <v>557748</v>
      </c>
      <c r="R148" s="45"/>
      <c r="S148" s="45">
        <f t="shared" si="10"/>
        <v>558373</v>
      </c>
      <c r="T148" s="45"/>
      <c r="U148" s="44">
        <f t="shared" si="11"/>
        <v>0</v>
      </c>
    </row>
    <row r="149" spans="1:21" s="44" customFormat="1" ht="12.75" customHeight="1">
      <c r="A149" s="44" t="s">
        <v>175</v>
      </c>
      <c r="C149" s="44" t="s">
        <v>176</v>
      </c>
      <c r="E149" s="45">
        <f>5223657+5541166</f>
        <v>10764823</v>
      </c>
      <c r="F149" s="45"/>
      <c r="G149" s="45">
        <v>17768190</v>
      </c>
      <c r="H149" s="45"/>
      <c r="I149" s="45">
        <v>4110644</v>
      </c>
      <c r="J149" s="45"/>
      <c r="K149" s="45">
        <v>6357413</v>
      </c>
      <c r="L149" s="45"/>
      <c r="M149" s="45">
        <f>540999+108599+16762+343534</f>
        <v>1009894</v>
      </c>
      <c r="N149" s="45"/>
      <c r="O149" s="45">
        <v>0</v>
      </c>
      <c r="P149" s="45"/>
      <c r="Q149" s="45">
        <f>4458073+1479376+4463434</f>
        <v>10400883</v>
      </c>
      <c r="R149" s="45"/>
      <c r="S149" s="45">
        <f t="shared" si="10"/>
        <v>11410777</v>
      </c>
      <c r="T149" s="45"/>
      <c r="U149" s="44">
        <f t="shared" si="11"/>
        <v>0</v>
      </c>
    </row>
    <row r="150" spans="1:21" s="44" customFormat="1" ht="12.75" customHeight="1">
      <c r="A150" s="44" t="s">
        <v>177</v>
      </c>
      <c r="C150" s="44" t="s">
        <v>13</v>
      </c>
      <c r="E150" s="45">
        <v>3513275</v>
      </c>
      <c r="F150" s="45"/>
      <c r="G150" s="45">
        <v>5150661</v>
      </c>
      <c r="H150" s="45"/>
      <c r="I150" s="45">
        <v>1292404</v>
      </c>
      <c r="J150" s="45"/>
      <c r="K150" s="45">
        <v>1438200</v>
      </c>
      <c r="L150" s="45"/>
      <c r="M150" s="45">
        <v>136158</v>
      </c>
      <c r="N150" s="45"/>
      <c r="O150" s="45">
        <v>0</v>
      </c>
      <c r="P150" s="45"/>
      <c r="Q150" s="45">
        <f>1677101+1268088+7499+623615</f>
        <v>3576303</v>
      </c>
      <c r="R150" s="45"/>
      <c r="S150" s="45">
        <f t="shared" si="10"/>
        <v>3712461</v>
      </c>
      <c r="T150" s="45"/>
      <c r="U150" s="44">
        <f t="shared" si="11"/>
        <v>0</v>
      </c>
    </row>
    <row r="151" spans="1:21" s="44" customFormat="1" ht="12.75" customHeight="1">
      <c r="A151" s="44" t="s">
        <v>178</v>
      </c>
      <c r="C151" s="44" t="s">
        <v>179</v>
      </c>
      <c r="E151" s="45">
        <v>4640243</v>
      </c>
      <c r="F151" s="45"/>
      <c r="G151" s="45">
        <v>7995714</v>
      </c>
      <c r="H151" s="45"/>
      <c r="I151" s="45">
        <v>2220492</v>
      </c>
      <c r="J151" s="45"/>
      <c r="K151" s="45">
        <v>3704184</v>
      </c>
      <c r="L151" s="45"/>
      <c r="M151" s="45">
        <f>192183+141113</f>
        <v>333296</v>
      </c>
      <c r="N151" s="45"/>
      <c r="O151" s="45">
        <v>0</v>
      </c>
      <c r="P151" s="45"/>
      <c r="Q151" s="45">
        <f>1888658+1021024+502806+545746</f>
        <v>3958234</v>
      </c>
      <c r="R151" s="45"/>
      <c r="S151" s="45">
        <f t="shared" si="10"/>
        <v>4291530</v>
      </c>
      <c r="T151" s="45"/>
      <c r="U151" s="44">
        <f t="shared" si="11"/>
        <v>0</v>
      </c>
    </row>
    <row r="152" spans="1:21" s="121" customFormat="1" ht="12.75" hidden="1" customHeight="1">
      <c r="A152" s="44" t="s">
        <v>180</v>
      </c>
      <c r="B152" s="44"/>
      <c r="C152" s="44" t="s">
        <v>20</v>
      </c>
      <c r="D152" s="44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>
        <f t="shared" si="10"/>
        <v>0</v>
      </c>
      <c r="T152" s="127"/>
      <c r="U152" s="121">
        <f t="shared" si="11"/>
        <v>0</v>
      </c>
    </row>
    <row r="153" spans="1:21" s="44" customFormat="1" ht="12.75" customHeight="1">
      <c r="A153" s="44" t="s">
        <v>182</v>
      </c>
      <c r="C153" s="44" t="s">
        <v>183</v>
      </c>
      <c r="E153" s="45">
        <f>652884+68310</f>
        <v>721194</v>
      </c>
      <c r="F153" s="45"/>
      <c r="G153" s="45">
        <v>3899869</v>
      </c>
      <c r="H153" s="45"/>
      <c r="I153" s="45">
        <v>2856248</v>
      </c>
      <c r="J153" s="45"/>
      <c r="K153" s="45">
        <v>4181101</v>
      </c>
      <c r="L153" s="45"/>
      <c r="M153" s="45">
        <f>573+49082+80268</f>
        <v>129923</v>
      </c>
      <c r="N153" s="45"/>
      <c r="O153" s="45">
        <v>0</v>
      </c>
      <c r="P153" s="45"/>
      <c r="Q153" s="45">
        <f>-205061+36719+60337-303150</f>
        <v>-411155</v>
      </c>
      <c r="R153" s="45"/>
      <c r="S153" s="45">
        <f t="shared" si="10"/>
        <v>-281232</v>
      </c>
      <c r="T153" s="45"/>
      <c r="U153" s="44">
        <f t="shared" si="11"/>
        <v>0</v>
      </c>
    </row>
    <row r="154" spans="1:21" s="44" customFormat="1" ht="12.75" customHeight="1">
      <c r="A154" s="44" t="s">
        <v>487</v>
      </c>
      <c r="C154" s="44" t="s">
        <v>13</v>
      </c>
      <c r="E154" s="45">
        <v>3530415</v>
      </c>
      <c r="F154" s="45"/>
      <c r="G154" s="45">
        <v>7819044</v>
      </c>
      <c r="H154" s="45"/>
      <c r="I154" s="45">
        <v>3910936</v>
      </c>
      <c r="J154" s="45"/>
      <c r="K154" s="45">
        <v>4302318</v>
      </c>
      <c r="L154" s="45"/>
      <c r="M154" s="45">
        <v>33230</v>
      </c>
      <c r="N154" s="45"/>
      <c r="O154" s="45">
        <v>0</v>
      </c>
      <c r="P154" s="45"/>
      <c r="Q154" s="45">
        <f>1674464+1842260+2183-35411</f>
        <v>3483496</v>
      </c>
      <c r="R154" s="45"/>
      <c r="S154" s="45">
        <f>+Q154+O154+M154</f>
        <v>3516726</v>
      </c>
      <c r="T154" s="45"/>
      <c r="U154" s="44">
        <f>+G154-K154-S154</f>
        <v>0</v>
      </c>
    </row>
    <row r="155" spans="1:21" s="44" customFormat="1" ht="12.75" customHeight="1">
      <c r="A155" s="44" t="s">
        <v>184</v>
      </c>
      <c r="C155" s="44" t="s">
        <v>89</v>
      </c>
      <c r="E155" s="45">
        <f>5073471+93580</f>
        <v>5167051</v>
      </c>
      <c r="F155" s="45"/>
      <c r="G155" s="45">
        <v>10447137</v>
      </c>
      <c r="H155" s="45"/>
      <c r="I155" s="45">
        <v>3192454</v>
      </c>
      <c r="J155" s="45"/>
      <c r="K155" s="45">
        <v>4104580</v>
      </c>
      <c r="L155" s="45"/>
      <c r="M155" s="45">
        <f>363827+29087</f>
        <v>392914</v>
      </c>
      <c r="N155" s="45"/>
      <c r="O155" s="45">
        <v>0</v>
      </c>
      <c r="P155" s="45"/>
      <c r="Q155" s="45">
        <f>2376634+2071090+88421+995339+418159</f>
        <v>5949643</v>
      </c>
      <c r="R155" s="45"/>
      <c r="S155" s="45">
        <f t="shared" si="10"/>
        <v>6342557</v>
      </c>
      <c r="T155" s="45"/>
      <c r="U155" s="44">
        <f t="shared" si="11"/>
        <v>0</v>
      </c>
    </row>
    <row r="156" spans="1:21" s="44" customFormat="1" ht="12.75" customHeight="1">
      <c r="A156" s="44" t="s">
        <v>181</v>
      </c>
      <c r="C156" s="44" t="s">
        <v>125</v>
      </c>
      <c r="E156" s="45">
        <f>3069651+5747849</f>
        <v>8817500</v>
      </c>
      <c r="F156" s="45"/>
      <c r="G156" s="45">
        <v>24854797</v>
      </c>
      <c r="H156" s="45"/>
      <c r="I156" s="45">
        <v>11289103</v>
      </c>
      <c r="J156" s="45"/>
      <c r="K156" s="45">
        <v>15138741</v>
      </c>
      <c r="L156" s="45"/>
      <c r="M156" s="45">
        <f>2100365+64922+399745+154983+618512</f>
        <v>3338527</v>
      </c>
      <c r="N156" s="45"/>
      <c r="O156" s="45">
        <v>0</v>
      </c>
      <c r="P156" s="45"/>
      <c r="Q156" s="45">
        <f>2608161+3774340-4972</f>
        <v>6377529</v>
      </c>
      <c r="R156" s="45"/>
      <c r="S156" s="45">
        <f t="shared" si="10"/>
        <v>9716056</v>
      </c>
      <c r="T156" s="45"/>
      <c r="U156" s="44">
        <f t="shared" si="11"/>
        <v>0</v>
      </c>
    </row>
    <row r="157" spans="1:21" s="44" customFormat="1" ht="12.75" customHeight="1">
      <c r="A157" s="44" t="s">
        <v>185</v>
      </c>
      <c r="C157" s="44" t="s">
        <v>80</v>
      </c>
      <c r="E157" s="45">
        <v>18378758</v>
      </c>
      <c r="F157" s="45"/>
      <c r="G157" s="45">
        <v>23052931</v>
      </c>
      <c r="H157" s="45"/>
      <c r="I157" s="45">
        <v>1597500</v>
      </c>
      <c r="J157" s="45"/>
      <c r="K157" s="45">
        <v>7534761</v>
      </c>
      <c r="L157" s="45"/>
      <c r="M157" s="45">
        <f>626191+16575+959775+177584</f>
        <v>1780125</v>
      </c>
      <c r="N157" s="45"/>
      <c r="O157" s="45">
        <v>0</v>
      </c>
      <c r="P157" s="45"/>
      <c r="Q157" s="45">
        <f>12993533+4085352-3340840</f>
        <v>13738045</v>
      </c>
      <c r="R157" s="45"/>
      <c r="S157" s="45">
        <f t="shared" si="10"/>
        <v>15518170</v>
      </c>
      <c r="T157" s="45"/>
      <c r="U157" s="44">
        <f t="shared" si="11"/>
        <v>0</v>
      </c>
    </row>
    <row r="158" spans="1:21" s="44" customFormat="1" ht="12.75" customHeight="1">
      <c r="A158" s="44" t="s">
        <v>186</v>
      </c>
      <c r="C158" s="44" t="s">
        <v>15</v>
      </c>
      <c r="E158" s="45">
        <f>5431609+40899+957000</f>
        <v>6429508</v>
      </c>
      <c r="F158" s="45"/>
      <c r="G158" s="45">
        <v>11005332</v>
      </c>
      <c r="H158" s="45"/>
      <c r="I158" s="45">
        <v>2041524</v>
      </c>
      <c r="J158" s="45"/>
      <c r="K158" s="45">
        <v>4845224</v>
      </c>
      <c r="L158" s="45"/>
      <c r="M158" s="45">
        <v>981093</v>
      </c>
      <c r="N158" s="45"/>
      <c r="O158" s="45">
        <v>957000</v>
      </c>
      <c r="P158" s="45"/>
      <c r="Q158" s="45">
        <f>2896056+1133862+192097</f>
        <v>4222015</v>
      </c>
      <c r="R158" s="45"/>
      <c r="S158" s="45">
        <f t="shared" si="10"/>
        <v>6160108</v>
      </c>
      <c r="T158" s="45"/>
      <c r="U158" s="44">
        <f t="shared" si="11"/>
        <v>0</v>
      </c>
    </row>
    <row r="159" spans="1:21" s="44" customFormat="1" ht="12.75" customHeight="1">
      <c r="A159" s="44" t="s">
        <v>187</v>
      </c>
      <c r="C159" s="44" t="s">
        <v>27</v>
      </c>
      <c r="E159" s="45">
        <f>10129817+2972933</f>
        <v>13102750</v>
      </c>
      <c r="F159" s="45"/>
      <c r="G159" s="45">
        <v>29590640</v>
      </c>
      <c r="H159" s="45"/>
      <c r="I159" s="45">
        <v>13801967</v>
      </c>
      <c r="J159" s="45"/>
      <c r="K159" s="45">
        <v>16113981</v>
      </c>
      <c r="L159" s="45"/>
      <c r="M159" s="45">
        <v>398460</v>
      </c>
      <c r="N159" s="45"/>
      <c r="O159" s="45">
        <v>0</v>
      </c>
      <c r="P159" s="45"/>
      <c r="Q159" s="45">
        <f>3038397+5833486+3609078+597238</f>
        <v>13078199</v>
      </c>
      <c r="R159" s="45"/>
      <c r="S159" s="45">
        <f>+Q159+O159+M159</f>
        <v>13476659</v>
      </c>
      <c r="T159" s="45"/>
      <c r="U159" s="44">
        <f>+G159-K159-S159</f>
        <v>0</v>
      </c>
    </row>
    <row r="160" spans="1:21" s="44" customFormat="1" ht="12.75" customHeight="1">
      <c r="A160" s="44" t="s">
        <v>189</v>
      </c>
      <c r="C160" s="44" t="s">
        <v>17</v>
      </c>
      <c r="E160" s="45">
        <v>9037853</v>
      </c>
      <c r="F160" s="45"/>
      <c r="G160" s="45">
        <v>22980343</v>
      </c>
      <c r="H160" s="45"/>
      <c r="I160" s="45">
        <v>12557840</v>
      </c>
      <c r="J160" s="45"/>
      <c r="K160" s="45">
        <v>13971521</v>
      </c>
      <c r="L160" s="45"/>
      <c r="M160" s="45">
        <f>1996808+61600</f>
        <v>2058408</v>
      </c>
      <c r="N160" s="45"/>
      <c r="O160" s="45">
        <v>0</v>
      </c>
      <c r="P160" s="45"/>
      <c r="Q160" s="45">
        <f>1097996+4939999+235307+677112</f>
        <v>6950414</v>
      </c>
      <c r="R160" s="45"/>
      <c r="S160" s="45">
        <f t="shared" si="10"/>
        <v>9008822</v>
      </c>
      <c r="T160" s="45"/>
      <c r="U160" s="44">
        <f t="shared" si="11"/>
        <v>0</v>
      </c>
    </row>
    <row r="161" spans="1:21" s="44" customFormat="1" ht="12.75" customHeight="1">
      <c r="A161" s="44" t="s">
        <v>188</v>
      </c>
      <c r="C161" s="44" t="s">
        <v>27</v>
      </c>
      <c r="E161" s="45">
        <v>15738968</v>
      </c>
      <c r="F161" s="45"/>
      <c r="G161" s="45">
        <v>27519155</v>
      </c>
      <c r="H161" s="45"/>
      <c r="I161" s="45">
        <v>8691264</v>
      </c>
      <c r="J161" s="45"/>
      <c r="K161" s="45">
        <v>9929587</v>
      </c>
      <c r="L161" s="45"/>
      <c r="M161" s="45">
        <f>239925+122649+1511808</f>
        <v>1874382</v>
      </c>
      <c r="N161" s="45"/>
      <c r="O161" s="45">
        <v>0</v>
      </c>
      <c r="P161" s="45"/>
      <c r="Q161" s="45">
        <f>3221797+2012845+928723+9551821</f>
        <v>15715186</v>
      </c>
      <c r="R161" s="45"/>
      <c r="S161" s="45">
        <f t="shared" si="10"/>
        <v>17589568</v>
      </c>
      <c r="T161" s="45"/>
      <c r="U161" s="44">
        <f t="shared" si="11"/>
        <v>0</v>
      </c>
    </row>
    <row r="162" spans="1:21" s="44" customFormat="1" ht="12.75" customHeight="1">
      <c r="A162" s="44" t="s">
        <v>190</v>
      </c>
      <c r="C162" s="44" t="s">
        <v>47</v>
      </c>
      <c r="E162" s="45">
        <f>322101+4000500</f>
        <v>4322601</v>
      </c>
      <c r="F162" s="45"/>
      <c r="G162" s="45">
        <v>6685718</v>
      </c>
      <c r="H162" s="45"/>
      <c r="I162" s="45">
        <v>1187027</v>
      </c>
      <c r="J162" s="45"/>
      <c r="K162" s="45">
        <v>1777084</v>
      </c>
      <c r="L162" s="45"/>
      <c r="M162" s="45">
        <f>70359+18972+200000</f>
        <v>289331</v>
      </c>
      <c r="N162" s="45"/>
      <c r="O162" s="45">
        <v>0</v>
      </c>
      <c r="P162" s="45"/>
      <c r="Q162" s="45">
        <f>915010+1162943+211210+2330140</f>
        <v>4619303</v>
      </c>
      <c r="R162" s="45"/>
      <c r="S162" s="45">
        <f t="shared" si="10"/>
        <v>4908634</v>
      </c>
      <c r="T162" s="45"/>
      <c r="U162" s="44">
        <f t="shared" si="11"/>
        <v>0</v>
      </c>
    </row>
    <row r="163" spans="1:21" s="44" customFormat="1" ht="12.75" customHeight="1">
      <c r="A163" s="44" t="s">
        <v>191</v>
      </c>
      <c r="C163" s="44" t="s">
        <v>13</v>
      </c>
      <c r="E163" s="45">
        <f>4230781+20650</f>
        <v>4251431</v>
      </c>
      <c r="F163" s="45"/>
      <c r="G163" s="45">
        <v>11332097</v>
      </c>
      <c r="H163" s="45"/>
      <c r="I163" s="45">
        <v>4482625</v>
      </c>
      <c r="J163" s="45"/>
      <c r="K163" s="45">
        <v>7298750</v>
      </c>
      <c r="L163" s="45"/>
      <c r="M163" s="45">
        <v>494927</v>
      </c>
      <c r="N163" s="45"/>
      <c r="O163" s="45">
        <v>0</v>
      </c>
      <c r="P163" s="45"/>
      <c r="Q163" s="45">
        <f>1534583+2122723+13349-132235</f>
        <v>3538420</v>
      </c>
      <c r="R163" s="45"/>
      <c r="S163" s="45">
        <f t="shared" si="10"/>
        <v>4033347</v>
      </c>
      <c r="T163" s="45"/>
      <c r="U163" s="44">
        <f t="shared" si="11"/>
        <v>0</v>
      </c>
    </row>
    <row r="164" spans="1:21" s="44" customFormat="1" ht="12.75" customHeight="1">
      <c r="A164" s="44" t="s">
        <v>192</v>
      </c>
      <c r="C164" s="44" t="s">
        <v>38</v>
      </c>
      <c r="E164" s="45">
        <f>9500245+5353</f>
        <v>9505598</v>
      </c>
      <c r="F164" s="45"/>
      <c r="G164" s="45">
        <v>15000591</v>
      </c>
      <c r="H164" s="45"/>
      <c r="I164" s="45">
        <v>1870960</v>
      </c>
      <c r="J164" s="45"/>
      <c r="K164" s="45">
        <v>2711982</v>
      </c>
      <c r="L164" s="45"/>
      <c r="M164" s="45">
        <f>430404+1622502+4832+4172714+88036</f>
        <v>6318488</v>
      </c>
      <c r="N164" s="45"/>
      <c r="O164" s="45">
        <v>0</v>
      </c>
      <c r="P164" s="45"/>
      <c r="Q164" s="45">
        <f>3046968+2222778+700342+33</f>
        <v>5970121</v>
      </c>
      <c r="R164" s="45"/>
      <c r="S164" s="45">
        <f t="shared" si="10"/>
        <v>12288609</v>
      </c>
      <c r="T164" s="45"/>
      <c r="U164" s="44">
        <f t="shared" si="11"/>
        <v>0</v>
      </c>
    </row>
    <row r="165" spans="1:21" s="121" customFormat="1" ht="12.75" hidden="1" customHeight="1">
      <c r="A165" s="44" t="s">
        <v>193</v>
      </c>
      <c r="B165" s="44"/>
      <c r="C165" s="44" t="s">
        <v>45</v>
      </c>
      <c r="D165" s="44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>
        <f t="shared" si="10"/>
        <v>0</v>
      </c>
      <c r="T165" s="127"/>
      <c r="U165" s="121">
        <f t="shared" si="11"/>
        <v>0</v>
      </c>
    </row>
    <row r="166" spans="1:21" s="44" customFormat="1" ht="12.75" customHeight="1">
      <c r="A166" s="44" t="s">
        <v>194</v>
      </c>
      <c r="C166" s="44" t="s">
        <v>66</v>
      </c>
      <c r="E166" s="45">
        <f>16798456+11718</f>
        <v>16810174</v>
      </c>
      <c r="F166" s="45"/>
      <c r="G166" s="45">
        <v>21685797</v>
      </c>
      <c r="H166" s="45"/>
      <c r="I166" s="45">
        <v>4046436</v>
      </c>
      <c r="J166" s="45"/>
      <c r="K166" s="45">
        <v>9225443</v>
      </c>
      <c r="L166" s="45"/>
      <c r="M166" s="45">
        <f>1209008+28182+141023+50000</f>
        <v>1428213</v>
      </c>
      <c r="N166" s="45"/>
      <c r="O166" s="45">
        <v>2285</v>
      </c>
      <c r="P166" s="45"/>
      <c r="Q166" s="45">
        <f>6255284+2708213+2058265+8094</f>
        <v>11029856</v>
      </c>
      <c r="R166" s="45"/>
      <c r="S166" s="45">
        <f t="shared" si="10"/>
        <v>12460354</v>
      </c>
      <c r="T166" s="45"/>
      <c r="U166" s="44">
        <f t="shared" si="11"/>
        <v>0</v>
      </c>
    </row>
    <row r="167" spans="1:21" s="44" customFormat="1" ht="12.75" customHeight="1">
      <c r="A167" s="44" t="s">
        <v>195</v>
      </c>
      <c r="C167" s="44" t="s">
        <v>17</v>
      </c>
      <c r="E167" s="45">
        <f>1995702+9841715</f>
        <v>11837417</v>
      </c>
      <c r="F167" s="45"/>
      <c r="G167" s="45">
        <v>16158372</v>
      </c>
      <c r="H167" s="45"/>
      <c r="I167" s="45">
        <v>1787871</v>
      </c>
      <c r="J167" s="45"/>
      <c r="K167" s="45">
        <v>2973580</v>
      </c>
      <c r="L167" s="45"/>
      <c r="M167" s="45">
        <f>1212139+17881+49208+365344+27259</f>
        <v>1671831</v>
      </c>
      <c r="N167" s="45"/>
      <c r="O167" s="45">
        <v>0</v>
      </c>
      <c r="P167" s="45"/>
      <c r="Q167" s="45">
        <f>9296663+882348+1333950</f>
        <v>11512961</v>
      </c>
      <c r="R167" s="45"/>
      <c r="S167" s="45">
        <f t="shared" si="10"/>
        <v>13184792</v>
      </c>
      <c r="T167" s="45"/>
      <c r="U167" s="44">
        <f t="shared" si="11"/>
        <v>0</v>
      </c>
    </row>
    <row r="168" spans="1:21" s="121" customFormat="1" ht="12.75" hidden="1" customHeight="1">
      <c r="A168" s="44" t="s">
        <v>196</v>
      </c>
      <c r="B168" s="44"/>
      <c r="C168" s="44" t="s">
        <v>27</v>
      </c>
      <c r="D168" s="44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>
        <f t="shared" si="10"/>
        <v>0</v>
      </c>
      <c r="T168" s="127"/>
      <c r="U168" s="121">
        <f t="shared" si="11"/>
        <v>0</v>
      </c>
    </row>
    <row r="169" spans="1:21" s="121" customFormat="1" ht="12.75" hidden="1" customHeight="1">
      <c r="A169" s="44" t="s">
        <v>402</v>
      </c>
      <c r="B169" s="44"/>
      <c r="C169" s="44" t="s">
        <v>153</v>
      </c>
      <c r="D169" s="44"/>
      <c r="E169" s="45">
        <f>6211521+23077</f>
        <v>6234598</v>
      </c>
      <c r="F169" s="45"/>
      <c r="G169" s="45">
        <v>8002450</v>
      </c>
      <c r="H169" s="45"/>
      <c r="I169" s="45">
        <v>384448</v>
      </c>
      <c r="J169" s="45"/>
      <c r="K169" s="45">
        <v>1287006</v>
      </c>
      <c r="L169" s="45"/>
      <c r="M169" s="45">
        <f>681890+54602+139462+207289</f>
        <v>1083243</v>
      </c>
      <c r="N169" s="45"/>
      <c r="O169" s="45">
        <v>0</v>
      </c>
      <c r="P169" s="45"/>
      <c r="Q169" s="45">
        <f>1431177+2321315+1879709</f>
        <v>5632201</v>
      </c>
      <c r="R169" s="45"/>
      <c r="S169" s="45">
        <f t="shared" si="10"/>
        <v>6715444</v>
      </c>
      <c r="T169" s="127"/>
      <c r="U169" s="121">
        <f t="shared" si="11"/>
        <v>0</v>
      </c>
    </row>
    <row r="170" spans="1:21" s="44" customFormat="1" ht="12.75" customHeight="1">
      <c r="A170" s="44" t="s">
        <v>197</v>
      </c>
      <c r="C170" s="44" t="s">
        <v>163</v>
      </c>
      <c r="E170" s="45">
        <f>8108467+24353669</f>
        <v>32462136</v>
      </c>
      <c r="F170" s="45"/>
      <c r="G170" s="45">
        <v>46857759</v>
      </c>
      <c r="H170" s="45"/>
      <c r="I170" s="45">
        <v>10187559</v>
      </c>
      <c r="J170" s="45"/>
      <c r="K170" s="45">
        <v>16811531</v>
      </c>
      <c r="L170" s="45"/>
      <c r="M170" s="45">
        <f>1305886+105819+521317+86563</f>
        <v>2019585</v>
      </c>
      <c r="N170" s="45"/>
      <c r="O170" s="45">
        <v>0</v>
      </c>
      <c r="P170" s="45"/>
      <c r="Q170" s="45">
        <f>16416515+5645061+2013+5963054</f>
        <v>28026643</v>
      </c>
      <c r="R170" s="45"/>
      <c r="S170" s="45">
        <f>+Q170+O170+M170</f>
        <v>30046228</v>
      </c>
      <c r="T170" s="45"/>
      <c r="U170" s="44">
        <f t="shared" si="11"/>
        <v>0</v>
      </c>
    </row>
    <row r="171" spans="1:21" s="44" customFormat="1" ht="12.75" customHeight="1">
      <c r="A171" s="44" t="s">
        <v>198</v>
      </c>
      <c r="C171" s="44" t="s">
        <v>199</v>
      </c>
      <c r="E171" s="45">
        <v>5168048</v>
      </c>
      <c r="F171" s="45"/>
      <c r="G171" s="45">
        <v>6954536</v>
      </c>
      <c r="H171" s="45"/>
      <c r="I171" s="45">
        <v>1013910</v>
      </c>
      <c r="J171" s="45"/>
      <c r="K171" s="45">
        <v>2879320</v>
      </c>
      <c r="L171" s="45"/>
      <c r="M171" s="45">
        <v>1129889</v>
      </c>
      <c r="N171" s="45"/>
      <c r="O171" s="45">
        <v>0</v>
      </c>
      <c r="P171" s="45"/>
      <c r="Q171" s="45">
        <f>2721157+839287+138584-753701</f>
        <v>2945327</v>
      </c>
      <c r="R171" s="45"/>
      <c r="S171" s="45">
        <f t="shared" si="10"/>
        <v>4075216</v>
      </c>
      <c r="T171" s="45"/>
      <c r="U171" s="44">
        <f t="shared" si="11"/>
        <v>0</v>
      </c>
    </row>
    <row r="172" spans="1:21" s="44" customFormat="1" ht="12.75" customHeight="1">
      <c r="A172" s="44" t="s">
        <v>200</v>
      </c>
      <c r="C172" s="44" t="s">
        <v>103</v>
      </c>
      <c r="E172" s="45">
        <v>13493510</v>
      </c>
      <c r="F172" s="45"/>
      <c r="G172" s="45">
        <v>19841321</v>
      </c>
      <c r="H172" s="45"/>
      <c r="I172" s="45">
        <v>2613631</v>
      </c>
      <c r="J172" s="45"/>
      <c r="K172" s="45">
        <v>5874799</v>
      </c>
      <c r="L172" s="45"/>
      <c r="M172" s="45">
        <f>4000860+2729116</f>
        <v>6729976</v>
      </c>
      <c r="N172" s="45"/>
      <c r="O172" s="45">
        <v>0</v>
      </c>
      <c r="P172" s="45"/>
      <c r="Q172" s="45">
        <f>5304677+92966+1838903</f>
        <v>7236546</v>
      </c>
      <c r="R172" s="45"/>
      <c r="S172" s="45">
        <f t="shared" si="10"/>
        <v>13966522</v>
      </c>
      <c r="T172" s="45"/>
      <c r="U172" s="44">
        <f t="shared" si="11"/>
        <v>0</v>
      </c>
    </row>
    <row r="173" spans="1:21" s="44" customFormat="1" ht="12.75" customHeight="1">
      <c r="A173" s="44" t="s">
        <v>201</v>
      </c>
      <c r="C173" s="44" t="s">
        <v>92</v>
      </c>
      <c r="E173" s="45">
        <f>8771929+6233880</f>
        <v>15005809</v>
      </c>
      <c r="F173" s="45"/>
      <c r="G173" s="45">
        <v>21930954</v>
      </c>
      <c r="H173" s="45"/>
      <c r="I173" s="45">
        <v>2237170</v>
      </c>
      <c r="J173" s="45"/>
      <c r="K173" s="45">
        <v>7996892</v>
      </c>
      <c r="L173" s="45"/>
      <c r="M173" s="45">
        <f>4473429+92382+187778+184389+984940</f>
        <v>5922918</v>
      </c>
      <c r="N173" s="45"/>
      <c r="O173" s="45">
        <v>0</v>
      </c>
      <c r="P173" s="45"/>
      <c r="Q173" s="45">
        <f>6631017+1432760-262232+209599</f>
        <v>8011144</v>
      </c>
      <c r="R173" s="45"/>
      <c r="S173" s="45">
        <f>+Q173+O173+M173</f>
        <v>13934062</v>
      </c>
      <c r="T173" s="45"/>
      <c r="U173" s="44">
        <f t="shared" si="11"/>
        <v>0</v>
      </c>
    </row>
    <row r="174" spans="1:21" s="44" customFormat="1" ht="12.75" hidden="1" customHeight="1">
      <c r="A174" s="44" t="s">
        <v>202</v>
      </c>
      <c r="C174" s="44" t="s">
        <v>27</v>
      </c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>
        <f>+Q174+O174+M174</f>
        <v>0</v>
      </c>
      <c r="T174" s="45"/>
      <c r="U174" s="44">
        <f t="shared" si="11"/>
        <v>0</v>
      </c>
    </row>
    <row r="175" spans="1:21" s="44" customFormat="1" ht="12.75" customHeight="1">
      <c r="A175" s="44" t="s">
        <v>203</v>
      </c>
      <c r="C175" s="44" t="s">
        <v>27</v>
      </c>
      <c r="E175" s="45">
        <f>1174162+23126</f>
        <v>1197288</v>
      </c>
      <c r="F175" s="45"/>
      <c r="G175" s="45">
        <v>14367618</v>
      </c>
      <c r="H175" s="45"/>
      <c r="I175" s="45">
        <v>11379304</v>
      </c>
      <c r="J175" s="45"/>
      <c r="K175" s="45">
        <v>16455675</v>
      </c>
      <c r="L175" s="45"/>
      <c r="M175" s="45">
        <f>38205+50299+181401</f>
        <v>269905</v>
      </c>
      <c r="N175" s="45"/>
      <c r="O175" s="45">
        <v>0</v>
      </c>
      <c r="P175" s="45"/>
      <c r="Q175" s="45">
        <f>48258+45308+426885-2878413</f>
        <v>-2357962</v>
      </c>
      <c r="R175" s="45"/>
      <c r="S175" s="45">
        <f t="shared" si="10"/>
        <v>-2088057</v>
      </c>
      <c r="T175" s="45"/>
      <c r="U175" s="44">
        <f t="shared" si="11"/>
        <v>0</v>
      </c>
    </row>
    <row r="176" spans="1:21" s="44" customFormat="1" ht="12.75" customHeight="1">
      <c r="A176" s="44" t="s">
        <v>204</v>
      </c>
      <c r="C176" s="44" t="s">
        <v>125</v>
      </c>
      <c r="E176" s="45">
        <f>2116300+48213</f>
        <v>2164513</v>
      </c>
      <c r="F176" s="45"/>
      <c r="G176" s="45">
        <v>5255055</v>
      </c>
      <c r="H176" s="45"/>
      <c r="I176" s="45">
        <v>582785</v>
      </c>
      <c r="J176" s="45"/>
      <c r="K176" s="45">
        <v>4085570</v>
      </c>
      <c r="L176" s="45"/>
      <c r="M176" s="45">
        <f>23784+77721+48213+30067</f>
        <v>179785</v>
      </c>
      <c r="N176" s="45"/>
      <c r="O176" s="45">
        <v>0</v>
      </c>
      <c r="P176" s="45"/>
      <c r="Q176" s="45">
        <f>737870+1272163-1020333</f>
        <v>989700</v>
      </c>
      <c r="R176" s="45"/>
      <c r="S176" s="45">
        <f t="shared" si="10"/>
        <v>1169485</v>
      </c>
      <c r="T176" s="45"/>
      <c r="U176" s="44">
        <f t="shared" si="11"/>
        <v>0</v>
      </c>
    </row>
    <row r="177" spans="1:21" s="44" customFormat="1" ht="12.75" customHeight="1">
      <c r="A177" s="44" t="s">
        <v>205</v>
      </c>
      <c r="C177" s="44" t="s">
        <v>27</v>
      </c>
      <c r="E177" s="45">
        <v>7091053</v>
      </c>
      <c r="F177" s="45"/>
      <c r="G177" s="45">
        <v>13036782</v>
      </c>
      <c r="H177" s="45"/>
      <c r="I177" s="45">
        <v>4883202</v>
      </c>
      <c r="J177" s="45"/>
      <c r="K177" s="45">
        <v>10882276</v>
      </c>
      <c r="L177" s="45"/>
      <c r="M177" s="45">
        <f>1088722+219373</f>
        <v>1308095</v>
      </c>
      <c r="N177" s="45"/>
      <c r="O177" s="45">
        <v>0</v>
      </c>
      <c r="P177" s="45"/>
      <c r="Q177" s="45">
        <f>4510666+175028+19994-3859277</f>
        <v>846411</v>
      </c>
      <c r="R177" s="45"/>
      <c r="S177" s="45">
        <f>+Q177+O177+M177</f>
        <v>2154506</v>
      </c>
      <c r="T177" s="45"/>
      <c r="U177" s="44">
        <f t="shared" si="11"/>
        <v>0</v>
      </c>
    </row>
    <row r="178" spans="1:21" s="44" customFormat="1" ht="12.75" customHeight="1">
      <c r="A178" s="44" t="s">
        <v>206</v>
      </c>
      <c r="C178" s="44" t="s">
        <v>47</v>
      </c>
      <c r="E178" s="45">
        <f>2978011+5643878</f>
        <v>8621889</v>
      </c>
      <c r="F178" s="45"/>
      <c r="G178" s="45">
        <v>17445587</v>
      </c>
      <c r="H178" s="45"/>
      <c r="I178" s="45">
        <v>6930000</v>
      </c>
      <c r="J178" s="45"/>
      <c r="K178" s="45">
        <v>13061093</v>
      </c>
      <c r="L178" s="45"/>
      <c r="M178" s="45">
        <f>947655+109071+46766+243746-2</f>
        <v>1347236</v>
      </c>
      <c r="N178" s="45"/>
      <c r="O178" s="45">
        <v>0</v>
      </c>
      <c r="P178" s="45"/>
      <c r="Q178" s="45">
        <f>5612311+2455323+1475-5031851</f>
        <v>3037258</v>
      </c>
      <c r="R178" s="45"/>
      <c r="S178" s="45">
        <f t="shared" si="10"/>
        <v>4384494</v>
      </c>
      <c r="T178" s="45"/>
      <c r="U178" s="44">
        <f t="shared" si="11"/>
        <v>0</v>
      </c>
    </row>
    <row r="179" spans="1:21" s="44" customFormat="1" ht="12.75" customHeight="1">
      <c r="A179" s="44" t="s">
        <v>207</v>
      </c>
      <c r="C179" s="44" t="s">
        <v>102</v>
      </c>
      <c r="E179" s="45">
        <f>4926484+3575</f>
        <v>4930059</v>
      </c>
      <c r="F179" s="45"/>
      <c r="G179" s="45">
        <v>12257978</v>
      </c>
      <c r="H179" s="45"/>
      <c r="I179" s="45">
        <v>6267135</v>
      </c>
      <c r="J179" s="45"/>
      <c r="K179" s="45">
        <v>11337812</v>
      </c>
      <c r="L179" s="45"/>
      <c r="M179" s="45">
        <f>310558+3575</f>
        <v>314133</v>
      </c>
      <c r="N179" s="45"/>
      <c r="O179" s="45">
        <v>0</v>
      </c>
      <c r="P179" s="45"/>
      <c r="Q179" s="45">
        <f>2840208+846020+64721-3144916</f>
        <v>606033</v>
      </c>
      <c r="R179" s="45"/>
      <c r="S179" s="45">
        <f t="shared" si="10"/>
        <v>920166</v>
      </c>
      <c r="T179" s="45"/>
      <c r="U179" s="44">
        <f>+G179-K179-S179</f>
        <v>0</v>
      </c>
    </row>
    <row r="180" spans="1:21" s="44" customFormat="1" ht="12.75" customHeight="1">
      <c r="A180" s="44" t="s">
        <v>208</v>
      </c>
      <c r="C180" s="44" t="s">
        <v>209</v>
      </c>
      <c r="E180" s="45">
        <f>7083686+1798695</f>
        <v>8882381</v>
      </c>
      <c r="F180" s="45"/>
      <c r="G180" s="45">
        <v>27734290</v>
      </c>
      <c r="H180" s="45"/>
      <c r="I180" s="45">
        <v>3337720</v>
      </c>
      <c r="J180" s="45"/>
      <c r="K180" s="45">
        <v>4857849</v>
      </c>
      <c r="L180" s="45"/>
      <c r="M180" s="45">
        <f>1166580+394408+10840837+14684</f>
        <v>12416509</v>
      </c>
      <c r="N180" s="45"/>
      <c r="O180" s="45">
        <v>0</v>
      </c>
      <c r="P180" s="45"/>
      <c r="Q180" s="45">
        <f>7987100+2472832</f>
        <v>10459932</v>
      </c>
      <c r="R180" s="45"/>
      <c r="S180" s="45">
        <f>+Q180+O180+M180</f>
        <v>22876441</v>
      </c>
      <c r="T180" s="45"/>
      <c r="U180" s="44">
        <f>+G180-K180-S180</f>
        <v>0</v>
      </c>
    </row>
    <row r="181" spans="1:21" s="44" customFormat="1" ht="12.75" customHeight="1">
      <c r="A181" s="44" t="s">
        <v>210</v>
      </c>
      <c r="C181" s="44" t="s">
        <v>211</v>
      </c>
      <c r="E181" s="45">
        <f>2336199+17449</f>
        <v>2353648</v>
      </c>
      <c r="F181" s="45"/>
      <c r="G181" s="45">
        <v>5483027</v>
      </c>
      <c r="H181" s="45"/>
      <c r="I181" s="45">
        <v>1924597</v>
      </c>
      <c r="J181" s="45"/>
      <c r="K181" s="45">
        <v>2566876</v>
      </c>
      <c r="L181" s="45"/>
      <c r="M181" s="45">
        <f>27761+18243+517448</f>
        <v>563452</v>
      </c>
      <c r="N181" s="45"/>
      <c r="O181" s="45">
        <v>0</v>
      </c>
      <c r="P181" s="45"/>
      <c r="Q181" s="45">
        <f>1108866+1093953+64197+85683</f>
        <v>2352699</v>
      </c>
      <c r="R181" s="45"/>
      <c r="S181" s="45">
        <f t="shared" si="10"/>
        <v>2916151</v>
      </c>
      <c r="T181" s="45"/>
      <c r="U181" s="44">
        <f>+G181-K181-S181</f>
        <v>0</v>
      </c>
    </row>
    <row r="182" spans="1:21" s="44" customFormat="1" ht="12.75" customHeight="1">
      <c r="A182" s="44" t="s">
        <v>212</v>
      </c>
      <c r="C182" s="44" t="s">
        <v>213</v>
      </c>
      <c r="E182" s="45">
        <v>4412732</v>
      </c>
      <c r="F182" s="45"/>
      <c r="G182" s="45">
        <v>11710713</v>
      </c>
      <c r="H182" s="45"/>
      <c r="I182" s="45">
        <v>5241580</v>
      </c>
      <c r="J182" s="45"/>
      <c r="K182" s="45">
        <v>7097034</v>
      </c>
      <c r="L182" s="45"/>
      <c r="M182" s="45">
        <f>1679097+28950+49635+32394+26843</f>
        <v>1816919</v>
      </c>
      <c r="N182" s="45"/>
      <c r="O182" s="45">
        <v>0</v>
      </c>
      <c r="P182" s="45"/>
      <c r="Q182" s="45">
        <f>194845-133202+2575725+159392</f>
        <v>2796760</v>
      </c>
      <c r="R182" s="45"/>
      <c r="S182" s="45">
        <f t="shared" si="10"/>
        <v>4613679</v>
      </c>
      <c r="T182" s="45"/>
      <c r="U182" s="44">
        <f t="shared" si="11"/>
        <v>0</v>
      </c>
    </row>
    <row r="183" spans="1:21" s="44" customFormat="1" ht="12.75" customHeight="1">
      <c r="A183" s="44" t="s">
        <v>214</v>
      </c>
      <c r="C183" s="44" t="s">
        <v>86</v>
      </c>
      <c r="E183" s="45">
        <v>8516248</v>
      </c>
      <c r="F183" s="45"/>
      <c r="G183" s="45">
        <v>12779435</v>
      </c>
      <c r="H183" s="45"/>
      <c r="I183" s="45">
        <v>3461218</v>
      </c>
      <c r="J183" s="45"/>
      <c r="K183" s="45">
        <v>4283036</v>
      </c>
      <c r="L183" s="45"/>
      <c r="M183" s="45">
        <f>581805+27902+33111+201640</f>
        <v>844458</v>
      </c>
      <c r="N183" s="45"/>
      <c r="O183" s="45">
        <v>0</v>
      </c>
      <c r="P183" s="45"/>
      <c r="Q183" s="45">
        <f>6366858+1263731+34475-13123</f>
        <v>7651941</v>
      </c>
      <c r="R183" s="45"/>
      <c r="S183" s="45">
        <f t="shared" si="10"/>
        <v>8496399</v>
      </c>
      <c r="T183" s="45"/>
      <c r="U183" s="44">
        <f t="shared" si="11"/>
        <v>0</v>
      </c>
    </row>
    <row r="184" spans="1:21" s="44" customFormat="1" ht="12.75" customHeight="1">
      <c r="A184" s="44" t="s">
        <v>215</v>
      </c>
      <c r="C184" s="44" t="s">
        <v>22</v>
      </c>
      <c r="E184" s="45">
        <f>7029765+469</f>
        <v>7030234</v>
      </c>
      <c r="F184" s="45"/>
      <c r="G184" s="45">
        <v>17564900</v>
      </c>
      <c r="H184" s="45"/>
      <c r="I184" s="45">
        <v>2570171</v>
      </c>
      <c r="J184" s="45"/>
      <c r="K184" s="45">
        <v>3457388</v>
      </c>
      <c r="L184" s="45"/>
      <c r="M184" s="45">
        <f>269227+5823873+3859</f>
        <v>6096959</v>
      </c>
      <c r="N184" s="45"/>
      <c r="O184" s="45">
        <v>0</v>
      </c>
      <c r="P184" s="45"/>
      <c r="Q184" s="45">
        <f>3923629+3015821+1071103</f>
        <v>8010553</v>
      </c>
      <c r="R184" s="45"/>
      <c r="S184" s="45">
        <f>+Q184+O184+M184</f>
        <v>14107512</v>
      </c>
      <c r="T184" s="45"/>
      <c r="U184" s="44">
        <f t="shared" si="11"/>
        <v>0</v>
      </c>
    </row>
    <row r="185" spans="1:21" s="44" customFormat="1" ht="12.75" customHeight="1">
      <c r="A185" s="44" t="s">
        <v>216</v>
      </c>
      <c r="C185" s="44" t="s">
        <v>45</v>
      </c>
      <c r="E185" s="45">
        <v>2976636</v>
      </c>
      <c r="F185" s="45"/>
      <c r="G185" s="45">
        <v>7606674</v>
      </c>
      <c r="H185" s="45"/>
      <c r="I185" s="45">
        <v>2051471</v>
      </c>
      <c r="J185" s="45"/>
      <c r="K185" s="45">
        <v>4129433</v>
      </c>
      <c r="L185" s="45"/>
      <c r="M185" s="45">
        <f>22608+1557878</f>
        <v>1580486</v>
      </c>
      <c r="N185" s="45"/>
      <c r="O185" s="45">
        <v>0</v>
      </c>
      <c r="P185" s="45"/>
      <c r="Q185" s="45">
        <f>781408+458532+704783-47968</f>
        <v>1896755</v>
      </c>
      <c r="R185" s="45"/>
      <c r="S185" s="45">
        <f t="shared" si="10"/>
        <v>3477241</v>
      </c>
      <c r="T185" s="45"/>
      <c r="U185" s="44">
        <f t="shared" si="11"/>
        <v>0</v>
      </c>
    </row>
    <row r="186" spans="1:21" s="44" customFormat="1" ht="12.75" customHeight="1">
      <c r="A186" s="44" t="s">
        <v>217</v>
      </c>
      <c r="C186" s="44" t="s">
        <v>43</v>
      </c>
      <c r="E186" s="45">
        <f>4083569+11598033</f>
        <v>15681602</v>
      </c>
      <c r="F186" s="45"/>
      <c r="G186" s="45">
        <v>22758670</v>
      </c>
      <c r="H186" s="45"/>
      <c r="I186" s="45">
        <v>3724907</v>
      </c>
      <c r="J186" s="45"/>
      <c r="K186" s="45">
        <v>5005942</v>
      </c>
      <c r="L186" s="45"/>
      <c r="M186" s="45">
        <f>1290905+25349+298731+1697057</f>
        <v>3312042</v>
      </c>
      <c r="N186" s="45"/>
      <c r="O186" s="45">
        <v>0</v>
      </c>
      <c r="P186" s="45"/>
      <c r="Q186" s="45">
        <f>6628103+4978966+2833617</f>
        <v>14440686</v>
      </c>
      <c r="R186" s="45"/>
      <c r="S186" s="45">
        <f t="shared" si="10"/>
        <v>17752728</v>
      </c>
      <c r="T186" s="45"/>
      <c r="U186" s="44">
        <f t="shared" si="11"/>
        <v>0</v>
      </c>
    </row>
    <row r="187" spans="1:21" s="44" customFormat="1" ht="12.75" hidden="1" customHeight="1">
      <c r="A187" s="44" t="s">
        <v>218</v>
      </c>
      <c r="C187" s="44" t="s">
        <v>27</v>
      </c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>
        <f t="shared" si="10"/>
        <v>0</v>
      </c>
      <c r="T187" s="45"/>
      <c r="U187" s="44">
        <f t="shared" si="11"/>
        <v>0</v>
      </c>
    </row>
    <row r="188" spans="1:21" s="44" customFormat="1" ht="12.75" customHeight="1">
      <c r="A188" s="44" t="s">
        <v>219</v>
      </c>
      <c r="C188" s="44" t="s">
        <v>199</v>
      </c>
      <c r="E188" s="45">
        <f>1540350+2841</f>
        <v>1543191</v>
      </c>
      <c r="F188" s="45"/>
      <c r="G188" s="45">
        <v>2987136</v>
      </c>
      <c r="H188" s="45"/>
      <c r="I188" s="45">
        <v>994041</v>
      </c>
      <c r="J188" s="45"/>
      <c r="K188" s="45">
        <v>1348758</v>
      </c>
      <c r="L188" s="45"/>
      <c r="M188" s="45">
        <v>61837</v>
      </c>
      <c r="N188" s="45"/>
      <c r="O188" s="45">
        <f>96660+133149</f>
        <v>229809</v>
      </c>
      <c r="P188" s="45"/>
      <c r="Q188" s="45">
        <f>654697+514101+88393+89541</f>
        <v>1346732</v>
      </c>
      <c r="R188" s="45"/>
      <c r="S188" s="45">
        <f t="shared" si="10"/>
        <v>1638378</v>
      </c>
      <c r="T188" s="45"/>
      <c r="U188" s="44">
        <f t="shared" si="11"/>
        <v>0</v>
      </c>
    </row>
    <row r="189" spans="1:21" s="44" customFormat="1" ht="12.75" customHeight="1">
      <c r="A189" s="44" t="s">
        <v>220</v>
      </c>
      <c r="C189" s="44" t="s">
        <v>66</v>
      </c>
      <c r="E189" s="45">
        <v>8006298</v>
      </c>
      <c r="F189" s="45"/>
      <c r="G189" s="45">
        <v>13533278</v>
      </c>
      <c r="H189" s="45"/>
      <c r="I189" s="45">
        <v>4757804</v>
      </c>
      <c r="J189" s="45"/>
      <c r="K189" s="45">
        <v>7476673</v>
      </c>
      <c r="L189" s="45"/>
      <c r="M189" s="45">
        <v>383072</v>
      </c>
      <c r="N189" s="45"/>
      <c r="O189" s="45">
        <v>579433</v>
      </c>
      <c r="P189" s="45"/>
      <c r="Q189" s="45">
        <f>6501674-1682367+31978+242815</f>
        <v>5094100</v>
      </c>
      <c r="R189" s="45"/>
      <c r="S189" s="45">
        <f t="shared" si="10"/>
        <v>6056605</v>
      </c>
      <c r="T189" s="45"/>
      <c r="U189" s="44">
        <f t="shared" si="11"/>
        <v>0</v>
      </c>
    </row>
    <row r="190" spans="1:21" s="44" customFormat="1" ht="12.75" customHeight="1">
      <c r="A190" s="44" t="s">
        <v>221</v>
      </c>
      <c r="C190" s="44" t="s">
        <v>27</v>
      </c>
      <c r="E190" s="45">
        <f>13163127+64771</f>
        <v>13227898</v>
      </c>
      <c r="F190" s="45"/>
      <c r="G190" s="45">
        <v>26689104</v>
      </c>
      <c r="H190" s="45"/>
      <c r="I190" s="45">
        <v>10350877</v>
      </c>
      <c r="J190" s="45"/>
      <c r="K190" s="45">
        <v>13461908</v>
      </c>
      <c r="L190" s="45"/>
      <c r="M190" s="45">
        <f>748581+226762</f>
        <v>975343</v>
      </c>
      <c r="N190" s="45"/>
      <c r="O190" s="45">
        <v>0</v>
      </c>
      <c r="P190" s="45"/>
      <c r="Q190" s="45">
        <f>6278579+1494900+434703+4043671</f>
        <v>12251853</v>
      </c>
      <c r="R190" s="45"/>
      <c r="S190" s="45">
        <f t="shared" si="10"/>
        <v>13227196</v>
      </c>
      <c r="T190" s="45"/>
      <c r="U190" s="44">
        <f t="shared" si="11"/>
        <v>0</v>
      </c>
    </row>
    <row r="191" spans="1:21" s="44" customFormat="1" ht="12.75" customHeight="1">
      <c r="A191" s="44" t="s">
        <v>222</v>
      </c>
      <c r="C191" s="44" t="s">
        <v>47</v>
      </c>
      <c r="E191" s="45">
        <v>5446030</v>
      </c>
      <c r="F191" s="45"/>
      <c r="G191" s="45">
        <v>8325119</v>
      </c>
      <c r="H191" s="45"/>
      <c r="I191" s="45">
        <v>2116063</v>
      </c>
      <c r="J191" s="45"/>
      <c r="K191" s="45">
        <v>4459263</v>
      </c>
      <c r="L191" s="45"/>
      <c r="M191" s="45">
        <f>397346+10822+38164</f>
        <v>446332</v>
      </c>
      <c r="N191" s="45"/>
      <c r="O191" s="45">
        <v>0</v>
      </c>
      <c r="P191" s="45"/>
      <c r="Q191" s="45">
        <f>2856091+823908-347666+87191</f>
        <v>3419524</v>
      </c>
      <c r="R191" s="45"/>
      <c r="S191" s="45">
        <f t="shared" si="10"/>
        <v>3865856</v>
      </c>
      <c r="T191" s="45"/>
      <c r="U191" s="44">
        <f t="shared" si="11"/>
        <v>0</v>
      </c>
    </row>
    <row r="192" spans="1:21" s="44" customFormat="1" ht="12.75" customHeight="1">
      <c r="A192" s="44" t="s">
        <v>223</v>
      </c>
      <c r="C192" s="44" t="s">
        <v>94</v>
      </c>
      <c r="E192" s="45">
        <v>2044216</v>
      </c>
      <c r="F192" s="45"/>
      <c r="G192" s="45">
        <v>5335277</v>
      </c>
      <c r="H192" s="45"/>
      <c r="I192" s="45">
        <v>2378138</v>
      </c>
      <c r="J192" s="45"/>
      <c r="K192" s="45">
        <v>3471071</v>
      </c>
      <c r="L192" s="45"/>
      <c r="M192" s="45">
        <f>369877+48057+99802+13427</f>
        <v>531163</v>
      </c>
      <c r="N192" s="45"/>
      <c r="O192" s="45">
        <v>0</v>
      </c>
      <c r="P192" s="45"/>
      <c r="Q192" s="45">
        <f>518595+974882-160434</f>
        <v>1333043</v>
      </c>
      <c r="R192" s="45"/>
      <c r="S192" s="45">
        <f t="shared" si="10"/>
        <v>1864206</v>
      </c>
      <c r="T192" s="45"/>
      <c r="U192" s="44">
        <f t="shared" si="11"/>
        <v>0</v>
      </c>
    </row>
    <row r="193" spans="1:21" s="44" customFormat="1" ht="12.75" customHeight="1">
      <c r="A193" s="44" t="s">
        <v>76</v>
      </c>
      <c r="C193" s="44" t="s">
        <v>132</v>
      </c>
      <c r="E193" s="45">
        <f>14056247+83139+148518</f>
        <v>14287904</v>
      </c>
      <c r="F193" s="45"/>
      <c r="G193" s="45">
        <v>36953817</v>
      </c>
      <c r="H193" s="45"/>
      <c r="I193" s="45">
        <v>18186630</v>
      </c>
      <c r="J193" s="45"/>
      <c r="K193" s="45">
        <v>27094975</v>
      </c>
      <c r="L193" s="45"/>
      <c r="M193" s="45">
        <f>462544+22980+83139+2846110</f>
        <v>3414773</v>
      </c>
      <c r="N193" s="45"/>
      <c r="O193" s="45">
        <v>0</v>
      </c>
      <c r="P193" s="45"/>
      <c r="Q193" s="45">
        <f>3689976+4233164+267924-1746995</f>
        <v>6444069</v>
      </c>
      <c r="R193" s="45"/>
      <c r="S193" s="45">
        <f t="shared" si="10"/>
        <v>9858842</v>
      </c>
      <c r="T193" s="45"/>
      <c r="U193" s="44">
        <f t="shared" si="11"/>
        <v>0</v>
      </c>
    </row>
    <row r="194" spans="1:21" s="44" customFormat="1" ht="12.75" customHeight="1">
      <c r="A194" s="44" t="s">
        <v>224</v>
      </c>
      <c r="C194" s="44" t="s">
        <v>27</v>
      </c>
      <c r="E194" s="45">
        <v>9326104</v>
      </c>
      <c r="F194" s="45"/>
      <c r="G194" s="45">
        <v>16728811</v>
      </c>
      <c r="H194" s="45"/>
      <c r="I194" s="45">
        <v>5866648</v>
      </c>
      <c r="J194" s="45"/>
      <c r="K194" s="45">
        <v>7076518</v>
      </c>
      <c r="L194" s="45"/>
      <c r="M194" s="45">
        <f>29460+17199+1127202</f>
        <v>1173861</v>
      </c>
      <c r="N194" s="45"/>
      <c r="O194" s="45">
        <v>0</v>
      </c>
      <c r="P194" s="45"/>
      <c r="Q194" s="45">
        <f>5735931+1748556+450156+543789</f>
        <v>8478432</v>
      </c>
      <c r="R194" s="45"/>
      <c r="S194" s="45">
        <f>+Q194+O194+M194</f>
        <v>9652293</v>
      </c>
      <c r="T194" s="45"/>
      <c r="U194" s="44">
        <f t="shared" si="11"/>
        <v>0</v>
      </c>
    </row>
    <row r="195" spans="1:21" s="44" customFormat="1" ht="12.75" customHeight="1"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8" t="s">
        <v>484</v>
      </c>
      <c r="T195" s="45"/>
    </row>
    <row r="196" spans="1:21" s="44" customFormat="1" ht="12.75" customHeight="1">
      <c r="A196" s="44" t="s">
        <v>225</v>
      </c>
      <c r="C196" s="44" t="s">
        <v>27</v>
      </c>
      <c r="E196" s="94">
        <v>42961604</v>
      </c>
      <c r="F196" s="94"/>
      <c r="G196" s="94">
        <v>69658411</v>
      </c>
      <c r="H196" s="94"/>
      <c r="I196" s="94">
        <v>19410565</v>
      </c>
      <c r="J196" s="94"/>
      <c r="K196" s="94">
        <v>25318369</v>
      </c>
      <c r="L196" s="94"/>
      <c r="M196" s="94">
        <f>4072284+4872731</f>
        <v>8945015</v>
      </c>
      <c r="N196" s="94"/>
      <c r="O196" s="94">
        <v>0</v>
      </c>
      <c r="P196" s="94"/>
      <c r="Q196" s="94">
        <f>11068444+5830175+793110+17703298</f>
        <v>35395027</v>
      </c>
      <c r="R196" s="94"/>
      <c r="S196" s="94">
        <f t="shared" si="10"/>
        <v>44340042</v>
      </c>
      <c r="T196" s="94"/>
      <c r="U196" s="46">
        <f t="shared" si="11"/>
        <v>0</v>
      </c>
    </row>
    <row r="197" spans="1:21" s="44" customFormat="1" ht="12.75" customHeight="1">
      <c r="A197" s="44" t="s">
        <v>226</v>
      </c>
      <c r="C197" s="44" t="s">
        <v>45</v>
      </c>
      <c r="E197" s="45">
        <f>11791016+499000</f>
        <v>12290016</v>
      </c>
      <c r="F197" s="45"/>
      <c r="G197" s="45">
        <v>17610552</v>
      </c>
      <c r="H197" s="45"/>
      <c r="I197" s="45">
        <v>1975298</v>
      </c>
      <c r="J197" s="45"/>
      <c r="K197" s="45">
        <v>9134527</v>
      </c>
      <c r="L197" s="45"/>
      <c r="M197" s="45">
        <f>1639452+17683+82322+609327</f>
        <v>2348784</v>
      </c>
      <c r="N197" s="45"/>
      <c r="O197" s="45">
        <v>0</v>
      </c>
      <c r="P197" s="45"/>
      <c r="Q197" s="45">
        <f>4946631+3113005-1932395</f>
        <v>6127241</v>
      </c>
      <c r="R197" s="45"/>
      <c r="S197" s="45">
        <f t="shared" si="10"/>
        <v>8476025</v>
      </c>
      <c r="T197" s="45"/>
      <c r="U197" s="44">
        <f t="shared" si="11"/>
        <v>0</v>
      </c>
    </row>
    <row r="198" spans="1:21" s="46" customFormat="1" ht="12.75" customHeight="1">
      <c r="A198" s="46" t="s">
        <v>227</v>
      </c>
      <c r="C198" s="46" t="s">
        <v>17</v>
      </c>
      <c r="E198" s="45">
        <f>2132328+749</f>
        <v>2133077</v>
      </c>
      <c r="F198" s="45"/>
      <c r="G198" s="45">
        <v>9502348</v>
      </c>
      <c r="H198" s="45"/>
      <c r="I198" s="45">
        <v>3242232</v>
      </c>
      <c r="J198" s="45"/>
      <c r="K198" s="45">
        <v>7446380</v>
      </c>
      <c r="L198" s="45"/>
      <c r="M198" s="45">
        <f>6885+21200+117249</f>
        <v>145334</v>
      </c>
      <c r="N198" s="45"/>
      <c r="O198" s="45">
        <v>0</v>
      </c>
      <c r="P198" s="45"/>
      <c r="Q198" s="45">
        <f>287204+923495+139610+560325</f>
        <v>1910634</v>
      </c>
      <c r="R198" s="45"/>
      <c r="S198" s="45">
        <f t="shared" si="10"/>
        <v>2055968</v>
      </c>
      <c r="T198" s="45"/>
      <c r="U198" s="44">
        <f t="shared" si="11"/>
        <v>0</v>
      </c>
    </row>
    <row r="199" spans="1:21" s="44" customFormat="1" ht="12.75" customHeight="1">
      <c r="A199" s="44" t="s">
        <v>228</v>
      </c>
      <c r="C199" s="44" t="s">
        <v>153</v>
      </c>
      <c r="E199" s="45">
        <v>4410806</v>
      </c>
      <c r="F199" s="45"/>
      <c r="G199" s="45">
        <v>7125150</v>
      </c>
      <c r="H199" s="45"/>
      <c r="I199" s="45">
        <v>1080646</v>
      </c>
      <c r="J199" s="45"/>
      <c r="K199" s="45">
        <v>2365291</v>
      </c>
      <c r="L199" s="45"/>
      <c r="M199" s="45">
        <f>103035+53611+106998+876615</f>
        <v>1140259</v>
      </c>
      <c r="N199" s="45"/>
      <c r="O199" s="45">
        <v>0</v>
      </c>
      <c r="P199" s="45"/>
      <c r="Q199" s="45">
        <f>843099+1507645+1268856</f>
        <v>3619600</v>
      </c>
      <c r="R199" s="45"/>
      <c r="S199" s="45">
        <f t="shared" si="10"/>
        <v>4759859</v>
      </c>
      <c r="T199" s="45"/>
      <c r="U199" s="44">
        <f t="shared" si="11"/>
        <v>0</v>
      </c>
    </row>
    <row r="200" spans="1:21" s="44" customFormat="1" ht="12.75" customHeight="1">
      <c r="A200" s="44" t="s">
        <v>229</v>
      </c>
      <c r="C200" s="44" t="s">
        <v>228</v>
      </c>
      <c r="E200" s="45">
        <f>3128974+29463+16573+7579599</f>
        <v>10754609</v>
      </c>
      <c r="F200" s="45"/>
      <c r="G200" s="45">
        <v>18725998</v>
      </c>
      <c r="H200" s="45"/>
      <c r="I200" s="45">
        <v>6234461</v>
      </c>
      <c r="J200" s="45"/>
      <c r="K200" s="45">
        <v>7496762</v>
      </c>
      <c r="L200" s="45"/>
      <c r="M200" s="45">
        <f>149740+24947+24781+512067</f>
        <v>711535</v>
      </c>
      <c r="N200" s="45"/>
      <c r="O200" s="45">
        <v>0</v>
      </c>
      <c r="P200" s="45"/>
      <c r="Q200" s="45">
        <f>4256474+4978591+1282636</f>
        <v>10517701</v>
      </c>
      <c r="R200" s="45"/>
      <c r="S200" s="45">
        <f t="shared" si="10"/>
        <v>11229236</v>
      </c>
      <c r="T200" s="45"/>
      <c r="U200" s="44">
        <f t="shared" si="11"/>
        <v>0</v>
      </c>
    </row>
    <row r="201" spans="1:21" s="44" customFormat="1" ht="12.75" customHeight="1">
      <c r="A201" s="44" t="s">
        <v>230</v>
      </c>
      <c r="C201" s="44" t="s">
        <v>45</v>
      </c>
      <c r="E201" s="45">
        <f>2708709+3089</f>
        <v>2711798</v>
      </c>
      <c r="F201" s="45"/>
      <c r="G201" s="45">
        <v>4717348</v>
      </c>
      <c r="H201" s="45"/>
      <c r="I201" s="45">
        <v>1785822</v>
      </c>
      <c r="J201" s="45"/>
      <c r="K201" s="45">
        <v>3146639</v>
      </c>
      <c r="L201" s="45"/>
      <c r="M201" s="45">
        <f>737865+7123+26371</f>
        <v>771359</v>
      </c>
      <c r="N201" s="45"/>
      <c r="O201" s="45">
        <v>0</v>
      </c>
      <c r="P201" s="45"/>
      <c r="Q201" s="45">
        <f>957419+404022+39455-601546</f>
        <v>799350</v>
      </c>
      <c r="R201" s="45"/>
      <c r="S201" s="45">
        <f t="shared" si="10"/>
        <v>1570709</v>
      </c>
      <c r="T201" s="45"/>
      <c r="U201" s="44">
        <f t="shared" si="11"/>
        <v>0</v>
      </c>
    </row>
    <row r="202" spans="1:21" s="44" customFormat="1" ht="12.75" customHeight="1">
      <c r="A202" s="44" t="s">
        <v>231</v>
      </c>
      <c r="C202" s="44" t="s">
        <v>27</v>
      </c>
      <c r="E202" s="45">
        <f>50256006+80527</f>
        <v>50336533</v>
      </c>
      <c r="F202" s="45"/>
      <c r="G202" s="45">
        <v>64896448</v>
      </c>
      <c r="H202" s="45"/>
      <c r="I202" s="45">
        <v>9914906</v>
      </c>
      <c r="J202" s="45"/>
      <c r="K202" s="45">
        <v>18758082</v>
      </c>
      <c r="L202" s="45"/>
      <c r="M202" s="45">
        <f>781073+80527</f>
        <v>861600</v>
      </c>
      <c r="N202" s="45"/>
      <c r="O202" s="45">
        <v>0</v>
      </c>
      <c r="P202" s="45"/>
      <c r="Q202" s="45">
        <f>26104831+4488030+1485082+13198823</f>
        <v>45276766</v>
      </c>
      <c r="R202" s="45"/>
      <c r="S202" s="45">
        <f t="shared" si="10"/>
        <v>46138366</v>
      </c>
      <c r="T202" s="45"/>
      <c r="U202" s="44">
        <f t="shared" si="11"/>
        <v>0</v>
      </c>
    </row>
    <row r="203" spans="1:21" s="44" customFormat="1" ht="12.75" customHeight="1">
      <c r="A203" s="44" t="s">
        <v>232</v>
      </c>
      <c r="C203" s="44" t="s">
        <v>27</v>
      </c>
      <c r="E203" s="45">
        <f>11089971+67187</f>
        <v>11157158</v>
      </c>
      <c r="F203" s="45"/>
      <c r="G203" s="45">
        <v>45272216</v>
      </c>
      <c r="H203" s="45"/>
      <c r="I203" s="45">
        <v>14544515</v>
      </c>
      <c r="J203" s="45"/>
      <c r="K203" s="45">
        <v>18636267</v>
      </c>
      <c r="L203" s="45"/>
      <c r="M203" s="45">
        <f>1086287+18293873</f>
        <v>19380160</v>
      </c>
      <c r="N203" s="45"/>
      <c r="O203" s="45">
        <v>40704</v>
      </c>
      <c r="P203" s="45"/>
      <c r="Q203" s="45">
        <f>4699039+659747+736311+1119988</f>
        <v>7215085</v>
      </c>
      <c r="R203" s="45"/>
      <c r="S203" s="45">
        <f t="shared" si="10"/>
        <v>26635949</v>
      </c>
      <c r="T203" s="45"/>
      <c r="U203" s="44">
        <f t="shared" si="11"/>
        <v>0</v>
      </c>
    </row>
    <row r="204" spans="1:21" s="44" customFormat="1" ht="12.75" customHeight="1">
      <c r="A204" s="44" t="s">
        <v>233</v>
      </c>
      <c r="C204" s="44" t="s">
        <v>111</v>
      </c>
      <c r="E204" s="45">
        <f>10291523+8585526</f>
        <v>18877049</v>
      </c>
      <c r="F204" s="45"/>
      <c r="G204" s="45">
        <v>29672415</v>
      </c>
      <c r="H204" s="45"/>
      <c r="I204" s="45">
        <v>5365023</v>
      </c>
      <c r="J204" s="45"/>
      <c r="K204" s="45">
        <v>9093342</v>
      </c>
      <c r="L204" s="45"/>
      <c r="M204" s="45">
        <f>2303468+130169+89570+690035+3627228</f>
        <v>6840470</v>
      </c>
      <c r="N204" s="45"/>
      <c r="O204" s="45">
        <v>0</v>
      </c>
      <c r="P204" s="45"/>
      <c r="Q204" s="45">
        <f>5724981+1115267+6898355</f>
        <v>13738603</v>
      </c>
      <c r="R204" s="45"/>
      <c r="S204" s="45">
        <f t="shared" si="10"/>
        <v>20579073</v>
      </c>
      <c r="T204" s="45"/>
      <c r="U204" s="44">
        <f>+G204-K204-S204</f>
        <v>0</v>
      </c>
    </row>
    <row r="205" spans="1:21" s="44" customFormat="1" ht="12.75" customHeight="1">
      <c r="A205" s="44" t="s">
        <v>234</v>
      </c>
      <c r="C205" s="44" t="s">
        <v>45</v>
      </c>
      <c r="E205" s="45">
        <f>6048079+34559</f>
        <v>6082638</v>
      </c>
      <c r="F205" s="45"/>
      <c r="G205" s="45">
        <v>14962334</v>
      </c>
      <c r="H205" s="45"/>
      <c r="I205" s="45">
        <v>4784151</v>
      </c>
      <c r="J205" s="45"/>
      <c r="K205" s="45">
        <v>7105581</v>
      </c>
      <c r="L205" s="45"/>
      <c r="M205" s="45">
        <f>1092441+270797+23548+12276</f>
        <v>1399062</v>
      </c>
      <c r="N205" s="45"/>
      <c r="O205" s="45">
        <f>875763+142386</f>
        <v>1018149</v>
      </c>
      <c r="P205" s="45"/>
      <c r="Q205" s="45">
        <f>5982500+238687-781645</f>
        <v>5439542</v>
      </c>
      <c r="R205" s="45"/>
      <c r="S205" s="45">
        <f t="shared" si="10"/>
        <v>7856753</v>
      </c>
      <c r="T205" s="45"/>
      <c r="U205" s="44">
        <f>+G205-K205-S205</f>
        <v>0</v>
      </c>
    </row>
    <row r="206" spans="1:21" s="44" customFormat="1" ht="12.75" customHeight="1">
      <c r="A206" s="44" t="s">
        <v>235</v>
      </c>
      <c r="C206" s="44" t="s">
        <v>183</v>
      </c>
      <c r="E206" s="45">
        <f>15261797+2464022</f>
        <v>17725819</v>
      </c>
      <c r="F206" s="45"/>
      <c r="G206" s="45">
        <v>65428170</v>
      </c>
      <c r="H206" s="45"/>
      <c r="I206" s="45">
        <v>16233395</v>
      </c>
      <c r="J206" s="45"/>
      <c r="K206" s="45">
        <v>27905280</v>
      </c>
      <c r="L206" s="45"/>
      <c r="M206" s="45">
        <f>291199+5687058+10414838+386953+13993643</f>
        <v>30773691</v>
      </c>
      <c r="N206" s="45"/>
      <c r="O206" s="45">
        <v>0</v>
      </c>
      <c r="P206" s="45"/>
      <c r="Q206" s="45">
        <f>3814672+2212183+778270-368348+312423-1</f>
        <v>6749199</v>
      </c>
      <c r="R206" s="45"/>
      <c r="S206" s="45">
        <f t="shared" si="10"/>
        <v>37522890</v>
      </c>
      <c r="T206" s="45"/>
      <c r="U206" s="44">
        <f t="shared" si="11"/>
        <v>0</v>
      </c>
    </row>
    <row r="207" spans="1:21" s="44" customFormat="1" ht="12.75" customHeight="1">
      <c r="A207" s="44" t="s">
        <v>236</v>
      </c>
      <c r="C207" s="44" t="s">
        <v>45</v>
      </c>
      <c r="E207" s="45">
        <f>4056041+176746</f>
        <v>4232787</v>
      </c>
      <c r="F207" s="45"/>
      <c r="G207" s="45">
        <v>13525119</v>
      </c>
      <c r="H207" s="45"/>
      <c r="I207" s="45">
        <v>1135884</v>
      </c>
      <c r="J207" s="45"/>
      <c r="K207" s="45">
        <v>3401933</v>
      </c>
      <c r="L207" s="45"/>
      <c r="M207" s="45">
        <f>64497+36117+64786+218+176746</f>
        <v>342364</v>
      </c>
      <c r="N207" s="45"/>
      <c r="O207" s="45">
        <v>0</v>
      </c>
      <c r="P207" s="45"/>
      <c r="Q207" s="45">
        <f>8885944+1268619-373741</f>
        <v>9780822</v>
      </c>
      <c r="R207" s="45"/>
      <c r="S207" s="45">
        <f t="shared" si="10"/>
        <v>10123186</v>
      </c>
      <c r="T207" s="45"/>
      <c r="U207" s="44">
        <f t="shared" si="11"/>
        <v>0</v>
      </c>
    </row>
    <row r="208" spans="1:21" s="44" customFormat="1" ht="12.75" customHeight="1">
      <c r="A208" s="44" t="s">
        <v>237</v>
      </c>
      <c r="C208" s="44" t="s">
        <v>33</v>
      </c>
      <c r="E208" s="45">
        <f>1061193+29661</f>
        <v>1090854</v>
      </c>
      <c r="F208" s="45"/>
      <c r="G208" s="45">
        <v>3940776</v>
      </c>
      <c r="H208" s="45"/>
      <c r="I208" s="45">
        <v>1716852</v>
      </c>
      <c r="J208" s="45"/>
      <c r="K208" s="45">
        <v>2561744</v>
      </c>
      <c r="L208" s="45"/>
      <c r="M208" s="45">
        <f>283720+860+393672+1761</f>
        <v>680013</v>
      </c>
      <c r="N208" s="45"/>
      <c r="O208" s="45">
        <v>0</v>
      </c>
      <c r="P208" s="45"/>
      <c r="Q208" s="45">
        <f>224322+367284+257437-150024</f>
        <v>699019</v>
      </c>
      <c r="R208" s="45"/>
      <c r="S208" s="45">
        <f t="shared" ref="S208:S213" si="12">+Q208+O208+M208</f>
        <v>1379032</v>
      </c>
      <c r="T208" s="45"/>
      <c r="U208" s="44">
        <f t="shared" si="11"/>
        <v>0</v>
      </c>
    </row>
    <row r="209" spans="1:21" s="44" customFormat="1" ht="12.75" customHeight="1">
      <c r="A209" s="44" t="s">
        <v>238</v>
      </c>
      <c r="C209" s="44" t="s">
        <v>239</v>
      </c>
      <c r="E209" s="45">
        <f>13036626+58132</f>
        <v>13094758</v>
      </c>
      <c r="F209" s="45"/>
      <c r="G209" s="45">
        <v>16826070</v>
      </c>
      <c r="H209" s="45"/>
      <c r="I209" s="45">
        <v>1602846</v>
      </c>
      <c r="J209" s="45"/>
      <c r="K209" s="45">
        <v>2934318</v>
      </c>
      <c r="L209" s="45"/>
      <c r="M209" s="45">
        <f>694985+54719+48440+984509+3106+58132</f>
        <v>1843891</v>
      </c>
      <c r="N209" s="45"/>
      <c r="O209" s="45">
        <v>0</v>
      </c>
      <c r="P209" s="45"/>
      <c r="Q209" s="45">
        <f>4522742+2576117-340680+5289682</f>
        <v>12047861</v>
      </c>
      <c r="R209" s="45"/>
      <c r="S209" s="45">
        <f t="shared" si="12"/>
        <v>13891752</v>
      </c>
      <c r="T209" s="45"/>
      <c r="U209" s="44">
        <f t="shared" si="11"/>
        <v>0</v>
      </c>
    </row>
    <row r="210" spans="1:21" s="44" customFormat="1" ht="12.75" customHeight="1">
      <c r="A210" s="44" t="s">
        <v>486</v>
      </c>
      <c r="C210" s="44" t="s">
        <v>249</v>
      </c>
      <c r="E210" s="45">
        <v>9409783</v>
      </c>
      <c r="F210" s="45"/>
      <c r="G210" s="45">
        <v>17075443</v>
      </c>
      <c r="H210" s="45"/>
      <c r="I210" s="45">
        <v>5214917</v>
      </c>
      <c r="J210" s="45"/>
      <c r="K210" s="45">
        <v>8627096</v>
      </c>
      <c r="L210" s="45"/>
      <c r="M210" s="45">
        <f>2237466+9295+371728</f>
        <v>2618489</v>
      </c>
      <c r="N210" s="45"/>
      <c r="O210" s="45">
        <v>0</v>
      </c>
      <c r="P210" s="45"/>
      <c r="Q210" s="45">
        <f>-1118199+6306086+756767-114796</f>
        <v>5829858</v>
      </c>
      <c r="R210" s="45"/>
      <c r="S210" s="45">
        <f>+Q210+O210+M210</f>
        <v>8448347</v>
      </c>
      <c r="T210" s="45"/>
      <c r="U210" s="44">
        <f>+G210-K210-S210</f>
        <v>0</v>
      </c>
    </row>
    <row r="211" spans="1:21" s="44" customFormat="1" ht="12.75" customHeight="1">
      <c r="A211" s="44" t="s">
        <v>240</v>
      </c>
      <c r="C211" s="44" t="s">
        <v>13</v>
      </c>
      <c r="E211" s="45">
        <f>12051576+4250675</f>
        <v>16302251</v>
      </c>
      <c r="F211" s="45"/>
      <c r="G211" s="45">
        <v>28827182</v>
      </c>
      <c r="H211" s="45"/>
      <c r="I211" s="45">
        <v>2282663</v>
      </c>
      <c r="J211" s="45"/>
      <c r="K211" s="45">
        <v>12736497</v>
      </c>
      <c r="L211" s="45"/>
      <c r="M211" s="45">
        <f>1970548+302820+230000</f>
        <v>2503368</v>
      </c>
      <c r="N211" s="45"/>
      <c r="O211" s="45">
        <v>0</v>
      </c>
      <c r="P211" s="45"/>
      <c r="Q211" s="45">
        <f>5140973+2191047+6255297</f>
        <v>13587317</v>
      </c>
      <c r="R211" s="45"/>
      <c r="S211" s="45">
        <f t="shared" si="12"/>
        <v>16090685</v>
      </c>
      <c r="T211" s="45"/>
      <c r="U211" s="44">
        <f t="shared" si="11"/>
        <v>0</v>
      </c>
    </row>
    <row r="212" spans="1:21" s="121" customFormat="1" ht="12.75" hidden="1" customHeight="1">
      <c r="A212" s="44" t="s">
        <v>241</v>
      </c>
      <c r="B212" s="44"/>
      <c r="C212" s="44" t="s">
        <v>22</v>
      </c>
      <c r="D212" s="44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>
        <f t="shared" si="12"/>
        <v>0</v>
      </c>
      <c r="T212" s="127"/>
      <c r="U212" s="121">
        <f t="shared" si="11"/>
        <v>0</v>
      </c>
    </row>
    <row r="213" spans="1:21" s="44" customFormat="1" ht="12.75" customHeight="1">
      <c r="A213" s="44" t="s">
        <v>242</v>
      </c>
      <c r="C213" s="44" t="s">
        <v>27</v>
      </c>
      <c r="E213" s="45">
        <v>32009046</v>
      </c>
      <c r="F213" s="45"/>
      <c r="G213" s="45">
        <v>55265117</v>
      </c>
      <c r="H213" s="45"/>
      <c r="I213" s="45">
        <v>16841244</v>
      </c>
      <c r="J213" s="45"/>
      <c r="K213" s="45">
        <v>20285903</v>
      </c>
      <c r="L213" s="45"/>
      <c r="M213" s="45">
        <f>554925+243302+2308787</f>
        <v>3107014</v>
      </c>
      <c r="N213" s="45"/>
      <c r="O213" s="45">
        <v>0</v>
      </c>
      <c r="P213" s="45"/>
      <c r="Q213" s="45">
        <v>31872200</v>
      </c>
      <c r="R213" s="45"/>
      <c r="S213" s="45">
        <f t="shared" si="12"/>
        <v>34979214</v>
      </c>
      <c r="T213" s="45"/>
      <c r="U213" s="44">
        <f t="shared" si="11"/>
        <v>0</v>
      </c>
    </row>
    <row r="214" spans="1:21" s="44" customFormat="1" ht="12.75" customHeight="1">
      <c r="A214" s="44" t="s">
        <v>243</v>
      </c>
      <c r="C214" s="44" t="s">
        <v>163</v>
      </c>
      <c r="E214" s="45">
        <f>3769493+22441103</f>
        <v>26210596</v>
      </c>
      <c r="F214" s="45"/>
      <c r="G214" s="45">
        <v>32255729</v>
      </c>
      <c r="H214" s="45"/>
      <c r="I214" s="45">
        <v>3578887</v>
      </c>
      <c r="J214" s="45"/>
      <c r="K214" s="45">
        <v>5235295</v>
      </c>
      <c r="L214" s="45"/>
      <c r="M214" s="45">
        <f>427075+67334+612782+1063</f>
        <v>1108254</v>
      </c>
      <c r="N214" s="45"/>
      <c r="O214" s="45">
        <v>0</v>
      </c>
      <c r="P214" s="45"/>
      <c r="Q214" s="45">
        <f>675398+2193629+177534+22865619</f>
        <v>25912180</v>
      </c>
      <c r="R214" s="45"/>
      <c r="S214" s="45">
        <f>+Q214+O214+M214</f>
        <v>27020434</v>
      </c>
      <c r="T214" s="45"/>
      <c r="U214" s="44">
        <f t="shared" ref="U214:U255" si="13">+G214-K214-S214</f>
        <v>0</v>
      </c>
    </row>
    <row r="215" spans="1:21" s="44" customFormat="1" ht="12.75" customHeight="1">
      <c r="A215" s="44" t="s">
        <v>244</v>
      </c>
      <c r="C215" s="44" t="s">
        <v>13</v>
      </c>
      <c r="E215" s="45">
        <v>4854449</v>
      </c>
      <c r="F215" s="45"/>
      <c r="G215" s="45">
        <v>10813668</v>
      </c>
      <c r="H215" s="45"/>
      <c r="I215" s="45">
        <v>2361005</v>
      </c>
      <c r="J215" s="45"/>
      <c r="K215" s="45">
        <v>6080214</v>
      </c>
      <c r="L215" s="45"/>
      <c r="M215" s="45">
        <f>961511+244442</f>
        <v>1205953</v>
      </c>
      <c r="N215" s="45"/>
      <c r="O215" s="45">
        <v>0</v>
      </c>
      <c r="P215" s="45"/>
      <c r="Q215" s="45">
        <f>2671181+629334+14778+212208</f>
        <v>3527501</v>
      </c>
      <c r="R215" s="45"/>
      <c r="S215" s="45">
        <f t="shared" ref="S215:S255" si="14">+Q215+O215+M215</f>
        <v>4733454</v>
      </c>
      <c r="T215" s="45"/>
      <c r="U215" s="44">
        <f t="shared" si="13"/>
        <v>0</v>
      </c>
    </row>
    <row r="216" spans="1:21" s="44" customFormat="1" ht="12.75" customHeight="1">
      <c r="A216" s="44" t="s">
        <v>245</v>
      </c>
      <c r="C216" s="44" t="s">
        <v>110</v>
      </c>
      <c r="E216" s="45">
        <v>3951212</v>
      </c>
      <c r="F216" s="45"/>
      <c r="G216" s="45">
        <v>9559604</v>
      </c>
      <c r="H216" s="45"/>
      <c r="I216" s="45">
        <v>2807684</v>
      </c>
      <c r="J216" s="45"/>
      <c r="K216" s="45">
        <v>5115704</v>
      </c>
      <c r="L216" s="45"/>
      <c r="M216" s="45">
        <f>1867522+97135+48205+116929+10164+25000</f>
        <v>2164955</v>
      </c>
      <c r="N216" s="45"/>
      <c r="O216" s="45">
        <v>0</v>
      </c>
      <c r="P216" s="45"/>
      <c r="Q216" s="45">
        <f>666924+1498646+25135+80385+7855</f>
        <v>2278945</v>
      </c>
      <c r="R216" s="45"/>
      <c r="S216" s="45">
        <f t="shared" si="14"/>
        <v>4443900</v>
      </c>
      <c r="T216" s="45"/>
      <c r="U216" s="44">
        <f t="shared" si="13"/>
        <v>0</v>
      </c>
    </row>
    <row r="217" spans="1:21" s="44" customFormat="1" ht="12.75" customHeight="1">
      <c r="A217" s="44" t="s">
        <v>246</v>
      </c>
      <c r="C217" s="44" t="s">
        <v>209</v>
      </c>
      <c r="E217" s="45">
        <f>1656761+3910358</f>
        <v>5567119</v>
      </c>
      <c r="F217" s="45"/>
      <c r="G217" s="45">
        <v>9363754</v>
      </c>
      <c r="H217" s="45"/>
      <c r="I217" s="45">
        <v>2787743</v>
      </c>
      <c r="J217" s="45"/>
      <c r="K217" s="45">
        <v>4922894</v>
      </c>
      <c r="L217" s="45"/>
      <c r="M217" s="45">
        <f>1757070+17627+96785+9801</f>
        <v>1881283</v>
      </c>
      <c r="N217" s="45"/>
      <c r="O217" s="45">
        <v>0</v>
      </c>
      <c r="P217" s="45"/>
      <c r="Q217" s="45">
        <f>3682473+505158-1628054</f>
        <v>2559577</v>
      </c>
      <c r="R217" s="45"/>
      <c r="S217" s="45">
        <f>+Q217+O217+M217</f>
        <v>4440860</v>
      </c>
      <c r="T217" s="45"/>
      <c r="U217" s="44">
        <f>+G217-K217-S217</f>
        <v>0</v>
      </c>
    </row>
    <row r="218" spans="1:21" s="44" customFormat="1" ht="12.75" customHeight="1">
      <c r="A218" s="44" t="s">
        <v>247</v>
      </c>
      <c r="C218" s="44" t="s">
        <v>163</v>
      </c>
      <c r="E218" s="45">
        <f>6122000+29000+43931000</f>
        <v>50082000</v>
      </c>
      <c r="F218" s="45"/>
      <c r="G218" s="45">
        <v>193414000</v>
      </c>
      <c r="H218" s="45"/>
      <c r="I218" s="45">
        <v>77688000</v>
      </c>
      <c r="J218" s="45"/>
      <c r="K218" s="45">
        <v>188538000</v>
      </c>
      <c r="L218" s="45"/>
      <c r="M218" s="45">
        <f>30142000+4910000+13397000+90000+343000+4275000</f>
        <v>53157000</v>
      </c>
      <c r="N218" s="45"/>
      <c r="O218" s="45">
        <f>13000+2000000</f>
        <v>2013000</v>
      </c>
      <c r="P218" s="45"/>
      <c r="Q218" s="45">
        <f>14914000-2122000+694000-63780000</f>
        <v>-50294000</v>
      </c>
      <c r="R218" s="45"/>
      <c r="S218" s="45">
        <f t="shared" si="14"/>
        <v>4876000</v>
      </c>
      <c r="T218" s="45"/>
      <c r="U218" s="44">
        <f t="shared" si="13"/>
        <v>0</v>
      </c>
    </row>
    <row r="219" spans="1:21" s="44" customFormat="1" ht="12.75" customHeight="1">
      <c r="A219" s="44" t="s">
        <v>248</v>
      </c>
      <c r="C219" s="44" t="s">
        <v>249</v>
      </c>
      <c r="E219" s="45">
        <v>1914914</v>
      </c>
      <c r="F219" s="45"/>
      <c r="G219" s="45">
        <v>4295422</v>
      </c>
      <c r="H219" s="45"/>
      <c r="I219" s="45">
        <v>2017202</v>
      </c>
      <c r="J219" s="45"/>
      <c r="K219" s="45">
        <v>2157360</v>
      </c>
      <c r="L219" s="45"/>
      <c r="M219" s="45">
        <f>362752+16631</f>
        <v>379383</v>
      </c>
      <c r="N219" s="45"/>
      <c r="O219" s="45">
        <v>0</v>
      </c>
      <c r="P219" s="45"/>
      <c r="Q219" s="45">
        <f>1460851+103562+194266</f>
        <v>1758679</v>
      </c>
      <c r="R219" s="45"/>
      <c r="S219" s="45">
        <f t="shared" si="14"/>
        <v>2138062</v>
      </c>
      <c r="T219" s="45"/>
      <c r="U219" s="44">
        <f>+G219-K219-S219</f>
        <v>0</v>
      </c>
    </row>
    <row r="220" spans="1:21" s="44" customFormat="1" ht="12.75" customHeight="1">
      <c r="A220" s="44" t="s">
        <v>250</v>
      </c>
      <c r="C220" s="44" t="s">
        <v>103</v>
      </c>
      <c r="E220" s="45">
        <v>2920075</v>
      </c>
      <c r="F220" s="45"/>
      <c r="G220" s="45">
        <v>4328425</v>
      </c>
      <c r="H220" s="45"/>
      <c r="I220" s="45">
        <v>1176635</v>
      </c>
      <c r="J220" s="45"/>
      <c r="K220" s="45">
        <v>1326182</v>
      </c>
      <c r="L220" s="45"/>
      <c r="M220" s="45">
        <v>44041</v>
      </c>
      <c r="N220" s="45"/>
      <c r="O220" s="45">
        <v>0</v>
      </c>
      <c r="P220" s="45"/>
      <c r="Q220" s="45">
        <f>2249392+620529+36253+52028</f>
        <v>2958202</v>
      </c>
      <c r="R220" s="45"/>
      <c r="S220" s="45">
        <f t="shared" si="14"/>
        <v>3002243</v>
      </c>
      <c r="T220" s="45"/>
      <c r="U220" s="44">
        <f t="shared" si="13"/>
        <v>0</v>
      </c>
    </row>
    <row r="221" spans="1:21" s="44" customFormat="1" ht="12.75" customHeight="1">
      <c r="A221" s="44" t="s">
        <v>251</v>
      </c>
      <c r="C221" s="44" t="s">
        <v>66</v>
      </c>
      <c r="E221" s="45">
        <v>2647099</v>
      </c>
      <c r="F221" s="45"/>
      <c r="G221" s="45">
        <v>11533820</v>
      </c>
      <c r="H221" s="45"/>
      <c r="I221" s="45">
        <v>10060000</v>
      </c>
      <c r="J221" s="45"/>
      <c r="K221" s="45">
        <v>20224396</v>
      </c>
      <c r="L221" s="45"/>
      <c r="M221" s="45">
        <v>653902</v>
      </c>
      <c r="N221" s="45"/>
      <c r="O221" s="45">
        <v>0</v>
      </c>
      <c r="P221" s="45"/>
      <c r="Q221" s="45">
        <f>899472+425726+75507-10745183</f>
        <v>-9344478</v>
      </c>
      <c r="R221" s="45"/>
      <c r="S221" s="45">
        <f>+Q221+O221+M221</f>
        <v>-8690576</v>
      </c>
      <c r="T221" s="45"/>
      <c r="U221" s="44">
        <f>+G221-K221-S221</f>
        <v>0</v>
      </c>
    </row>
    <row r="222" spans="1:21" s="44" customFormat="1" ht="12.75" customHeight="1">
      <c r="A222" s="44" t="s">
        <v>252</v>
      </c>
      <c r="C222" s="44" t="s">
        <v>209</v>
      </c>
      <c r="E222" s="45">
        <v>46146132</v>
      </c>
      <c r="F222" s="45"/>
      <c r="G222" s="45">
        <v>54686237</v>
      </c>
      <c r="H222" s="45"/>
      <c r="I222" s="45">
        <v>4067369</v>
      </c>
      <c r="J222" s="45"/>
      <c r="K222" s="45">
        <v>5811624</v>
      </c>
      <c r="L222" s="45"/>
      <c r="M222" s="45">
        <f>461968+63400+1997726</f>
        <v>2523094</v>
      </c>
      <c r="N222" s="45"/>
      <c r="O222" s="45">
        <v>0</v>
      </c>
      <c r="P222" s="45"/>
      <c r="Q222" s="45">
        <f>40180793+5361121+9120+800485</f>
        <v>46351519</v>
      </c>
      <c r="R222" s="45"/>
      <c r="S222" s="45">
        <f>+Q222+O222+M222</f>
        <v>48874613</v>
      </c>
      <c r="T222" s="45"/>
      <c r="U222" s="44">
        <f t="shared" si="13"/>
        <v>0</v>
      </c>
    </row>
    <row r="223" spans="1:21" s="44" customFormat="1" ht="12.75" customHeight="1">
      <c r="A223" s="44" t="s">
        <v>253</v>
      </c>
      <c r="C223" s="44" t="s">
        <v>13</v>
      </c>
      <c r="E223" s="45">
        <v>17690563</v>
      </c>
      <c r="F223" s="45"/>
      <c r="G223" s="45">
        <v>24099622</v>
      </c>
      <c r="H223" s="45"/>
      <c r="I223" s="45">
        <v>2698299</v>
      </c>
      <c r="J223" s="45"/>
      <c r="K223" s="45">
        <v>4152164</v>
      </c>
      <c r="L223" s="45"/>
      <c r="M223" s="45">
        <f>1742866+187344+35163</f>
        <v>1965373</v>
      </c>
      <c r="N223" s="45"/>
      <c r="O223" s="45">
        <v>0</v>
      </c>
      <c r="P223" s="45"/>
      <c r="Q223" s="45">
        <f>7002618+2279074+150179+8550214</f>
        <v>17982085</v>
      </c>
      <c r="R223" s="45"/>
      <c r="S223" s="45">
        <f>+Q223+O223+M223</f>
        <v>19947458</v>
      </c>
      <c r="T223" s="45"/>
      <c r="U223" s="44">
        <f t="shared" si="13"/>
        <v>0</v>
      </c>
    </row>
    <row r="224" spans="1:21" s="44" customFormat="1" ht="12.75" customHeight="1">
      <c r="A224" s="44" t="s">
        <v>254</v>
      </c>
      <c r="C224" s="44" t="s">
        <v>89</v>
      </c>
      <c r="E224" s="45">
        <v>2133520</v>
      </c>
      <c r="F224" s="45"/>
      <c r="G224" s="45">
        <v>4130272</v>
      </c>
      <c r="H224" s="45"/>
      <c r="I224" s="45">
        <v>1530437</v>
      </c>
      <c r="J224" s="45"/>
      <c r="K224" s="45">
        <v>1683918</v>
      </c>
      <c r="L224" s="45"/>
      <c r="M224" s="45">
        <v>0</v>
      </c>
      <c r="N224" s="45"/>
      <c r="O224" s="45">
        <v>0</v>
      </c>
      <c r="P224" s="45"/>
      <c r="Q224" s="45">
        <v>2446354</v>
      </c>
      <c r="R224" s="45"/>
      <c r="S224" s="45">
        <f t="shared" si="14"/>
        <v>2446354</v>
      </c>
      <c r="T224" s="45"/>
      <c r="U224" s="44">
        <f t="shared" si="13"/>
        <v>0</v>
      </c>
    </row>
    <row r="225" spans="1:21" s="44" customFormat="1" ht="12.75" customHeight="1">
      <c r="A225" s="44" t="s">
        <v>159</v>
      </c>
      <c r="C225" s="44" t="s">
        <v>66</v>
      </c>
      <c r="E225" s="45">
        <v>1785130</v>
      </c>
      <c r="F225" s="45"/>
      <c r="G225" s="45">
        <v>4593501</v>
      </c>
      <c r="H225" s="45"/>
      <c r="I225" s="45">
        <v>2613395</v>
      </c>
      <c r="J225" s="45"/>
      <c r="K225" s="45">
        <v>2755903</v>
      </c>
      <c r="L225" s="45"/>
      <c r="M225" s="45">
        <f>23701+10088+49115</f>
        <v>82904</v>
      </c>
      <c r="N225" s="45"/>
      <c r="O225" s="45">
        <v>0</v>
      </c>
      <c r="P225" s="45"/>
      <c r="Q225" s="45">
        <f>585585+940248+228861</f>
        <v>1754694</v>
      </c>
      <c r="R225" s="45"/>
      <c r="S225" s="45">
        <f>+Q225+O225+M225</f>
        <v>1837598</v>
      </c>
      <c r="T225" s="45"/>
      <c r="U225" s="44">
        <f>+G225-K225-S225</f>
        <v>0</v>
      </c>
    </row>
    <row r="226" spans="1:21" s="44" customFormat="1" ht="12.75" customHeight="1">
      <c r="A226" s="44" t="s">
        <v>255</v>
      </c>
      <c r="C226" s="44" t="s">
        <v>27</v>
      </c>
      <c r="E226" s="45">
        <v>2996507</v>
      </c>
      <c r="F226" s="45"/>
      <c r="G226" s="45">
        <v>12258528</v>
      </c>
      <c r="H226" s="45"/>
      <c r="I226" s="45">
        <v>7946120</v>
      </c>
      <c r="J226" s="45"/>
      <c r="K226" s="45">
        <v>9974497</v>
      </c>
      <c r="L226" s="45"/>
      <c r="M226" s="45">
        <f>104754+60295</f>
        <v>165049</v>
      </c>
      <c r="N226" s="45"/>
      <c r="O226" s="45">
        <v>0</v>
      </c>
      <c r="P226" s="45"/>
      <c r="Q226" s="45">
        <f>509447+1407394+129978+72163</f>
        <v>2118982</v>
      </c>
      <c r="R226" s="45"/>
      <c r="S226" s="45">
        <f t="shared" si="14"/>
        <v>2284031</v>
      </c>
      <c r="T226" s="45"/>
      <c r="U226" s="44">
        <f t="shared" si="13"/>
        <v>0</v>
      </c>
    </row>
    <row r="227" spans="1:21" s="44" customFormat="1" ht="12.75" customHeight="1">
      <c r="A227" s="44" t="s">
        <v>256</v>
      </c>
      <c r="C227" s="44" t="s">
        <v>43</v>
      </c>
      <c r="E227" s="45">
        <v>46815645</v>
      </c>
      <c r="F227" s="45"/>
      <c r="G227" s="45">
        <v>67259685</v>
      </c>
      <c r="H227" s="45"/>
      <c r="I227" s="45">
        <v>15712776</v>
      </c>
      <c r="J227" s="45"/>
      <c r="K227" s="45">
        <v>17899916</v>
      </c>
      <c r="L227" s="45"/>
      <c r="M227" s="45">
        <f>7745016+191418+616039</f>
        <v>8552473</v>
      </c>
      <c r="N227" s="45"/>
      <c r="O227" s="45">
        <f>6708217+335762</f>
        <v>7043979</v>
      </c>
      <c r="P227" s="45"/>
      <c r="Q227" s="45">
        <f>21627406+2628056+9279207+228648</f>
        <v>33763317</v>
      </c>
      <c r="R227" s="45"/>
      <c r="S227" s="45">
        <f>+Q227+O227+M227</f>
        <v>49359769</v>
      </c>
      <c r="T227" s="45"/>
      <c r="U227" s="44">
        <f>+G227-K227-S227</f>
        <v>0</v>
      </c>
    </row>
    <row r="228" spans="1:21" s="44" customFormat="1" ht="12.75" customHeight="1">
      <c r="A228" s="44" t="s">
        <v>257</v>
      </c>
      <c r="C228" s="44" t="s">
        <v>258</v>
      </c>
      <c r="E228" s="45">
        <v>1078135</v>
      </c>
      <c r="F228" s="45"/>
      <c r="G228" s="45">
        <v>2481321</v>
      </c>
      <c r="H228" s="45"/>
      <c r="I228" s="45">
        <v>1098115</v>
      </c>
      <c r="J228" s="45"/>
      <c r="K228" s="45">
        <v>1453928</v>
      </c>
      <c r="L228" s="45"/>
      <c r="M228" s="45">
        <f>45293+54846</f>
        <v>100139</v>
      </c>
      <c r="N228" s="45"/>
      <c r="O228" s="45">
        <v>0</v>
      </c>
      <c r="P228" s="45"/>
      <c r="Q228" s="45">
        <f>191931+543961+191362</f>
        <v>927254</v>
      </c>
      <c r="R228" s="45"/>
      <c r="S228" s="45">
        <f>+Q228+O228+M228</f>
        <v>1027393</v>
      </c>
      <c r="T228" s="45"/>
      <c r="U228" s="44">
        <f>+G228-K228-S228</f>
        <v>0</v>
      </c>
    </row>
    <row r="229" spans="1:21" s="44" customFormat="1" ht="12.75" customHeight="1">
      <c r="A229" s="44" t="s">
        <v>259</v>
      </c>
      <c r="C229" s="44" t="s">
        <v>343</v>
      </c>
      <c r="E229" s="45">
        <v>4883080</v>
      </c>
      <c r="F229" s="45"/>
      <c r="G229" s="45">
        <v>8560614</v>
      </c>
      <c r="H229" s="45"/>
      <c r="I229" s="45">
        <v>1833680</v>
      </c>
      <c r="J229" s="45"/>
      <c r="K229" s="45">
        <v>3765888</v>
      </c>
      <c r="L229" s="45"/>
      <c r="M229" s="45">
        <f>120387+167485+331460+39685+31715</f>
        <v>690732</v>
      </c>
      <c r="N229" s="45"/>
      <c r="O229" s="45">
        <v>0</v>
      </c>
      <c r="P229" s="45"/>
      <c r="Q229" s="45">
        <f>672704+1036777+87382+2307131</f>
        <v>4103994</v>
      </c>
      <c r="R229" s="45"/>
      <c r="S229" s="45">
        <f t="shared" si="14"/>
        <v>4794726</v>
      </c>
      <c r="T229" s="45"/>
      <c r="U229" s="44">
        <f t="shared" si="13"/>
        <v>0</v>
      </c>
    </row>
    <row r="230" spans="1:21" s="44" customFormat="1" ht="12.75" customHeight="1">
      <c r="A230" s="44" t="s">
        <v>261</v>
      </c>
      <c r="C230" s="44" t="s">
        <v>66</v>
      </c>
      <c r="E230" s="45">
        <v>24727177</v>
      </c>
      <c r="F230" s="45"/>
      <c r="G230" s="45">
        <v>35246483</v>
      </c>
      <c r="H230" s="45"/>
      <c r="I230" s="45">
        <v>4269498</v>
      </c>
      <c r="J230" s="45"/>
      <c r="K230" s="45">
        <v>10377493</v>
      </c>
      <c r="L230" s="45"/>
      <c r="M230" s="45">
        <f>3856281+26615+407511+80211+4098586</f>
        <v>8469204</v>
      </c>
      <c r="N230" s="45"/>
      <c r="O230" s="45">
        <v>0</v>
      </c>
      <c r="P230" s="45"/>
      <c r="Q230" s="45">
        <f>19029818+1306895+221577-4158504</f>
        <v>16399786</v>
      </c>
      <c r="R230" s="45"/>
      <c r="S230" s="45">
        <f t="shared" si="14"/>
        <v>24868990</v>
      </c>
      <c r="T230" s="45"/>
      <c r="U230" s="44">
        <f t="shared" si="13"/>
        <v>0</v>
      </c>
    </row>
    <row r="231" spans="1:21" s="44" customFormat="1" ht="12.75" hidden="1" customHeight="1">
      <c r="A231" s="44" t="s">
        <v>262</v>
      </c>
      <c r="C231" s="44" t="s">
        <v>132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>
        <f t="shared" si="14"/>
        <v>0</v>
      </c>
      <c r="T231" s="45"/>
      <c r="U231" s="44">
        <f t="shared" si="13"/>
        <v>0</v>
      </c>
    </row>
    <row r="232" spans="1:21" s="44" customFormat="1" ht="12.75" customHeight="1">
      <c r="A232" s="44" t="s">
        <v>263</v>
      </c>
      <c r="C232" s="44" t="s">
        <v>53</v>
      </c>
      <c r="E232" s="45">
        <f>6263+128+8224+12510085</f>
        <v>12524700</v>
      </c>
      <c r="F232" s="45"/>
      <c r="G232" s="45">
        <v>23447534</v>
      </c>
      <c r="H232" s="45"/>
      <c r="I232" s="45">
        <v>4798991</v>
      </c>
      <c r="J232" s="45"/>
      <c r="K232" s="45">
        <v>10209947</v>
      </c>
      <c r="L232" s="45"/>
      <c r="M232" s="45">
        <f>1654512+65274+4175006+503203</f>
        <v>6397995</v>
      </c>
      <c r="N232" s="45"/>
      <c r="O232" s="45">
        <v>0</v>
      </c>
      <c r="P232" s="45"/>
      <c r="Q232" s="45">
        <f>2028877+5501520-690805</f>
        <v>6839592</v>
      </c>
      <c r="R232" s="45"/>
      <c r="S232" s="45">
        <f t="shared" si="14"/>
        <v>13237587</v>
      </c>
      <c r="T232" s="45"/>
      <c r="U232" s="44">
        <f t="shared" si="13"/>
        <v>0</v>
      </c>
    </row>
    <row r="233" spans="1:21" s="44" customFormat="1" ht="12.75" customHeight="1">
      <c r="A233" s="44" t="s">
        <v>264</v>
      </c>
      <c r="C233" s="44" t="s">
        <v>239</v>
      </c>
      <c r="E233" s="45">
        <v>6846266</v>
      </c>
      <c r="F233" s="45"/>
      <c r="G233" s="45">
        <v>10376553</v>
      </c>
      <c r="H233" s="45"/>
      <c r="I233" s="45">
        <v>2558451</v>
      </c>
      <c r="J233" s="45"/>
      <c r="K233" s="45">
        <v>2962469</v>
      </c>
      <c r="L233" s="45"/>
      <c r="M233" s="45">
        <f>5263+277855+341659</f>
        <v>624777</v>
      </c>
      <c r="N233" s="45"/>
      <c r="O233" s="45">
        <v>0</v>
      </c>
      <c r="P233" s="45"/>
      <c r="Q233" s="45">
        <f>3169890+1392222+609729+1617466</f>
        <v>6789307</v>
      </c>
      <c r="R233" s="45"/>
      <c r="S233" s="45">
        <f t="shared" si="14"/>
        <v>7414084</v>
      </c>
      <c r="T233" s="45"/>
      <c r="U233" s="44">
        <f t="shared" si="13"/>
        <v>0</v>
      </c>
    </row>
    <row r="234" spans="1:21" s="44" customFormat="1" ht="12.75" customHeight="1">
      <c r="A234" s="44" t="s">
        <v>111</v>
      </c>
      <c r="C234" s="44" t="s">
        <v>80</v>
      </c>
      <c r="E234" s="45">
        <v>6097640</v>
      </c>
      <c r="F234" s="45"/>
      <c r="G234" s="45">
        <v>20727097</v>
      </c>
      <c r="H234" s="45"/>
      <c r="I234" s="45">
        <v>3739059</v>
      </c>
      <c r="J234" s="45"/>
      <c r="K234" s="45">
        <v>6786238</v>
      </c>
      <c r="L234" s="45"/>
      <c r="M234" s="45">
        <f>4696794+48060+5741622+26220</f>
        <v>10512696</v>
      </c>
      <c r="N234" s="45"/>
      <c r="O234" s="45">
        <v>0</v>
      </c>
      <c r="P234" s="45"/>
      <c r="Q234" s="45">
        <f>3987117+2333816+111599-3004369</f>
        <v>3428163</v>
      </c>
      <c r="R234" s="45"/>
      <c r="S234" s="45">
        <f t="shared" si="14"/>
        <v>13940859</v>
      </c>
      <c r="T234" s="45"/>
      <c r="U234" s="44">
        <f t="shared" si="13"/>
        <v>0</v>
      </c>
    </row>
    <row r="235" spans="1:21" s="44" customFormat="1" ht="12.75" customHeight="1">
      <c r="A235" s="44" t="s">
        <v>265</v>
      </c>
      <c r="C235" s="44" t="s">
        <v>27</v>
      </c>
      <c r="E235" s="45">
        <v>1455269</v>
      </c>
      <c r="F235" s="45"/>
      <c r="G235" s="45">
        <v>8132964</v>
      </c>
      <c r="H235" s="45"/>
      <c r="I235" s="45">
        <v>4078923</v>
      </c>
      <c r="J235" s="45"/>
      <c r="K235" s="45">
        <v>11474748</v>
      </c>
      <c r="L235" s="45"/>
      <c r="M235" s="45">
        <v>82317</v>
      </c>
      <c r="N235" s="45"/>
      <c r="O235" s="45">
        <v>0</v>
      </c>
      <c r="P235" s="45"/>
      <c r="Q235" s="45">
        <f>600550+441210-22889-4442972</f>
        <v>-3424101</v>
      </c>
      <c r="R235" s="45"/>
      <c r="S235" s="45">
        <f>+Q235+O235+M235</f>
        <v>-3341784</v>
      </c>
      <c r="T235" s="45"/>
      <c r="U235" s="44">
        <f>+G235-K235-S235</f>
        <v>0</v>
      </c>
    </row>
    <row r="236" spans="1:21" s="44" customFormat="1" ht="12.75" customHeight="1">
      <c r="A236" s="44" t="s">
        <v>40</v>
      </c>
      <c r="C236" s="47" t="s">
        <v>451</v>
      </c>
      <c r="E236" s="45">
        <f>8621043+36928+55448</f>
        <v>8713419</v>
      </c>
      <c r="F236" s="45"/>
      <c r="G236" s="45">
        <v>13256971</v>
      </c>
      <c r="H236" s="45"/>
      <c r="I236" s="45">
        <v>3179198</v>
      </c>
      <c r="J236" s="45"/>
      <c r="K236" s="45">
        <v>4786456</v>
      </c>
      <c r="L236" s="45"/>
      <c r="M236" s="45">
        <f>4298810+59263+14000+21256</f>
        <v>4393329</v>
      </c>
      <c r="N236" s="45"/>
      <c r="O236" s="45">
        <v>0</v>
      </c>
      <c r="P236" s="45"/>
      <c r="Q236" s="45">
        <f>1095597+1160025+1706289+115275</f>
        <v>4077186</v>
      </c>
      <c r="R236" s="45"/>
      <c r="S236" s="45">
        <f t="shared" si="14"/>
        <v>8470515</v>
      </c>
      <c r="T236" s="45"/>
      <c r="U236" s="44">
        <f t="shared" si="13"/>
        <v>0</v>
      </c>
    </row>
    <row r="237" spans="1:21" s="44" customFormat="1" ht="12.75" customHeight="1">
      <c r="A237" s="44" t="s">
        <v>266</v>
      </c>
      <c r="C237" s="44" t="s">
        <v>267</v>
      </c>
      <c r="E237" s="45">
        <f>2474331+1061251</f>
        <v>3535582</v>
      </c>
      <c r="F237" s="45"/>
      <c r="G237" s="45">
        <v>5732211</v>
      </c>
      <c r="H237" s="45"/>
      <c r="I237" s="45">
        <v>687819</v>
      </c>
      <c r="J237" s="45"/>
      <c r="K237" s="45">
        <v>1005738</v>
      </c>
      <c r="L237" s="45"/>
      <c r="M237" s="45">
        <f>300060+21051+64557+633366</f>
        <v>1019034</v>
      </c>
      <c r="N237" s="45"/>
      <c r="O237" s="45">
        <v>0</v>
      </c>
      <c r="P237" s="45"/>
      <c r="Q237" s="45">
        <f>1150150+687660+1869629</f>
        <v>3707439</v>
      </c>
      <c r="R237" s="45"/>
      <c r="S237" s="45">
        <f t="shared" si="14"/>
        <v>4726473</v>
      </c>
      <c r="T237" s="45"/>
      <c r="U237" s="44">
        <f t="shared" si="13"/>
        <v>0</v>
      </c>
    </row>
    <row r="238" spans="1:21" s="44" customFormat="1" ht="12.75" customHeight="1">
      <c r="A238" s="44" t="s">
        <v>268</v>
      </c>
      <c r="C238" s="44" t="s">
        <v>269</v>
      </c>
      <c r="E238" s="45">
        <v>1489718</v>
      </c>
      <c r="F238" s="45"/>
      <c r="G238" s="45">
        <v>3166587</v>
      </c>
      <c r="H238" s="45"/>
      <c r="I238" s="45">
        <v>1217095</v>
      </c>
      <c r="J238" s="45"/>
      <c r="K238" s="45">
        <v>1437073</v>
      </c>
      <c r="L238" s="45"/>
      <c r="M238" s="45">
        <v>72713</v>
      </c>
      <c r="N238" s="45"/>
      <c r="O238" s="45">
        <v>0</v>
      </c>
      <c r="P238" s="45"/>
      <c r="Q238" s="45">
        <f>1113863+394737+148201</f>
        <v>1656801</v>
      </c>
      <c r="R238" s="45"/>
      <c r="S238" s="45">
        <f t="shared" si="14"/>
        <v>1729514</v>
      </c>
      <c r="T238" s="45"/>
      <c r="U238" s="44">
        <f t="shared" si="13"/>
        <v>0</v>
      </c>
    </row>
    <row r="239" spans="1:21" s="44" customFormat="1" ht="12.75" hidden="1" customHeight="1">
      <c r="A239" s="44" t="s">
        <v>270</v>
      </c>
      <c r="C239" s="44" t="s">
        <v>136</v>
      </c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>
        <f>+Q239+O239+M239</f>
        <v>0</v>
      </c>
      <c r="T239" s="45"/>
      <c r="U239" s="44">
        <f>+G239-K239-S239</f>
        <v>0</v>
      </c>
    </row>
    <row r="240" spans="1:21" s="44" customFormat="1" ht="12.75" customHeight="1">
      <c r="A240" s="44" t="s">
        <v>271</v>
      </c>
      <c r="C240" s="44" t="s">
        <v>66</v>
      </c>
      <c r="E240" s="45">
        <v>2610899</v>
      </c>
      <c r="F240" s="45"/>
      <c r="G240" s="45">
        <v>6956765</v>
      </c>
      <c r="H240" s="45"/>
      <c r="I240" s="45">
        <v>2119317</v>
      </c>
      <c r="J240" s="45"/>
      <c r="K240" s="45">
        <v>3081148</v>
      </c>
      <c r="L240" s="45"/>
      <c r="M240" s="45">
        <f>206311+1899+225836+47859+75750</f>
        <v>557655</v>
      </c>
      <c r="N240" s="45"/>
      <c r="O240" s="45">
        <v>0</v>
      </c>
      <c r="P240" s="45"/>
      <c r="Q240" s="45">
        <f>2054822+603430+659710</f>
        <v>3317962</v>
      </c>
      <c r="R240" s="45"/>
      <c r="S240" s="45">
        <f t="shared" si="14"/>
        <v>3875617</v>
      </c>
      <c r="T240" s="45"/>
      <c r="U240" s="44">
        <f t="shared" si="13"/>
        <v>0</v>
      </c>
    </row>
    <row r="241" spans="1:21" s="44" customFormat="1" ht="12.75" customHeight="1">
      <c r="A241" s="44" t="s">
        <v>272</v>
      </c>
      <c r="C241" s="44" t="s">
        <v>43</v>
      </c>
      <c r="E241" s="45">
        <f>45794378+50885</f>
        <v>45845263</v>
      </c>
      <c r="F241" s="45"/>
      <c r="G241" s="45">
        <v>75585173</v>
      </c>
      <c r="H241" s="45"/>
      <c r="I241" s="45">
        <v>16229676</v>
      </c>
      <c r="J241" s="45"/>
      <c r="K241" s="45">
        <v>29148951</v>
      </c>
      <c r="L241" s="45"/>
      <c r="M241" s="45">
        <f>82778+266366+9431477+2239446</f>
        <v>12020067</v>
      </c>
      <c r="N241" s="45"/>
      <c r="O241" s="45">
        <v>0</v>
      </c>
      <c r="P241" s="45"/>
      <c r="Q241" s="45">
        <f>18649355+16951764+74435-1259399</f>
        <v>34416155</v>
      </c>
      <c r="R241" s="45"/>
      <c r="S241" s="45">
        <f t="shared" si="14"/>
        <v>46436222</v>
      </c>
      <c r="T241" s="45"/>
      <c r="U241" s="44">
        <f t="shared" si="13"/>
        <v>0</v>
      </c>
    </row>
    <row r="242" spans="1:21" s="44" customFormat="1" ht="12.75" customHeight="1">
      <c r="A242" s="44" t="s">
        <v>273</v>
      </c>
      <c r="C242" s="44" t="s">
        <v>27</v>
      </c>
      <c r="E242" s="45">
        <f>58382995+35000+655748</f>
        <v>59073743</v>
      </c>
      <c r="F242" s="45"/>
      <c r="G242" s="45">
        <v>87721653</v>
      </c>
      <c r="H242" s="45"/>
      <c r="I242" s="45">
        <v>20001305</v>
      </c>
      <c r="J242" s="45"/>
      <c r="K242" s="45">
        <v>34652796</v>
      </c>
      <c r="L242" s="45"/>
      <c r="M242" s="45">
        <f>3182816+1700000+266845</f>
        <v>5149661</v>
      </c>
      <c r="N242" s="45"/>
      <c r="O242" s="45">
        <v>6922553</v>
      </c>
      <c r="P242" s="45"/>
      <c r="Q242" s="45">
        <f>9784503+9760359+2130970+19320811</f>
        <v>40996643</v>
      </c>
      <c r="R242" s="45"/>
      <c r="S242" s="45">
        <f t="shared" si="14"/>
        <v>53068857</v>
      </c>
      <c r="T242" s="45"/>
      <c r="U242" s="44">
        <f t="shared" si="13"/>
        <v>0</v>
      </c>
    </row>
    <row r="243" spans="1:21" s="44" customFormat="1" ht="12.75" customHeight="1">
      <c r="A243" s="44" t="s">
        <v>274</v>
      </c>
      <c r="C243" s="44" t="s">
        <v>43</v>
      </c>
      <c r="E243" s="45">
        <f>9629088+1082</f>
        <v>9630170</v>
      </c>
      <c r="F243" s="45"/>
      <c r="G243" s="45">
        <v>14339473</v>
      </c>
      <c r="H243" s="45"/>
      <c r="I243" s="45">
        <v>2364948</v>
      </c>
      <c r="J243" s="45"/>
      <c r="K243" s="45">
        <v>4535978</v>
      </c>
      <c r="L243" s="45"/>
      <c r="M243" s="45">
        <f>509460+132862+131276+872497</f>
        <v>1646095</v>
      </c>
      <c r="N243" s="45"/>
      <c r="O243" s="45">
        <v>0</v>
      </c>
      <c r="P243" s="45"/>
      <c r="Q243" s="45">
        <f>3833818+2227967+2095615</f>
        <v>8157400</v>
      </c>
      <c r="R243" s="45"/>
      <c r="S243" s="45">
        <f t="shared" si="14"/>
        <v>9803495</v>
      </c>
      <c r="T243" s="45"/>
      <c r="U243" s="44">
        <f t="shared" si="13"/>
        <v>0</v>
      </c>
    </row>
    <row r="244" spans="1:21" s="44" customFormat="1" ht="12.75" customHeight="1">
      <c r="A244" s="44" t="s">
        <v>275</v>
      </c>
      <c r="C244" s="44" t="s">
        <v>92</v>
      </c>
      <c r="E244" s="45">
        <f>6360444+966+2072833</f>
        <v>8434243</v>
      </c>
      <c r="F244" s="45"/>
      <c r="G244" s="45">
        <v>14245533</v>
      </c>
      <c r="H244" s="45"/>
      <c r="I244" s="45">
        <v>3754253</v>
      </c>
      <c r="J244" s="45"/>
      <c r="K244" s="45">
        <v>4831618</v>
      </c>
      <c r="L244" s="45"/>
      <c r="M244" s="45">
        <f>19556+12397+35335</f>
        <v>67288</v>
      </c>
      <c r="N244" s="45"/>
      <c r="O244" s="45">
        <v>0</v>
      </c>
      <c r="P244" s="45"/>
      <c r="Q244" s="45">
        <f>6607147+764253+114569+1860658</f>
        <v>9346627</v>
      </c>
      <c r="R244" s="45"/>
      <c r="S244" s="45">
        <f t="shared" si="14"/>
        <v>9413915</v>
      </c>
      <c r="T244" s="45"/>
      <c r="U244" s="44">
        <f t="shared" si="13"/>
        <v>0</v>
      </c>
    </row>
    <row r="245" spans="1:21" s="44" customFormat="1" ht="12.75" customHeight="1">
      <c r="A245" s="44" t="s">
        <v>276</v>
      </c>
      <c r="C245" s="44" t="s">
        <v>38</v>
      </c>
      <c r="E245" s="45">
        <f>6547797+229794</f>
        <v>6777591</v>
      </c>
      <c r="F245" s="45"/>
      <c r="G245" s="45">
        <v>8350891</v>
      </c>
      <c r="H245" s="45"/>
      <c r="I245" s="45">
        <v>478817</v>
      </c>
      <c r="J245" s="45"/>
      <c r="K245" s="45">
        <v>2665793</v>
      </c>
      <c r="L245" s="45"/>
      <c r="M245" s="45">
        <f>91839+44880+30902+3879+14657+1575000</f>
        <v>1761157</v>
      </c>
      <c r="N245" s="45"/>
      <c r="O245" s="45">
        <v>0</v>
      </c>
      <c r="P245" s="45"/>
      <c r="Q245" s="45">
        <f>1898837+2311288-394265+108081</f>
        <v>3923941</v>
      </c>
      <c r="R245" s="45"/>
      <c r="S245" s="45">
        <f t="shared" si="14"/>
        <v>5685098</v>
      </c>
      <c r="T245" s="45"/>
      <c r="U245" s="44">
        <f t="shared" si="13"/>
        <v>0</v>
      </c>
    </row>
    <row r="246" spans="1:21" s="44" customFormat="1" ht="12.75" customHeight="1">
      <c r="A246" s="44" t="s">
        <v>277</v>
      </c>
      <c r="C246" s="44" t="s">
        <v>92</v>
      </c>
      <c r="E246" s="45">
        <v>14354505</v>
      </c>
      <c r="F246" s="45"/>
      <c r="G246" s="45">
        <v>33490777</v>
      </c>
      <c r="H246" s="45"/>
      <c r="I246" s="45">
        <v>9256628</v>
      </c>
      <c r="J246" s="45"/>
      <c r="K246" s="45">
        <v>16438543</v>
      </c>
      <c r="L246" s="45"/>
      <c r="M246" s="45">
        <f>4335112+2589+720539+201600+1875798</f>
        <v>7135638</v>
      </c>
      <c r="N246" s="45"/>
      <c r="O246" s="45">
        <v>0</v>
      </c>
      <c r="P246" s="45"/>
      <c r="Q246" s="45">
        <f>6541186+3162378+213032</f>
        <v>9916596</v>
      </c>
      <c r="R246" s="45"/>
      <c r="S246" s="45">
        <f t="shared" si="14"/>
        <v>17052234</v>
      </c>
      <c r="T246" s="45"/>
      <c r="U246" s="44">
        <f t="shared" si="13"/>
        <v>0</v>
      </c>
    </row>
    <row r="247" spans="1:21" s="44" customFormat="1" ht="12.75" customHeight="1">
      <c r="A247" s="44" t="s">
        <v>278</v>
      </c>
      <c r="C247" s="44" t="s">
        <v>92</v>
      </c>
      <c r="E247" s="45">
        <v>1764643</v>
      </c>
      <c r="F247" s="45"/>
      <c r="G247" s="45">
        <v>6484285</v>
      </c>
      <c r="H247" s="45"/>
      <c r="I247" s="45">
        <v>3990455</v>
      </c>
      <c r="J247" s="45"/>
      <c r="K247" s="45">
        <v>4863413</v>
      </c>
      <c r="L247" s="45"/>
      <c r="M247" s="45">
        <f>471042+164983+16382</f>
        <v>652407</v>
      </c>
      <c r="N247" s="45"/>
      <c r="O247" s="45">
        <v>0</v>
      </c>
      <c r="P247" s="45"/>
      <c r="Q247" s="45">
        <f>196091+147093+144462+480819</f>
        <v>968465</v>
      </c>
      <c r="R247" s="45"/>
      <c r="S247" s="45">
        <f t="shared" si="14"/>
        <v>1620872</v>
      </c>
      <c r="T247" s="45"/>
      <c r="U247" s="44">
        <f t="shared" si="13"/>
        <v>0</v>
      </c>
    </row>
    <row r="248" spans="1:21" s="44" customFormat="1" ht="12.75" customHeight="1">
      <c r="A248" s="44" t="s">
        <v>279</v>
      </c>
      <c r="C248" s="44" t="s">
        <v>92</v>
      </c>
      <c r="E248" s="45">
        <v>7371847</v>
      </c>
      <c r="F248" s="45"/>
      <c r="G248" s="45">
        <v>15173599</v>
      </c>
      <c r="H248" s="45"/>
      <c r="I248" s="45">
        <v>6957259</v>
      </c>
      <c r="J248" s="45"/>
      <c r="K248" s="45">
        <v>8228772</v>
      </c>
      <c r="L248" s="45"/>
      <c r="M248" s="45">
        <f>1211590+39780</f>
        <v>1251370</v>
      </c>
      <c r="N248" s="45"/>
      <c r="O248" s="45">
        <v>0</v>
      </c>
      <c r="P248" s="45"/>
      <c r="Q248" s="45">
        <f>1471435+2801672+1420350</f>
        <v>5693457</v>
      </c>
      <c r="R248" s="45"/>
      <c r="S248" s="45">
        <f t="shared" si="14"/>
        <v>6944827</v>
      </c>
      <c r="T248" s="45"/>
      <c r="U248" s="44">
        <f t="shared" si="13"/>
        <v>0</v>
      </c>
    </row>
    <row r="249" spans="1:21" s="44" customFormat="1" ht="12.75" customHeight="1">
      <c r="A249" s="44" t="s">
        <v>280</v>
      </c>
      <c r="C249" s="44" t="s">
        <v>281</v>
      </c>
      <c r="E249" s="45">
        <v>5260104</v>
      </c>
      <c r="F249" s="45"/>
      <c r="G249" s="45">
        <v>10917249</v>
      </c>
      <c r="H249" s="45"/>
      <c r="I249" s="45">
        <v>3173968</v>
      </c>
      <c r="J249" s="45"/>
      <c r="K249" s="45">
        <v>4673376</v>
      </c>
      <c r="L249" s="45"/>
      <c r="M249" s="45">
        <f>200125+274269+35000</f>
        <v>509394</v>
      </c>
      <c r="N249" s="45"/>
      <c r="O249" s="45">
        <v>0</v>
      </c>
      <c r="P249" s="45"/>
      <c r="Q249" s="45">
        <f>4252809+1311625+161567+4129+4349</f>
        <v>5734479</v>
      </c>
      <c r="R249" s="45"/>
      <c r="S249" s="45">
        <f t="shared" si="14"/>
        <v>6243873</v>
      </c>
      <c r="T249" s="45"/>
      <c r="U249" s="44">
        <f t="shared" si="13"/>
        <v>0</v>
      </c>
    </row>
    <row r="250" spans="1:21" s="44" customFormat="1" ht="12.75" customHeight="1">
      <c r="A250" s="44" t="s">
        <v>282</v>
      </c>
      <c r="C250" s="44" t="s">
        <v>199</v>
      </c>
      <c r="E250" s="45">
        <v>25579196</v>
      </c>
      <c r="F250" s="45"/>
      <c r="G250" s="45">
        <v>35557332</v>
      </c>
      <c r="H250" s="45"/>
      <c r="I250" s="45">
        <v>6910309</v>
      </c>
      <c r="J250" s="45"/>
      <c r="K250" s="45">
        <v>9492550</v>
      </c>
      <c r="L250" s="45"/>
      <c r="M250" s="45">
        <f>14503054+478500</f>
        <v>14981554</v>
      </c>
      <c r="N250" s="45"/>
      <c r="O250" s="45">
        <v>0</v>
      </c>
      <c r="P250" s="45"/>
      <c r="Q250" s="45">
        <f>9885590+1753489-1190382+634531</f>
        <v>11083228</v>
      </c>
      <c r="R250" s="45"/>
      <c r="S250" s="45">
        <f t="shared" si="14"/>
        <v>26064782</v>
      </c>
      <c r="T250" s="45"/>
      <c r="U250" s="44">
        <f t="shared" si="13"/>
        <v>0</v>
      </c>
    </row>
    <row r="251" spans="1:21" s="44" customFormat="1" ht="12.75" customHeight="1">
      <c r="A251" s="44" t="s">
        <v>283</v>
      </c>
      <c r="C251" s="44" t="s">
        <v>43</v>
      </c>
      <c r="E251" s="45">
        <f>4176958+10975903</f>
        <v>15152861</v>
      </c>
      <c r="F251" s="45"/>
      <c r="G251" s="45">
        <v>23685931</v>
      </c>
      <c r="H251" s="45"/>
      <c r="I251" s="45">
        <v>4474315</v>
      </c>
      <c r="J251" s="45"/>
      <c r="K251" s="45">
        <v>7889180</v>
      </c>
      <c r="L251" s="45"/>
      <c r="M251" s="45">
        <f>1028725+94232+827589+240000</f>
        <v>2190546</v>
      </c>
      <c r="N251" s="45"/>
      <c r="O251" s="45">
        <v>0</v>
      </c>
      <c r="P251" s="45"/>
      <c r="Q251" s="45">
        <f>2925731+1650979+9029495</f>
        <v>13606205</v>
      </c>
      <c r="R251" s="45"/>
      <c r="S251" s="45">
        <f t="shared" si="14"/>
        <v>15796751</v>
      </c>
      <c r="T251" s="45"/>
      <c r="U251" s="44">
        <f t="shared" si="13"/>
        <v>0</v>
      </c>
    </row>
    <row r="252" spans="1:21" s="44" customFormat="1" ht="12.75" customHeight="1">
      <c r="A252" s="44" t="s">
        <v>284</v>
      </c>
      <c r="C252" s="44" t="s">
        <v>45</v>
      </c>
      <c r="E252" s="45">
        <v>6590316</v>
      </c>
      <c r="F252" s="45"/>
      <c r="G252" s="45">
        <v>12665180</v>
      </c>
      <c r="H252" s="45"/>
      <c r="I252" s="45">
        <v>4627073</v>
      </c>
      <c r="J252" s="45"/>
      <c r="K252" s="45">
        <v>7182852</v>
      </c>
      <c r="L252" s="45"/>
      <c r="M252" s="45">
        <f>896384+31000</f>
        <v>927384</v>
      </c>
      <c r="N252" s="45"/>
      <c r="O252" s="45">
        <v>0</v>
      </c>
      <c r="P252" s="45"/>
      <c r="Q252" s="45">
        <f>3499850+320926+46+734122</f>
        <v>4554944</v>
      </c>
      <c r="R252" s="45"/>
      <c r="S252" s="45">
        <f t="shared" si="14"/>
        <v>5482328</v>
      </c>
      <c r="T252" s="45"/>
      <c r="U252" s="44">
        <f t="shared" si="13"/>
        <v>0</v>
      </c>
    </row>
    <row r="253" spans="1:21" s="44" customFormat="1" ht="12.75" customHeight="1">
      <c r="A253" s="44" t="s">
        <v>285</v>
      </c>
      <c r="C253" s="44" t="s">
        <v>30</v>
      </c>
      <c r="E253" s="45">
        <f>2493890+328981+4960050</f>
        <v>7782921</v>
      </c>
      <c r="F253" s="45"/>
      <c r="G253" s="45">
        <v>14608523</v>
      </c>
      <c r="H253" s="45"/>
      <c r="I253" s="45">
        <v>3881285</v>
      </c>
      <c r="J253" s="45"/>
      <c r="K253" s="45">
        <v>5285978</v>
      </c>
      <c r="L253" s="45"/>
      <c r="M253" s="45">
        <f>923990+110393+163716+24544+25266</f>
        <v>1247909</v>
      </c>
      <c r="N253" s="45"/>
      <c r="O253" s="45">
        <v>0</v>
      </c>
      <c r="P253" s="45"/>
      <c r="Q253" s="45">
        <f>3913707+1813204+2347725</f>
        <v>8074636</v>
      </c>
      <c r="R253" s="45"/>
      <c r="S253" s="45">
        <f t="shared" si="14"/>
        <v>9322545</v>
      </c>
      <c r="T253" s="45"/>
      <c r="U253" s="44">
        <f t="shared" si="13"/>
        <v>0</v>
      </c>
    </row>
    <row r="254" spans="1:21" s="44" customFormat="1" ht="12.75" customHeight="1">
      <c r="A254" s="44" t="s">
        <v>286</v>
      </c>
      <c r="C254" s="44" t="s">
        <v>61</v>
      </c>
      <c r="E254" s="45">
        <f>3667961+729625</f>
        <v>4397586</v>
      </c>
      <c r="F254" s="45"/>
      <c r="G254" s="45">
        <v>33427848</v>
      </c>
      <c r="H254" s="45"/>
      <c r="I254" s="45">
        <v>13238515</v>
      </c>
      <c r="J254" s="45"/>
      <c r="K254" s="45">
        <v>38379867</v>
      </c>
      <c r="L254" s="45"/>
      <c r="M254" s="45">
        <f>691242+859714+26804+4714592</f>
        <v>6292352</v>
      </c>
      <c r="N254" s="45"/>
      <c r="O254" s="45">
        <v>0</v>
      </c>
      <c r="P254" s="45"/>
      <c r="Q254" s="45">
        <f>-391351+628355-11481375</f>
        <v>-11244371</v>
      </c>
      <c r="R254" s="45"/>
      <c r="S254" s="45">
        <f t="shared" si="14"/>
        <v>-4952019</v>
      </c>
      <c r="T254" s="45"/>
      <c r="U254" s="44">
        <f t="shared" si="13"/>
        <v>0</v>
      </c>
    </row>
    <row r="255" spans="1:21" s="44" customFormat="1" ht="12.75" customHeight="1">
      <c r="A255" s="44" t="s">
        <v>287</v>
      </c>
      <c r="C255" s="44" t="s">
        <v>288</v>
      </c>
      <c r="E255" s="45">
        <f>6290999+44898+6538</f>
        <v>6342435</v>
      </c>
      <c r="F255" s="45"/>
      <c r="G255" s="45">
        <v>13982412</v>
      </c>
      <c r="H255" s="45"/>
      <c r="I255" s="45">
        <v>4495449</v>
      </c>
      <c r="J255" s="45"/>
      <c r="K255" s="45">
        <v>8082972</v>
      </c>
      <c r="L255" s="45"/>
      <c r="M255" s="45">
        <f>498729+15108+154888+297084</f>
        <v>965809</v>
      </c>
      <c r="N255" s="45"/>
      <c r="O255" s="45">
        <v>0</v>
      </c>
      <c r="P255" s="45"/>
      <c r="Q255" s="45">
        <f>1190875+2793262+404459+545035</f>
        <v>4933631</v>
      </c>
      <c r="R255" s="45"/>
      <c r="S255" s="45">
        <f t="shared" si="14"/>
        <v>5899440</v>
      </c>
      <c r="T255" s="45"/>
      <c r="U255" s="44">
        <f t="shared" si="13"/>
        <v>0</v>
      </c>
    </row>
    <row r="256" spans="1:21" s="44" customFormat="1" ht="12.75" customHeight="1"/>
    <row r="257" spans="2:2" s="44" customFormat="1" ht="12.75" customHeight="1"/>
    <row r="258" spans="2:2" s="44" customFormat="1" ht="12.75" customHeight="1">
      <c r="B258" s="51"/>
    </row>
    <row r="259" spans="2:2" s="44" customFormat="1" ht="12.75" customHeight="1">
      <c r="B259" s="51"/>
    </row>
    <row r="260" spans="2:2" s="44" customFormat="1" ht="12.75" customHeight="1">
      <c r="B260" s="51"/>
    </row>
    <row r="261" spans="2:2" s="44" customFormat="1" ht="12.75" customHeight="1">
      <c r="B261" s="51"/>
    </row>
    <row r="262" spans="2:2" s="44" customFormat="1" ht="12.75" customHeight="1">
      <c r="B262" s="51"/>
    </row>
    <row r="263" spans="2:2" s="44" customFormat="1" ht="12.75" customHeight="1">
      <c r="B263" s="51"/>
    </row>
    <row r="264" spans="2:2" s="44" customFormat="1" ht="12.75" customHeight="1">
      <c r="B264" s="51"/>
    </row>
    <row r="265" spans="2:2" s="44" customFormat="1" ht="12.75" customHeight="1">
      <c r="B265" s="51"/>
    </row>
    <row r="266" spans="2:2" s="44" customFormat="1" ht="12.75" customHeight="1">
      <c r="B266" s="51"/>
    </row>
    <row r="267" spans="2:2" s="44" customFormat="1" ht="12.75" customHeight="1">
      <c r="B267" s="51"/>
    </row>
    <row r="268" spans="2:2" s="44" customFormat="1" ht="12.75" customHeight="1">
      <c r="B268" s="51"/>
    </row>
    <row r="269" spans="2:2" s="44" customFormat="1" ht="12.75" customHeight="1">
      <c r="B269" s="51"/>
    </row>
    <row r="270" spans="2:2" s="44" customFormat="1" ht="12.75" customHeight="1">
      <c r="B270" s="51"/>
    </row>
    <row r="271" spans="2:2" s="44" customFormat="1" ht="12.75" customHeight="1">
      <c r="B271" s="51"/>
    </row>
    <row r="272" spans="2:2" s="44" customFormat="1" ht="12.75" customHeight="1">
      <c r="B272" s="51"/>
    </row>
    <row r="273" spans="2:2" s="44" customFormat="1" ht="12.75" customHeight="1">
      <c r="B273" s="51"/>
    </row>
    <row r="274" spans="2:2" s="44" customFormat="1" ht="12.75" customHeight="1">
      <c r="B274" s="51"/>
    </row>
    <row r="275" spans="2:2" s="44" customFormat="1" ht="12.75" customHeight="1">
      <c r="B275" s="51"/>
    </row>
    <row r="276" spans="2:2" s="44" customFormat="1" ht="12.75" customHeight="1">
      <c r="B276" s="51"/>
    </row>
    <row r="277" spans="2:2" s="44" customFormat="1" ht="12.75" customHeight="1">
      <c r="B277" s="51"/>
    </row>
    <row r="278" spans="2:2" s="44" customFormat="1" ht="12.75" customHeight="1">
      <c r="B278" s="51"/>
    </row>
    <row r="279" spans="2:2" s="44" customFormat="1" ht="12.75" customHeight="1">
      <c r="B279" s="51"/>
    </row>
    <row r="280" spans="2:2" s="44" customFormat="1" ht="12.75" customHeight="1">
      <c r="B280" s="51"/>
    </row>
    <row r="281" spans="2:2" s="44" customFormat="1" ht="12.75" customHeight="1">
      <c r="B281" s="51"/>
    </row>
    <row r="282" spans="2:2" s="44" customFormat="1" ht="12.75" customHeight="1">
      <c r="B282" s="51"/>
    </row>
    <row r="283" spans="2:2" s="44" customFormat="1" ht="12.75" customHeight="1">
      <c r="B283" s="51"/>
    </row>
    <row r="284" spans="2:2" s="44" customFormat="1" ht="12.75" customHeight="1">
      <c r="B284" s="51"/>
    </row>
    <row r="285" spans="2:2" s="44" customFormat="1" ht="12.75" customHeight="1">
      <c r="B285" s="51"/>
    </row>
    <row r="286" spans="2:2" s="44" customFormat="1" ht="12.75" customHeight="1">
      <c r="B286" s="51"/>
    </row>
    <row r="287" spans="2:2" s="44" customFormat="1" ht="12.75" customHeight="1">
      <c r="B287" s="51"/>
    </row>
    <row r="288" spans="2:2" s="44" customFormat="1" ht="12.75" customHeight="1">
      <c r="B288" s="51"/>
    </row>
    <row r="289" spans="2:2" s="44" customFormat="1" ht="12.75" customHeight="1">
      <c r="B289" s="51"/>
    </row>
    <row r="290" spans="2:2" s="44" customFormat="1" ht="12.75" customHeight="1">
      <c r="B290" s="51"/>
    </row>
    <row r="291" spans="2:2" s="44" customFormat="1" ht="12.75" customHeight="1">
      <c r="B291" s="51"/>
    </row>
    <row r="292" spans="2:2" s="44" customFormat="1" ht="12.75" customHeight="1">
      <c r="B292" s="51"/>
    </row>
    <row r="293" spans="2:2" s="44" customFormat="1" ht="12.75" customHeight="1">
      <c r="B293" s="51"/>
    </row>
    <row r="294" spans="2:2" s="44" customFormat="1" ht="12.75" customHeight="1">
      <c r="B294" s="51"/>
    </row>
    <row r="295" spans="2:2" s="44" customFormat="1" ht="12.75" customHeight="1">
      <c r="B295" s="51"/>
    </row>
    <row r="296" spans="2:2" s="44" customFormat="1" ht="12.75" customHeight="1">
      <c r="B296" s="51"/>
    </row>
    <row r="297" spans="2:2" s="44" customFormat="1" ht="12.75" customHeight="1">
      <c r="B297" s="51"/>
    </row>
    <row r="298" spans="2:2" s="44" customFormat="1" ht="12.75" customHeight="1">
      <c r="B298" s="51"/>
    </row>
    <row r="299" spans="2:2" s="44" customFormat="1" ht="12.75" customHeight="1">
      <c r="B299" s="51"/>
    </row>
    <row r="300" spans="2:2" s="44" customFormat="1" ht="12.75" customHeight="1">
      <c r="B300" s="51"/>
    </row>
    <row r="301" spans="2:2" s="44" customFormat="1" ht="12.75" customHeight="1">
      <c r="B301" s="51"/>
    </row>
    <row r="302" spans="2:2" s="44" customFormat="1" ht="12.75" customHeight="1">
      <c r="B302" s="51"/>
    </row>
    <row r="303" spans="2:2" s="44" customFormat="1" ht="12.75" customHeight="1">
      <c r="B303" s="51"/>
    </row>
    <row r="304" spans="2:2" s="44" customFormat="1" ht="12.75" customHeight="1">
      <c r="B304" s="51"/>
    </row>
    <row r="305" spans="2:2" s="44" customFormat="1" ht="12.75" customHeight="1">
      <c r="B305" s="51"/>
    </row>
    <row r="306" spans="2:2" s="44" customFormat="1" ht="12.75" customHeight="1">
      <c r="B306" s="51"/>
    </row>
    <row r="307" spans="2:2" s="44" customFormat="1" ht="12.75" customHeight="1">
      <c r="B307" s="51"/>
    </row>
    <row r="308" spans="2:2" s="44" customFormat="1" ht="12.75" customHeight="1">
      <c r="B308" s="51"/>
    </row>
    <row r="309" spans="2:2" s="44" customFormat="1" ht="12.75" customHeight="1">
      <c r="B309" s="51"/>
    </row>
    <row r="310" spans="2:2" s="44" customFormat="1" ht="12.75" customHeight="1">
      <c r="B310" s="51"/>
    </row>
  </sheetData>
  <phoneticPr fontId="4" type="noConversion"/>
  <pageMargins left="0.75" right="0.75" top="0.5" bottom="0.5" header="0" footer="0.25"/>
  <pageSetup scale="85" firstPageNumber="36" pageOrder="overThenDown" orientation="portrait" useFirstPageNumber="1" r:id="rId1"/>
  <headerFooter alignWithMargins="0">
    <oddFooter>&amp;C&amp;"Times New Roman,Regular"&amp;11&amp;P</oddFooter>
  </headerFooter>
  <rowBreaks count="3" manualBreakCount="3">
    <brk id="69" max="18" man="1"/>
    <brk id="130" max="18" man="1"/>
    <brk id="195" max="18" man="1"/>
  </rowBreaks>
  <colBreaks count="1" manualBreakCount="1">
    <brk id="11" min="9" max="25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Z335"/>
  <sheetViews>
    <sheetView view="pageBreakPreview" zoomScale="75" zoomScaleNormal="140" zoomScaleSheetLayoutView="75" workbookViewId="0">
      <pane xSplit="3" ySplit="8" topLeftCell="D40" activePane="bottomRight" state="frozen"/>
      <selection pane="topRight" activeCell="D1" sqref="D1"/>
      <selection pane="bottomLeft" activeCell="A8" sqref="A8"/>
      <selection pane="bottomRight" activeCell="K41" sqref="K41"/>
    </sheetView>
  </sheetViews>
  <sheetFormatPr defaultColWidth="9.109375" defaultRowHeight="12.75" customHeight="1"/>
  <cols>
    <col min="1" max="1" width="18.109375" style="17" customWidth="1"/>
    <col min="2" max="2" width="1.6640625" customWidth="1"/>
    <col min="3" max="3" width="14.5546875" style="17" customWidth="1"/>
    <col min="4" max="4" width="1.6640625" style="10" customWidth="1"/>
    <col min="5" max="5" width="14.5546875" style="17" customWidth="1"/>
    <col min="6" max="6" width="1.6640625" style="17" customWidth="1"/>
    <col min="7" max="7" width="14.5546875" style="17" customWidth="1"/>
    <col min="8" max="8" width="1.6640625" style="17" customWidth="1"/>
    <col min="9" max="9" width="14.5546875" style="17" customWidth="1"/>
    <col min="10" max="10" width="1.6640625" style="17" customWidth="1"/>
    <col min="11" max="11" width="14.5546875" style="17" customWidth="1"/>
    <col min="12" max="12" width="1.6640625" style="17" customWidth="1"/>
    <col min="13" max="13" width="14.5546875" style="17" customWidth="1"/>
    <col min="14" max="14" width="1.6640625" style="17" customWidth="1"/>
    <col min="15" max="15" width="14.5546875" style="17" customWidth="1"/>
    <col min="16" max="16" width="1.6640625" style="17" customWidth="1"/>
    <col min="17" max="17" width="14.5546875" style="17" customWidth="1"/>
    <col min="18" max="18" width="1.6640625" style="17" customWidth="1"/>
    <col min="19" max="19" width="14.5546875" style="2" customWidth="1"/>
    <col min="20" max="20" width="1.6640625" style="17" customWidth="1"/>
    <col min="21" max="21" width="14.5546875" style="32" customWidth="1"/>
    <col min="22" max="22" width="2.5546875" style="10" customWidth="1"/>
    <col min="23" max="23" width="14.5546875" style="10" customWidth="1"/>
    <col min="24" max="24" width="9.109375" style="10"/>
    <col min="25" max="25" width="9.33203125" style="10" bestFit="1" customWidth="1"/>
    <col min="26" max="16384" width="9.109375" style="10"/>
  </cols>
  <sheetData>
    <row r="1" spans="1:23" s="31" customFormat="1" ht="12.75" customHeight="1">
      <c r="A1" s="23" t="s">
        <v>387</v>
      </c>
      <c r="C1" s="23"/>
      <c r="D1" s="10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9"/>
      <c r="T1" s="23"/>
      <c r="U1" s="73"/>
      <c r="V1" s="24"/>
    </row>
    <row r="2" spans="1:23" s="31" customFormat="1" ht="12.75" customHeight="1">
      <c r="A2" s="23" t="s">
        <v>501</v>
      </c>
      <c r="C2" s="23"/>
      <c r="D2" s="10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9"/>
      <c r="T2" s="23"/>
      <c r="U2" s="73"/>
      <c r="V2" s="24"/>
    </row>
    <row r="3" spans="1:23" s="17" customFormat="1" ht="12.75" customHeight="1">
      <c r="A3" s="24" t="s">
        <v>289</v>
      </c>
      <c r="C3" s="11"/>
      <c r="D3" s="10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37"/>
      <c r="V3" s="11"/>
    </row>
    <row r="4" spans="1:23" s="17" customFormat="1" ht="12.75" customHeight="1">
      <c r="A4" s="24" t="s">
        <v>484</v>
      </c>
      <c r="C4" s="11"/>
      <c r="D4" s="10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5"/>
      <c r="T4" s="11"/>
      <c r="U4" s="37"/>
      <c r="V4" s="11"/>
    </row>
    <row r="6" spans="1:23" s="30" customFormat="1" ht="12.75" customHeight="1">
      <c r="A6" s="23"/>
      <c r="C6" s="25"/>
      <c r="D6" s="12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6"/>
      <c r="T6" s="25"/>
      <c r="U6" s="37"/>
      <c r="V6" s="25"/>
      <c r="W6" s="30" t="s">
        <v>294</v>
      </c>
    </row>
    <row r="7" spans="1:23" s="30" customFormat="1" ht="12.75" customHeight="1">
      <c r="A7" s="25"/>
      <c r="C7" s="25"/>
      <c r="D7" s="25"/>
      <c r="E7" s="25" t="s">
        <v>293</v>
      </c>
      <c r="F7" s="25"/>
      <c r="G7" s="25" t="s">
        <v>326</v>
      </c>
      <c r="H7" s="25"/>
      <c r="I7" s="25" t="s">
        <v>294</v>
      </c>
      <c r="J7" s="25"/>
      <c r="K7" s="25" t="s">
        <v>292</v>
      </c>
      <c r="L7" s="25"/>
      <c r="M7" s="25" t="s">
        <v>327</v>
      </c>
      <c r="N7" s="25"/>
      <c r="O7" s="25" t="s">
        <v>328</v>
      </c>
      <c r="P7" s="25"/>
      <c r="Q7" s="25" t="s">
        <v>329</v>
      </c>
      <c r="R7" s="25"/>
      <c r="S7" s="6" t="s">
        <v>330</v>
      </c>
      <c r="T7" s="25"/>
      <c r="U7" s="6" t="s">
        <v>6</v>
      </c>
      <c r="V7" s="25"/>
      <c r="W7" s="30" t="s">
        <v>434</v>
      </c>
    </row>
    <row r="8" spans="1:23" s="98" customFormat="1" ht="12.75" customHeight="1">
      <c r="A8" s="100" t="s">
        <v>8</v>
      </c>
      <c r="C8" s="100" t="s">
        <v>9</v>
      </c>
      <c r="D8" s="26"/>
      <c r="E8" s="100" t="s">
        <v>423</v>
      </c>
      <c r="F8" s="26"/>
      <c r="G8" s="100" t="s">
        <v>299</v>
      </c>
      <c r="H8" s="26"/>
      <c r="I8" s="100" t="s">
        <v>299</v>
      </c>
      <c r="J8" s="26"/>
      <c r="K8" s="100" t="s">
        <v>297</v>
      </c>
      <c r="L8" s="26"/>
      <c r="M8" s="100" t="s">
        <v>331</v>
      </c>
      <c r="N8" s="26"/>
      <c r="O8" s="100" t="s">
        <v>332</v>
      </c>
      <c r="P8" s="26"/>
      <c r="Q8" s="100" t="s">
        <v>401</v>
      </c>
      <c r="R8" s="26"/>
      <c r="S8" s="78" t="s">
        <v>323</v>
      </c>
      <c r="T8" s="26"/>
      <c r="U8" s="78" t="s">
        <v>302</v>
      </c>
      <c r="V8" s="26"/>
      <c r="W8" s="99" t="s">
        <v>435</v>
      </c>
    </row>
    <row r="9" spans="1:23" s="98" customFormat="1" ht="12.75" customHeight="1">
      <c r="A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8"/>
      <c r="T9" s="26"/>
      <c r="U9" s="53"/>
      <c r="V9" s="26"/>
    </row>
    <row r="10" spans="1:23" s="46" customFormat="1" ht="12.75" customHeight="1">
      <c r="A10" s="44" t="s">
        <v>12</v>
      </c>
      <c r="B10" s="49"/>
      <c r="C10" s="44" t="s">
        <v>13</v>
      </c>
      <c r="D10" s="35"/>
      <c r="E10" s="94">
        <v>20914912</v>
      </c>
      <c r="F10" s="94"/>
      <c r="G10" s="94">
        <v>80213321</v>
      </c>
      <c r="H10" s="94"/>
      <c r="I10" s="94">
        <v>0</v>
      </c>
      <c r="J10" s="94"/>
      <c r="K10" s="94">
        <v>17528491</v>
      </c>
      <c r="L10" s="94"/>
      <c r="M10" s="94">
        <v>0</v>
      </c>
      <c r="N10" s="94"/>
      <c r="O10" s="94">
        <v>0</v>
      </c>
      <c r="P10" s="94"/>
      <c r="Q10" s="94">
        <v>8395426</v>
      </c>
      <c r="R10" s="94"/>
      <c r="S10" s="46">
        <f>U10-E10-G10-K10-M10-O10-Q10-I10</f>
        <v>26361533</v>
      </c>
      <c r="T10" s="94"/>
      <c r="U10" s="94">
        <v>153413683</v>
      </c>
      <c r="V10" s="64"/>
      <c r="W10" s="46">
        <v>60000</v>
      </c>
    </row>
    <row r="11" spans="1:23" s="44" customFormat="1" ht="12.75" customHeight="1">
      <c r="A11" s="44" t="s">
        <v>14</v>
      </c>
      <c r="C11" s="44" t="s">
        <v>15</v>
      </c>
      <c r="D11" s="35"/>
      <c r="E11" s="45">
        <v>858198</v>
      </c>
      <c r="F11" s="45"/>
      <c r="G11" s="45">
        <v>7418346</v>
      </c>
      <c r="H11" s="45"/>
      <c r="I11" s="45">
        <v>0</v>
      </c>
      <c r="J11" s="45"/>
      <c r="K11" s="45">
        <v>219980</v>
      </c>
      <c r="L11" s="45"/>
      <c r="M11" s="45">
        <v>1376230</v>
      </c>
      <c r="N11" s="45"/>
      <c r="O11" s="45">
        <v>0</v>
      </c>
      <c r="P11" s="45"/>
      <c r="Q11" s="45">
        <f>132650+414506</f>
        <v>547156</v>
      </c>
      <c r="R11" s="45"/>
      <c r="S11" s="44">
        <f t="shared" ref="S11:S53" si="0">U11-E11-G11-K11-M11-O11-Q11-I11</f>
        <v>656474</v>
      </c>
      <c r="T11" s="45"/>
      <c r="U11" s="45">
        <v>11076384</v>
      </c>
      <c r="V11" s="35"/>
      <c r="W11" s="45">
        <v>0</v>
      </c>
    </row>
    <row r="12" spans="1:23" s="49" customFormat="1" ht="12.75" customHeight="1">
      <c r="A12" s="44" t="s">
        <v>16</v>
      </c>
      <c r="C12" s="44" t="s">
        <v>17</v>
      </c>
      <c r="D12" s="35"/>
      <c r="E12" s="45">
        <v>1028682</v>
      </c>
      <c r="F12" s="45"/>
      <c r="G12" s="45">
        <v>2662789</v>
      </c>
      <c r="H12" s="45"/>
      <c r="I12" s="45">
        <v>0</v>
      </c>
      <c r="J12" s="45"/>
      <c r="K12" s="45">
        <v>105310</v>
      </c>
      <c r="L12" s="45"/>
      <c r="M12" s="45">
        <v>680654</v>
      </c>
      <c r="N12" s="45"/>
      <c r="O12" s="45">
        <v>0</v>
      </c>
      <c r="P12" s="45"/>
      <c r="Q12" s="45">
        <f>176553+69940</f>
        <v>246493</v>
      </c>
      <c r="R12" s="45"/>
      <c r="S12" s="44">
        <f t="shared" si="0"/>
        <v>522762</v>
      </c>
      <c r="T12" s="45"/>
      <c r="U12" s="45">
        <v>5246690</v>
      </c>
      <c r="V12" s="35"/>
      <c r="W12" s="45">
        <v>0</v>
      </c>
    </row>
    <row r="13" spans="1:23" s="49" customFormat="1" ht="12.75" customHeight="1">
      <c r="A13" s="44" t="s">
        <v>18</v>
      </c>
      <c r="C13" s="44" t="s">
        <v>18</v>
      </c>
      <c r="D13" s="35"/>
      <c r="E13" s="45">
        <v>807894</v>
      </c>
      <c r="F13" s="45"/>
      <c r="G13" s="45">
        <v>6541799</v>
      </c>
      <c r="H13" s="45"/>
      <c r="I13" s="45">
        <v>0</v>
      </c>
      <c r="J13" s="45"/>
      <c r="K13" s="45">
        <v>1400342</v>
      </c>
      <c r="L13" s="45"/>
      <c r="M13" s="45">
        <v>996043</v>
      </c>
      <c r="N13" s="45"/>
      <c r="O13" s="45">
        <v>0</v>
      </c>
      <c r="P13" s="45"/>
      <c r="Q13" s="45">
        <f>34102+633379</f>
        <v>667481</v>
      </c>
      <c r="R13" s="45"/>
      <c r="S13" s="44">
        <f t="shared" si="0"/>
        <v>111485</v>
      </c>
      <c r="T13" s="45"/>
      <c r="U13" s="45">
        <v>10525044</v>
      </c>
      <c r="V13" s="35"/>
      <c r="W13" s="45">
        <v>0</v>
      </c>
    </row>
    <row r="14" spans="1:23" s="49" customFormat="1" ht="12.75" customHeight="1">
      <c r="A14" s="44" t="s">
        <v>19</v>
      </c>
      <c r="C14" s="44" t="s">
        <v>19</v>
      </c>
      <c r="D14" s="35"/>
      <c r="E14" s="45">
        <v>1065992</v>
      </c>
      <c r="F14" s="45"/>
      <c r="G14" s="45">
        <v>6091737</v>
      </c>
      <c r="H14" s="45"/>
      <c r="I14" s="45">
        <v>0</v>
      </c>
      <c r="J14" s="45"/>
      <c r="K14" s="45">
        <v>179039</v>
      </c>
      <c r="L14" s="45"/>
      <c r="M14" s="45">
        <v>1572536</v>
      </c>
      <c r="N14" s="45"/>
      <c r="O14" s="45">
        <v>0</v>
      </c>
      <c r="P14" s="45"/>
      <c r="Q14" s="45">
        <f>99298+746400</f>
        <v>845698</v>
      </c>
      <c r="R14" s="45"/>
      <c r="S14" s="44">
        <f t="shared" si="0"/>
        <v>558354</v>
      </c>
      <c r="T14" s="45"/>
      <c r="U14" s="45">
        <v>10313356</v>
      </c>
      <c r="V14" s="35"/>
      <c r="W14" s="45">
        <v>0</v>
      </c>
    </row>
    <row r="15" spans="1:23" s="49" customFormat="1" ht="12.75" customHeight="1">
      <c r="A15" s="44" t="s">
        <v>20</v>
      </c>
      <c r="C15" s="44" t="s">
        <v>20</v>
      </c>
      <c r="D15" s="35"/>
      <c r="E15" s="45">
        <v>689031</v>
      </c>
      <c r="F15" s="45"/>
      <c r="G15" s="45">
        <v>5927148</v>
      </c>
      <c r="H15" s="45"/>
      <c r="I15" s="45">
        <v>0</v>
      </c>
      <c r="J15" s="45"/>
      <c r="K15" s="45">
        <v>794013</v>
      </c>
      <c r="L15" s="45"/>
      <c r="M15" s="45">
        <v>1624123</v>
      </c>
      <c r="N15" s="45"/>
      <c r="O15" s="45">
        <v>783</v>
      </c>
      <c r="P15" s="45"/>
      <c r="Q15" s="45">
        <f>613807+1120398</f>
        <v>1734205</v>
      </c>
      <c r="R15" s="45"/>
      <c r="S15" s="44">
        <f t="shared" si="0"/>
        <v>273610</v>
      </c>
      <c r="T15" s="45"/>
      <c r="U15" s="45">
        <v>11042913</v>
      </c>
      <c r="V15" s="35"/>
      <c r="W15" s="45">
        <v>67450</v>
      </c>
    </row>
    <row r="16" spans="1:23" s="49" customFormat="1" ht="12.75" customHeight="1">
      <c r="A16" s="44" t="s">
        <v>21</v>
      </c>
      <c r="C16" s="44" t="s">
        <v>22</v>
      </c>
      <c r="D16" s="35"/>
      <c r="E16" s="45">
        <v>1390149</v>
      </c>
      <c r="F16" s="45"/>
      <c r="G16" s="45">
        <v>10458103</v>
      </c>
      <c r="H16" s="45"/>
      <c r="I16" s="45">
        <v>737414</v>
      </c>
      <c r="J16" s="45"/>
      <c r="K16" s="45">
        <v>197433</v>
      </c>
      <c r="L16" s="45"/>
      <c r="M16" s="45">
        <v>545991</v>
      </c>
      <c r="N16" s="45"/>
      <c r="O16" s="45">
        <v>0</v>
      </c>
      <c r="P16" s="45"/>
      <c r="Q16" s="45">
        <f>209551+37372</f>
        <v>246923</v>
      </c>
      <c r="R16" s="45"/>
      <c r="S16" s="44">
        <f t="shared" si="0"/>
        <v>532319</v>
      </c>
      <c r="T16" s="45"/>
      <c r="U16" s="45">
        <v>14108332</v>
      </c>
      <c r="V16" s="35"/>
      <c r="W16" s="45">
        <v>13476</v>
      </c>
    </row>
    <row r="17" spans="1:23" s="49" customFormat="1" ht="12.75" customHeight="1">
      <c r="A17" s="44" t="s">
        <v>23</v>
      </c>
      <c r="C17" s="44" t="s">
        <v>17</v>
      </c>
      <c r="D17" s="35"/>
      <c r="E17" s="45">
        <v>1536406</v>
      </c>
      <c r="F17" s="45"/>
      <c r="G17" s="45">
        <v>4673625</v>
      </c>
      <c r="H17" s="45"/>
      <c r="I17" s="45">
        <v>0</v>
      </c>
      <c r="J17" s="45"/>
      <c r="K17" s="45">
        <v>650482</v>
      </c>
      <c r="L17" s="45"/>
      <c r="M17" s="45">
        <v>1115023</v>
      </c>
      <c r="N17" s="45"/>
      <c r="O17" s="45">
        <v>0</v>
      </c>
      <c r="P17" s="45"/>
      <c r="Q17" s="45">
        <f>811460+117822</f>
        <v>929282</v>
      </c>
      <c r="R17" s="45"/>
      <c r="S17" s="44">
        <f t="shared" si="0"/>
        <v>498377</v>
      </c>
      <c r="T17" s="45"/>
      <c r="U17" s="45">
        <v>9403195</v>
      </c>
      <c r="V17" s="35"/>
      <c r="W17" s="45">
        <v>2499208</v>
      </c>
    </row>
    <row r="18" spans="1:23" s="49" customFormat="1" ht="12.75" customHeight="1">
      <c r="A18" s="44" t="s">
        <v>24</v>
      </c>
      <c r="C18" s="44" t="s">
        <v>17</v>
      </c>
      <c r="D18" s="35"/>
      <c r="E18" s="45">
        <v>4118635</v>
      </c>
      <c r="F18" s="45"/>
      <c r="G18" s="45">
        <v>0</v>
      </c>
      <c r="H18" s="45"/>
      <c r="I18" s="45">
        <v>0</v>
      </c>
      <c r="J18" s="45"/>
      <c r="K18" s="45">
        <v>331172</v>
      </c>
      <c r="L18" s="45"/>
      <c r="M18" s="45">
        <v>1875347</v>
      </c>
      <c r="N18" s="45"/>
      <c r="O18" s="45">
        <v>0</v>
      </c>
      <c r="P18" s="45"/>
      <c r="Q18" s="45">
        <f>417986+245913</f>
        <v>663899</v>
      </c>
      <c r="R18" s="45"/>
      <c r="S18" s="44">
        <f t="shared" si="0"/>
        <v>118916</v>
      </c>
      <c r="T18" s="45"/>
      <c r="U18" s="45">
        <v>7107969</v>
      </c>
      <c r="V18" s="35"/>
      <c r="W18" s="45">
        <v>7203175</v>
      </c>
    </row>
    <row r="19" spans="1:23" s="49" customFormat="1" ht="12.75" customHeight="1">
      <c r="A19" s="44" t="s">
        <v>25</v>
      </c>
      <c r="C19" s="44" t="s">
        <v>13</v>
      </c>
      <c r="D19" s="35"/>
      <c r="E19" s="45">
        <v>1272428</v>
      </c>
      <c r="F19" s="45"/>
      <c r="G19" s="45">
        <v>10843018</v>
      </c>
      <c r="H19" s="45"/>
      <c r="I19" s="45">
        <v>0</v>
      </c>
      <c r="J19" s="45"/>
      <c r="K19" s="45">
        <v>1797000</v>
      </c>
      <c r="L19" s="45"/>
      <c r="M19" s="45">
        <v>3059602</v>
      </c>
      <c r="N19" s="45"/>
      <c r="O19" s="45">
        <v>0</v>
      </c>
      <c r="P19" s="45"/>
      <c r="Q19" s="45">
        <f>141944+91960</f>
        <v>233904</v>
      </c>
      <c r="R19" s="45"/>
      <c r="S19" s="44">
        <f t="shared" si="0"/>
        <v>822943</v>
      </c>
      <c r="T19" s="45"/>
      <c r="U19" s="45">
        <v>18028895</v>
      </c>
      <c r="V19" s="35"/>
      <c r="W19" s="45">
        <f>74015+4067</f>
        <v>78082</v>
      </c>
    </row>
    <row r="20" spans="1:23" s="49" customFormat="1" ht="12.75" customHeight="1">
      <c r="A20" s="44" t="s">
        <v>26</v>
      </c>
      <c r="C20" s="44" t="s">
        <v>27</v>
      </c>
      <c r="D20" s="35"/>
      <c r="E20" s="45">
        <v>3745549</v>
      </c>
      <c r="F20" s="45"/>
      <c r="G20" s="45">
        <v>5066993</v>
      </c>
      <c r="H20" s="45"/>
      <c r="I20" s="45">
        <v>0</v>
      </c>
      <c r="J20" s="45"/>
      <c r="K20" s="45">
        <v>140040</v>
      </c>
      <c r="L20" s="45"/>
      <c r="M20" s="45">
        <v>2020537</v>
      </c>
      <c r="N20" s="45"/>
      <c r="O20" s="45">
        <v>11695</v>
      </c>
      <c r="P20" s="45"/>
      <c r="Q20" s="45">
        <v>421105</v>
      </c>
      <c r="R20" s="45"/>
      <c r="S20" s="44">
        <f t="shared" si="0"/>
        <v>776255</v>
      </c>
      <c r="T20" s="45"/>
      <c r="U20" s="45">
        <v>12182174</v>
      </c>
      <c r="V20" s="35"/>
      <c r="W20" s="45">
        <v>0</v>
      </c>
    </row>
    <row r="21" spans="1:23" s="49" customFormat="1" ht="12.75" customHeight="1">
      <c r="A21" s="44" t="s">
        <v>28</v>
      </c>
      <c r="C21" s="44" t="s">
        <v>27</v>
      </c>
      <c r="D21" s="35"/>
      <c r="E21" s="45">
        <v>2589191</v>
      </c>
      <c r="F21" s="45"/>
      <c r="G21" s="45">
        <v>20440036</v>
      </c>
      <c r="H21" s="45"/>
      <c r="I21" s="45">
        <f>143979+809102+122662+4593353</f>
        <v>5669096</v>
      </c>
      <c r="J21" s="45"/>
      <c r="K21" s="45">
        <v>1782627</v>
      </c>
      <c r="L21" s="45"/>
      <c r="M21" s="45">
        <v>398475</v>
      </c>
      <c r="N21" s="45"/>
      <c r="O21" s="45">
        <v>0</v>
      </c>
      <c r="P21" s="45"/>
      <c r="Q21" s="45">
        <v>1261349</v>
      </c>
      <c r="R21" s="45"/>
      <c r="S21" s="44">
        <f t="shared" si="0"/>
        <v>2075144</v>
      </c>
      <c r="T21" s="45"/>
      <c r="U21" s="45">
        <v>34215918</v>
      </c>
      <c r="V21" s="35"/>
      <c r="W21" s="45">
        <v>0</v>
      </c>
    </row>
    <row r="22" spans="1:23" s="49" customFormat="1" ht="12.75" customHeight="1">
      <c r="A22" s="44" t="s">
        <v>29</v>
      </c>
      <c r="C22" s="44" t="s">
        <v>30</v>
      </c>
      <c r="D22" s="35"/>
      <c r="E22" s="45">
        <v>1239293</v>
      </c>
      <c r="F22" s="45"/>
      <c r="G22" s="45">
        <v>0</v>
      </c>
      <c r="H22" s="45"/>
      <c r="I22" s="45">
        <v>0</v>
      </c>
      <c r="J22" s="45"/>
      <c r="K22" s="45">
        <v>212073</v>
      </c>
      <c r="L22" s="45"/>
      <c r="M22" s="45">
        <v>2017691</v>
      </c>
      <c r="N22" s="45"/>
      <c r="O22" s="45">
        <v>109217</v>
      </c>
      <c r="P22" s="45"/>
      <c r="Q22" s="45">
        <v>355126</v>
      </c>
      <c r="R22" s="45"/>
      <c r="S22" s="44">
        <f t="shared" si="0"/>
        <v>282697</v>
      </c>
      <c r="T22" s="45"/>
      <c r="U22" s="45">
        <v>4216097</v>
      </c>
      <c r="V22" s="35"/>
      <c r="W22" s="45">
        <v>8529</v>
      </c>
    </row>
    <row r="23" spans="1:23" s="49" customFormat="1" ht="12.75" customHeight="1">
      <c r="A23" s="44" t="s">
        <v>31</v>
      </c>
      <c r="C23" s="44" t="s">
        <v>27</v>
      </c>
      <c r="D23" s="35"/>
      <c r="E23" s="45">
        <v>2434361</v>
      </c>
      <c r="F23" s="45"/>
      <c r="G23" s="45">
        <v>8720456</v>
      </c>
      <c r="H23" s="45"/>
      <c r="I23" s="45">
        <v>3476</v>
      </c>
      <c r="J23" s="45"/>
      <c r="K23" s="45">
        <v>312785</v>
      </c>
      <c r="L23" s="45"/>
      <c r="M23" s="45">
        <v>2396122</v>
      </c>
      <c r="N23" s="45"/>
      <c r="O23" s="45">
        <v>0</v>
      </c>
      <c r="P23" s="45"/>
      <c r="Q23" s="45">
        <v>1557365</v>
      </c>
      <c r="R23" s="45"/>
      <c r="S23" s="44">
        <f t="shared" si="0"/>
        <v>373915</v>
      </c>
      <c r="T23" s="45"/>
      <c r="U23" s="45">
        <v>15798480</v>
      </c>
      <c r="V23" s="35"/>
      <c r="W23" s="45">
        <f>76116+40845</f>
        <v>116961</v>
      </c>
    </row>
    <row r="24" spans="1:23" s="49" customFormat="1" ht="12.75" customHeight="1">
      <c r="A24" s="44" t="s">
        <v>32</v>
      </c>
      <c r="C24" s="44" t="s">
        <v>27</v>
      </c>
      <c r="D24" s="35"/>
      <c r="E24" s="45">
        <v>1556720</v>
      </c>
      <c r="F24" s="45"/>
      <c r="G24" s="45">
        <v>9492578</v>
      </c>
      <c r="H24" s="45"/>
      <c r="I24" s="45">
        <v>11998</v>
      </c>
      <c r="J24" s="45"/>
      <c r="K24" s="45">
        <v>4218599</v>
      </c>
      <c r="L24" s="45"/>
      <c r="M24" s="45">
        <v>1041233</v>
      </c>
      <c r="N24" s="45"/>
      <c r="O24" s="45">
        <v>0</v>
      </c>
      <c r="P24" s="45"/>
      <c r="Q24" s="45">
        <f>316061+150915</f>
        <v>466976</v>
      </c>
      <c r="R24" s="45"/>
      <c r="S24" s="44">
        <f t="shared" si="0"/>
        <v>418674</v>
      </c>
      <c r="T24" s="45"/>
      <c r="U24" s="45">
        <v>17206778</v>
      </c>
      <c r="V24" s="35"/>
      <c r="W24" s="45">
        <v>0</v>
      </c>
    </row>
    <row r="25" spans="1:23" s="49" customFormat="1" ht="12.75" customHeight="1">
      <c r="A25" s="46" t="s">
        <v>34</v>
      </c>
      <c r="B25" s="46"/>
      <c r="C25" s="46" t="s">
        <v>30</v>
      </c>
      <c r="D25" s="64"/>
      <c r="E25" s="45">
        <v>552500</v>
      </c>
      <c r="F25" s="45"/>
      <c r="G25" s="45">
        <v>0</v>
      </c>
      <c r="H25" s="45"/>
      <c r="I25" s="45">
        <v>0</v>
      </c>
      <c r="J25" s="45"/>
      <c r="K25" s="45">
        <v>25092</v>
      </c>
      <c r="L25" s="45"/>
      <c r="M25" s="45">
        <v>448047</v>
      </c>
      <c r="N25" s="45"/>
      <c r="O25" s="45">
        <v>0</v>
      </c>
      <c r="P25" s="45"/>
      <c r="Q25" s="45">
        <v>129529</v>
      </c>
      <c r="R25" s="45"/>
      <c r="S25" s="44">
        <f t="shared" si="0"/>
        <v>118487</v>
      </c>
      <c r="T25" s="45"/>
      <c r="U25" s="45">
        <v>1273655</v>
      </c>
      <c r="V25" s="35"/>
      <c r="W25" s="45">
        <v>0</v>
      </c>
    </row>
    <row r="26" spans="1:23" s="49" customFormat="1" ht="12.75" customHeight="1">
      <c r="A26" s="44" t="s">
        <v>35</v>
      </c>
      <c r="C26" s="44" t="s">
        <v>36</v>
      </c>
      <c r="D26" s="35"/>
      <c r="E26" s="45">
        <v>562331</v>
      </c>
      <c r="F26" s="45"/>
      <c r="G26" s="45">
        <v>5741697</v>
      </c>
      <c r="H26" s="45"/>
      <c r="I26" s="45">
        <v>23556</v>
      </c>
      <c r="J26" s="45"/>
      <c r="K26" s="45">
        <v>32000</v>
      </c>
      <c r="L26" s="45"/>
      <c r="M26" s="45">
        <v>747419</v>
      </c>
      <c r="N26" s="45"/>
      <c r="O26" s="45">
        <v>0</v>
      </c>
      <c r="P26" s="45"/>
      <c r="Q26" s="45">
        <f>79409+537622</f>
        <v>617031</v>
      </c>
      <c r="R26" s="45"/>
      <c r="S26" s="44">
        <f t="shared" si="0"/>
        <v>321722</v>
      </c>
      <c r="T26" s="45"/>
      <c r="U26" s="45">
        <v>8045756</v>
      </c>
      <c r="V26" s="35"/>
      <c r="W26" s="45">
        <v>0</v>
      </c>
    </row>
    <row r="27" spans="1:23" s="49" customFormat="1" ht="12.75" customHeight="1">
      <c r="A27" s="44" t="s">
        <v>37</v>
      </c>
      <c r="C27" s="44" t="s">
        <v>38</v>
      </c>
      <c r="D27" s="35"/>
      <c r="E27" s="45">
        <v>323748</v>
      </c>
      <c r="F27" s="45"/>
      <c r="G27" s="45">
        <v>3387592</v>
      </c>
      <c r="H27" s="45"/>
      <c r="I27" s="45">
        <v>0</v>
      </c>
      <c r="J27" s="45"/>
      <c r="K27" s="45">
        <v>133</v>
      </c>
      <c r="L27" s="45"/>
      <c r="M27" s="45">
        <v>729971</v>
      </c>
      <c r="N27" s="45"/>
      <c r="O27" s="45">
        <v>0</v>
      </c>
      <c r="P27" s="45"/>
      <c r="Q27" s="45">
        <f>55279+117288</f>
        <v>172567</v>
      </c>
      <c r="R27" s="45"/>
      <c r="S27" s="44">
        <f t="shared" si="0"/>
        <v>181886</v>
      </c>
      <c r="T27" s="45"/>
      <c r="U27" s="45">
        <v>4795897</v>
      </c>
      <c r="V27" s="35"/>
      <c r="W27" s="45">
        <v>358022</v>
      </c>
    </row>
    <row r="28" spans="1:23" s="49" customFormat="1" ht="12.75" customHeight="1">
      <c r="A28" s="46" t="s">
        <v>39</v>
      </c>
      <c r="B28" s="46"/>
      <c r="C28" s="46" t="s">
        <v>40</v>
      </c>
      <c r="D28" s="64"/>
      <c r="E28" s="45">
        <v>294231</v>
      </c>
      <c r="F28" s="45"/>
      <c r="G28" s="45">
        <v>1086144</v>
      </c>
      <c r="H28" s="45"/>
      <c r="I28" s="45">
        <v>588</v>
      </c>
      <c r="J28" s="45"/>
      <c r="K28" s="45">
        <v>195829</v>
      </c>
      <c r="L28" s="45"/>
      <c r="M28" s="45">
        <v>394679</v>
      </c>
      <c r="N28" s="45"/>
      <c r="O28" s="45">
        <v>0</v>
      </c>
      <c r="P28" s="45"/>
      <c r="Q28" s="45">
        <v>243795</v>
      </c>
      <c r="R28" s="45"/>
      <c r="S28" s="44">
        <f t="shared" si="0"/>
        <v>153937</v>
      </c>
      <c r="T28" s="45"/>
      <c r="U28" s="45">
        <v>2369203</v>
      </c>
      <c r="V28" s="35"/>
      <c r="W28" s="45">
        <v>0</v>
      </c>
    </row>
    <row r="29" spans="1:23" s="49" customFormat="1" ht="12.75" customHeight="1">
      <c r="A29" s="44" t="s">
        <v>41</v>
      </c>
      <c r="C29" s="44" t="s">
        <v>27</v>
      </c>
      <c r="D29" s="35"/>
      <c r="E29" s="45">
        <v>2023386</v>
      </c>
      <c r="F29" s="45"/>
      <c r="G29" s="45">
        <v>10928016</v>
      </c>
      <c r="H29" s="45"/>
      <c r="I29" s="45">
        <v>267231</v>
      </c>
      <c r="J29" s="45"/>
      <c r="K29" s="45">
        <v>156647</v>
      </c>
      <c r="L29" s="45"/>
      <c r="M29" s="45">
        <v>1474130</v>
      </c>
      <c r="N29" s="45"/>
      <c r="O29" s="45">
        <v>10520</v>
      </c>
      <c r="P29" s="45"/>
      <c r="Q29" s="45">
        <v>252075</v>
      </c>
      <c r="R29" s="45"/>
      <c r="S29" s="44">
        <f t="shared" si="0"/>
        <v>1736913</v>
      </c>
      <c r="T29" s="45"/>
      <c r="U29" s="45">
        <v>16848918</v>
      </c>
      <c r="V29" s="35"/>
      <c r="W29" s="45">
        <v>4160</v>
      </c>
    </row>
    <row r="30" spans="1:23" s="49" customFormat="1" ht="12.75" customHeight="1">
      <c r="A30" s="44" t="s">
        <v>42</v>
      </c>
      <c r="C30" s="44" t="s">
        <v>43</v>
      </c>
      <c r="D30" s="35"/>
      <c r="E30" s="45">
        <v>671284</v>
      </c>
      <c r="F30" s="45"/>
      <c r="G30" s="45">
        <v>6043906</v>
      </c>
      <c r="H30" s="45"/>
      <c r="I30" s="45">
        <v>1607646</v>
      </c>
      <c r="J30" s="45"/>
      <c r="K30" s="45">
        <v>0</v>
      </c>
      <c r="L30" s="45"/>
      <c r="M30" s="45">
        <v>1910973</v>
      </c>
      <c r="N30" s="45"/>
      <c r="O30" s="45">
        <v>0</v>
      </c>
      <c r="P30" s="45"/>
      <c r="Q30" s="45">
        <f>310352+78981</f>
        <v>389333</v>
      </c>
      <c r="R30" s="45"/>
      <c r="S30" s="44">
        <f t="shared" si="0"/>
        <v>-976783</v>
      </c>
      <c r="T30" s="45"/>
      <c r="U30" s="45">
        <v>9646359</v>
      </c>
      <c r="V30" s="35"/>
      <c r="W30" s="45">
        <f>1300000+6350+59044</f>
        <v>1365394</v>
      </c>
    </row>
    <row r="31" spans="1:23" s="49" customFormat="1" ht="12.75" customHeight="1">
      <c r="A31" s="44" t="s">
        <v>44</v>
      </c>
      <c r="C31" s="44" t="s">
        <v>45</v>
      </c>
      <c r="D31" s="35"/>
      <c r="E31" s="45">
        <v>113553</v>
      </c>
      <c r="F31" s="45"/>
      <c r="G31" s="45">
        <v>28934385</v>
      </c>
      <c r="H31" s="45"/>
      <c r="I31" s="45">
        <v>966974</v>
      </c>
      <c r="J31" s="45"/>
      <c r="K31" s="45">
        <v>715615</v>
      </c>
      <c r="L31" s="45"/>
      <c r="M31" s="45">
        <v>2267989</v>
      </c>
      <c r="N31" s="45"/>
      <c r="O31" s="45">
        <v>0</v>
      </c>
      <c r="P31" s="45"/>
      <c r="Q31" s="45">
        <v>335696</v>
      </c>
      <c r="R31" s="45"/>
      <c r="S31" s="44">
        <f t="shared" si="0"/>
        <v>2517059</v>
      </c>
      <c r="T31" s="45"/>
      <c r="U31" s="45">
        <v>35851271</v>
      </c>
      <c r="V31" s="35"/>
      <c r="W31" s="45">
        <v>72728</v>
      </c>
    </row>
    <row r="32" spans="1:23" s="49" customFormat="1" ht="12.75" customHeight="1">
      <c r="A32" s="44" t="s">
        <v>46</v>
      </c>
      <c r="C32" s="44" t="s">
        <v>47</v>
      </c>
      <c r="D32" s="35"/>
      <c r="E32" s="45">
        <v>1688620</v>
      </c>
      <c r="F32" s="45"/>
      <c r="G32" s="45">
        <v>5960406</v>
      </c>
      <c r="H32" s="45"/>
      <c r="I32" s="45">
        <v>2306469</v>
      </c>
      <c r="J32" s="45"/>
      <c r="K32" s="45">
        <v>1235370</v>
      </c>
      <c r="L32" s="45"/>
      <c r="M32" s="45">
        <v>2784546</v>
      </c>
      <c r="N32" s="45"/>
      <c r="O32" s="45">
        <v>0</v>
      </c>
      <c r="P32" s="45"/>
      <c r="Q32" s="45">
        <f>28063+626046</f>
        <v>654109</v>
      </c>
      <c r="R32" s="45"/>
      <c r="S32" s="44">
        <f t="shared" si="0"/>
        <v>857165</v>
      </c>
      <c r="T32" s="45"/>
      <c r="U32" s="45">
        <v>15486685</v>
      </c>
      <c r="V32" s="35"/>
      <c r="W32" s="45">
        <v>2577</v>
      </c>
    </row>
    <row r="33" spans="1:23" s="49" customFormat="1" ht="12.75" customHeight="1">
      <c r="A33" s="44" t="s">
        <v>48</v>
      </c>
      <c r="C33" s="44" t="s">
        <v>27</v>
      </c>
      <c r="D33" s="35"/>
      <c r="E33" s="45">
        <v>1874107</v>
      </c>
      <c r="F33" s="45"/>
      <c r="G33" s="45">
        <v>13117909</v>
      </c>
      <c r="H33" s="45"/>
      <c r="I33" s="45">
        <v>0</v>
      </c>
      <c r="J33" s="45"/>
      <c r="K33" s="45">
        <v>77775</v>
      </c>
      <c r="L33" s="45"/>
      <c r="M33" s="45">
        <v>1316743</v>
      </c>
      <c r="N33" s="45"/>
      <c r="O33" s="45">
        <v>0</v>
      </c>
      <c r="P33" s="45"/>
      <c r="Q33" s="45">
        <f>313727+285538</f>
        <v>599265</v>
      </c>
      <c r="R33" s="45"/>
      <c r="S33" s="44">
        <f t="shared" si="0"/>
        <v>756188</v>
      </c>
      <c r="T33" s="45"/>
      <c r="U33" s="45">
        <v>17741987</v>
      </c>
      <c r="V33" s="35"/>
      <c r="W33" s="45">
        <f>68595+254555</f>
        <v>323150</v>
      </c>
    </row>
    <row r="34" spans="1:23" s="49" customFormat="1" ht="12.75" customHeight="1">
      <c r="A34" s="44" t="s">
        <v>49</v>
      </c>
      <c r="C34" s="44" t="s">
        <v>27</v>
      </c>
      <c r="D34" s="35"/>
      <c r="E34" s="45">
        <v>8614671</v>
      </c>
      <c r="F34" s="45"/>
      <c r="G34" s="45">
        <v>0</v>
      </c>
      <c r="H34" s="45"/>
      <c r="I34" s="45">
        <v>0</v>
      </c>
      <c r="J34" s="45"/>
      <c r="K34" s="45">
        <v>504434</v>
      </c>
      <c r="L34" s="45"/>
      <c r="M34" s="45">
        <v>890384</v>
      </c>
      <c r="N34" s="45"/>
      <c r="O34" s="45">
        <v>24538</v>
      </c>
      <c r="P34" s="45"/>
      <c r="Q34" s="45">
        <f>618464+244343</f>
        <v>862807</v>
      </c>
      <c r="R34" s="45"/>
      <c r="S34" s="44">
        <f t="shared" si="0"/>
        <v>170791</v>
      </c>
      <c r="T34" s="45"/>
      <c r="U34" s="45">
        <v>11067625</v>
      </c>
      <c r="V34" s="35"/>
      <c r="W34" s="45">
        <v>0</v>
      </c>
    </row>
    <row r="35" spans="1:23" s="49" customFormat="1" ht="12.75" customHeight="1">
      <c r="A35" s="44" t="s">
        <v>50</v>
      </c>
      <c r="C35" s="44" t="s">
        <v>27</v>
      </c>
      <c r="D35" s="35"/>
      <c r="E35" s="45">
        <v>1953167</v>
      </c>
      <c r="F35" s="45"/>
      <c r="G35" s="45">
        <v>13718190</v>
      </c>
      <c r="H35" s="44"/>
      <c r="I35" s="45">
        <v>358969</v>
      </c>
      <c r="J35" s="45"/>
      <c r="K35" s="45">
        <v>918344</v>
      </c>
      <c r="L35" s="45"/>
      <c r="M35" s="45">
        <v>1917900</v>
      </c>
      <c r="N35" s="45"/>
      <c r="O35" s="45">
        <v>0</v>
      </c>
      <c r="P35" s="45"/>
      <c r="Q35" s="45">
        <v>328130</v>
      </c>
      <c r="R35" s="45"/>
      <c r="S35" s="44">
        <f t="shared" si="0"/>
        <v>1204164</v>
      </c>
      <c r="T35" s="45"/>
      <c r="U35" s="45">
        <v>20398864</v>
      </c>
      <c r="V35" s="35"/>
      <c r="W35" s="45">
        <v>12573</v>
      </c>
    </row>
    <row r="36" spans="1:23" s="49" customFormat="1" ht="12.75" customHeight="1">
      <c r="A36" s="44" t="s">
        <v>51</v>
      </c>
      <c r="C36" s="44" t="s">
        <v>27</v>
      </c>
      <c r="D36" s="35"/>
      <c r="E36" s="45">
        <v>1116134</v>
      </c>
      <c r="F36" s="45"/>
      <c r="G36" s="45">
        <v>10302720</v>
      </c>
      <c r="H36" s="45"/>
      <c r="I36" s="45">
        <v>0</v>
      </c>
      <c r="J36" s="45"/>
      <c r="K36" s="45">
        <v>1079706</v>
      </c>
      <c r="L36" s="45"/>
      <c r="M36" s="45">
        <v>1516155</v>
      </c>
      <c r="N36" s="45"/>
      <c r="O36" s="45">
        <v>0</v>
      </c>
      <c r="P36" s="45"/>
      <c r="Q36" s="45">
        <v>550714</v>
      </c>
      <c r="R36" s="45"/>
      <c r="S36" s="44">
        <f>U36-E36-G36-K36-M36-O36-Q36-I36</f>
        <v>428526</v>
      </c>
      <c r="T36" s="45"/>
      <c r="U36" s="45">
        <v>14993955</v>
      </c>
      <c r="V36" s="35"/>
      <c r="W36" s="45">
        <v>0</v>
      </c>
    </row>
    <row r="37" spans="1:23" s="49" customFormat="1" ht="12.75" customHeight="1">
      <c r="A37" s="44" t="s">
        <v>462</v>
      </c>
      <c r="C37" s="44" t="s">
        <v>66</v>
      </c>
      <c r="D37" s="35"/>
      <c r="E37" s="45">
        <v>135832</v>
      </c>
      <c r="F37" s="45"/>
      <c r="G37" s="45">
        <v>2330025</v>
      </c>
      <c r="H37" s="45"/>
      <c r="I37" s="45">
        <v>0</v>
      </c>
      <c r="J37" s="45"/>
      <c r="K37" s="45">
        <v>590942</v>
      </c>
      <c r="L37" s="45"/>
      <c r="M37" s="45">
        <v>275817</v>
      </c>
      <c r="N37" s="45"/>
      <c r="O37" s="45">
        <v>0</v>
      </c>
      <c r="P37" s="45"/>
      <c r="Q37" s="45">
        <v>129192</v>
      </c>
      <c r="R37" s="45"/>
      <c r="S37" s="44">
        <f t="shared" si="0"/>
        <v>109187</v>
      </c>
      <c r="T37" s="45"/>
      <c r="U37" s="45">
        <v>3570995</v>
      </c>
      <c r="V37" s="35"/>
      <c r="W37" s="45">
        <f>10715+18145</f>
        <v>28860</v>
      </c>
    </row>
    <row r="38" spans="1:23" s="49" customFormat="1" ht="12.75" customHeight="1">
      <c r="A38" s="44" t="s">
        <v>52</v>
      </c>
      <c r="C38" s="44" t="s">
        <v>53</v>
      </c>
      <c r="D38" s="35"/>
      <c r="E38" s="45">
        <v>1752755</v>
      </c>
      <c r="F38" s="45"/>
      <c r="G38" s="45">
        <v>3612290</v>
      </c>
      <c r="H38" s="45"/>
      <c r="I38" s="45">
        <v>0</v>
      </c>
      <c r="J38" s="45"/>
      <c r="K38" s="45">
        <v>170598</v>
      </c>
      <c r="L38" s="45"/>
      <c r="M38" s="45">
        <v>1492241</v>
      </c>
      <c r="N38" s="45"/>
      <c r="O38" s="45">
        <v>0</v>
      </c>
      <c r="P38" s="45"/>
      <c r="Q38" s="45">
        <v>548882</v>
      </c>
      <c r="R38" s="45"/>
      <c r="S38" s="44">
        <f t="shared" si="0"/>
        <v>832658</v>
      </c>
      <c r="T38" s="45"/>
      <c r="U38" s="45">
        <v>8409424</v>
      </c>
      <c r="V38" s="35"/>
      <c r="W38" s="45">
        <v>0</v>
      </c>
    </row>
    <row r="39" spans="1:23" s="49" customFormat="1" ht="12.75" customHeight="1">
      <c r="A39" s="44" t="s">
        <v>54</v>
      </c>
      <c r="C39" s="44" t="s">
        <v>55</v>
      </c>
      <c r="D39" s="35"/>
      <c r="E39" s="45">
        <v>1368611</v>
      </c>
      <c r="F39" s="45"/>
      <c r="G39" s="45">
        <v>0</v>
      </c>
      <c r="H39" s="45"/>
      <c r="I39" s="45">
        <v>0</v>
      </c>
      <c r="J39" s="45"/>
      <c r="K39" s="45">
        <v>139106</v>
      </c>
      <c r="L39" s="45"/>
      <c r="M39" s="45">
        <v>622325</v>
      </c>
      <c r="N39" s="45"/>
      <c r="O39" s="45">
        <v>0</v>
      </c>
      <c r="P39" s="45"/>
      <c r="Q39" s="45">
        <f>31829+583582</f>
        <v>615411</v>
      </c>
      <c r="R39" s="45"/>
      <c r="S39" s="44">
        <f t="shared" si="0"/>
        <v>546189</v>
      </c>
      <c r="T39" s="45"/>
      <c r="U39" s="45">
        <v>3291642</v>
      </c>
      <c r="V39" s="35"/>
      <c r="W39" s="45">
        <f>5848+2200000</f>
        <v>2205848</v>
      </c>
    </row>
    <row r="40" spans="1:23" s="49" customFormat="1" ht="12.75" customHeight="1">
      <c r="A40" s="44" t="s">
        <v>56</v>
      </c>
      <c r="C40" s="44" t="s">
        <v>57</v>
      </c>
      <c r="D40" s="35"/>
      <c r="E40" s="45">
        <v>553663</v>
      </c>
      <c r="F40" s="45"/>
      <c r="G40" s="45">
        <v>2791202</v>
      </c>
      <c r="H40" s="45"/>
      <c r="I40" s="45">
        <v>32881</v>
      </c>
      <c r="J40" s="45"/>
      <c r="K40" s="45">
        <v>353635</v>
      </c>
      <c r="L40" s="45"/>
      <c r="M40" s="45">
        <v>918713</v>
      </c>
      <c r="N40" s="45"/>
      <c r="O40" s="45">
        <v>0</v>
      </c>
      <c r="P40" s="45"/>
      <c r="Q40" s="45">
        <f>53647+30691</f>
        <v>84338</v>
      </c>
      <c r="R40" s="45"/>
      <c r="S40" s="44">
        <f t="shared" si="0"/>
        <v>351697</v>
      </c>
      <c r="T40" s="45"/>
      <c r="U40" s="45">
        <v>5086129</v>
      </c>
      <c r="V40" s="35"/>
      <c r="W40" s="45">
        <f>1525+10845</f>
        <v>12370</v>
      </c>
    </row>
    <row r="41" spans="1:23" s="49" customFormat="1" ht="12.75" customHeight="1">
      <c r="A41" s="44" t="s">
        <v>58</v>
      </c>
      <c r="C41" s="44" t="s">
        <v>59</v>
      </c>
      <c r="D41" s="35"/>
      <c r="E41" s="45">
        <v>313376</v>
      </c>
      <c r="F41" s="45"/>
      <c r="G41" s="45">
        <v>3140500</v>
      </c>
      <c r="H41" s="45"/>
      <c r="I41" s="45">
        <v>0</v>
      </c>
      <c r="J41" s="45"/>
      <c r="K41" s="45">
        <v>0</v>
      </c>
      <c r="L41" s="45"/>
      <c r="M41" s="45">
        <v>1012435</v>
      </c>
      <c r="N41" s="45"/>
      <c r="O41" s="45">
        <v>0</v>
      </c>
      <c r="P41" s="45"/>
      <c r="Q41" s="45">
        <f>146304+760047</f>
        <v>906351</v>
      </c>
      <c r="R41" s="45"/>
      <c r="S41" s="44">
        <f t="shared" si="0"/>
        <v>493703</v>
      </c>
      <c r="T41" s="45"/>
      <c r="U41" s="45">
        <v>5866365</v>
      </c>
      <c r="V41" s="35"/>
      <c r="W41" s="45">
        <v>0</v>
      </c>
    </row>
    <row r="42" spans="1:23" s="49" customFormat="1" ht="12.75" customHeight="1">
      <c r="A42" s="46" t="s">
        <v>476</v>
      </c>
      <c r="B42" s="46"/>
      <c r="C42" s="46" t="s">
        <v>15</v>
      </c>
      <c r="D42" s="64"/>
      <c r="E42" s="45">
        <v>214192</v>
      </c>
      <c r="F42" s="45"/>
      <c r="G42" s="45">
        <v>1681739</v>
      </c>
      <c r="H42" s="45"/>
      <c r="I42" s="45">
        <v>0</v>
      </c>
      <c r="J42" s="45"/>
      <c r="K42" s="45">
        <v>1717</v>
      </c>
      <c r="L42" s="45"/>
      <c r="M42" s="45">
        <v>344090</v>
      </c>
      <c r="N42" s="45"/>
      <c r="O42" s="45">
        <v>0</v>
      </c>
      <c r="P42" s="45"/>
      <c r="Q42" s="45">
        <v>24768</v>
      </c>
      <c r="R42" s="45"/>
      <c r="S42" s="44">
        <f t="shared" si="0"/>
        <v>57579</v>
      </c>
      <c r="T42" s="45"/>
      <c r="U42" s="45">
        <v>2324085</v>
      </c>
      <c r="V42" s="35"/>
      <c r="W42" s="45">
        <v>0</v>
      </c>
    </row>
    <row r="43" spans="1:23" s="49" customFormat="1" ht="12.75" customHeight="1">
      <c r="A43" s="44" t="s">
        <v>60</v>
      </c>
      <c r="C43" s="44" t="s">
        <v>61</v>
      </c>
      <c r="D43" s="35"/>
      <c r="E43" s="45">
        <v>0</v>
      </c>
      <c r="F43" s="45"/>
      <c r="G43" s="45">
        <v>2456525</v>
      </c>
      <c r="H43" s="45"/>
      <c r="I43" s="45">
        <v>0</v>
      </c>
      <c r="J43" s="45"/>
      <c r="K43" s="45">
        <v>224608</v>
      </c>
      <c r="L43" s="45"/>
      <c r="M43" s="45">
        <v>405257</v>
      </c>
      <c r="N43" s="45"/>
      <c r="O43" s="45">
        <v>500</v>
      </c>
      <c r="P43" s="45"/>
      <c r="Q43" s="45">
        <f>106678+49452</f>
        <v>156130</v>
      </c>
      <c r="R43" s="45"/>
      <c r="S43" s="44">
        <f t="shared" si="0"/>
        <v>-67473</v>
      </c>
      <c r="T43" s="45"/>
      <c r="U43" s="45">
        <v>3175547</v>
      </c>
      <c r="V43" s="35"/>
      <c r="W43" s="45">
        <f>4036+3487</f>
        <v>7523</v>
      </c>
    </row>
    <row r="44" spans="1:23" s="49" customFormat="1" ht="12.75" customHeight="1">
      <c r="A44" s="46" t="s">
        <v>62</v>
      </c>
      <c r="B44" s="46"/>
      <c r="C44" s="46" t="s">
        <v>15</v>
      </c>
      <c r="D44" s="64"/>
      <c r="E44" s="45">
        <v>4385206</v>
      </c>
      <c r="F44" s="45"/>
      <c r="G44" s="45">
        <v>33342867</v>
      </c>
      <c r="H44" s="45"/>
      <c r="I44" s="45">
        <v>0</v>
      </c>
      <c r="J44" s="45"/>
      <c r="K44" s="45">
        <v>9357536</v>
      </c>
      <c r="L44" s="45"/>
      <c r="M44" s="45">
        <v>6873769</v>
      </c>
      <c r="N44" s="45"/>
      <c r="O44" s="45">
        <v>0</v>
      </c>
      <c r="P44" s="45"/>
      <c r="Q44" s="45">
        <f>1281245+254139</f>
        <v>1535384</v>
      </c>
      <c r="R44" s="45"/>
      <c r="S44" s="44">
        <f t="shared" si="0"/>
        <v>2536411</v>
      </c>
      <c r="T44" s="45"/>
      <c r="U44" s="45">
        <v>58031173</v>
      </c>
      <c r="V44" s="35"/>
      <c r="W44" s="45">
        <v>2</v>
      </c>
    </row>
    <row r="45" spans="1:23" s="49" customFormat="1" ht="12.75" customHeight="1">
      <c r="A45" s="44" t="s">
        <v>485</v>
      </c>
      <c r="C45" s="44" t="s">
        <v>111</v>
      </c>
      <c r="D45" s="35"/>
      <c r="E45" s="45">
        <v>81605</v>
      </c>
      <c r="F45" s="45"/>
      <c r="G45" s="45">
        <v>545556</v>
      </c>
      <c r="H45" s="45"/>
      <c r="I45" s="45">
        <v>0</v>
      </c>
      <c r="J45" s="45"/>
      <c r="K45" s="45">
        <v>0</v>
      </c>
      <c r="L45" s="45"/>
      <c r="M45" s="45">
        <v>157359</v>
      </c>
      <c r="N45" s="45"/>
      <c r="O45" s="45">
        <v>49023</v>
      </c>
      <c r="P45" s="45"/>
      <c r="Q45" s="45">
        <f>83946+61591</f>
        <v>145537</v>
      </c>
      <c r="R45" s="45"/>
      <c r="S45" s="44">
        <f>U45-E45-G45-K45-M45-O45-Q45-I45</f>
        <v>201836</v>
      </c>
      <c r="T45" s="45"/>
      <c r="U45" s="45">
        <v>1180916</v>
      </c>
      <c r="V45" s="35"/>
      <c r="W45" s="45">
        <v>0</v>
      </c>
    </row>
    <row r="46" spans="1:23" s="49" customFormat="1" ht="12.75" customHeight="1">
      <c r="A46" s="44" t="s">
        <v>63</v>
      </c>
      <c r="C46" s="44" t="s">
        <v>64</v>
      </c>
      <c r="D46" s="35"/>
      <c r="E46" s="45">
        <v>293086</v>
      </c>
      <c r="F46" s="45"/>
      <c r="G46" s="45">
        <v>2795024</v>
      </c>
      <c r="H46" s="45"/>
      <c r="I46" s="45">
        <v>572183</v>
      </c>
      <c r="J46" s="45"/>
      <c r="K46" s="45">
        <v>357196</v>
      </c>
      <c r="L46" s="45"/>
      <c r="M46" s="45">
        <v>996348</v>
      </c>
      <c r="N46" s="45"/>
      <c r="O46" s="45">
        <v>0</v>
      </c>
      <c r="P46" s="45"/>
      <c r="Q46" s="45">
        <f>106710+348430</f>
        <v>455140</v>
      </c>
      <c r="R46" s="45"/>
      <c r="S46" s="44">
        <f t="shared" si="0"/>
        <v>348466</v>
      </c>
      <c r="T46" s="45"/>
      <c r="U46" s="45">
        <v>5817443</v>
      </c>
      <c r="V46" s="35"/>
      <c r="W46" s="45">
        <v>0</v>
      </c>
    </row>
    <row r="47" spans="1:23" s="49" customFormat="1" ht="12.75" customHeight="1">
      <c r="A47" s="44" t="s">
        <v>65</v>
      </c>
      <c r="C47" s="44" t="s">
        <v>66</v>
      </c>
      <c r="D47" s="35"/>
      <c r="E47" s="45">
        <v>12141850</v>
      </c>
      <c r="F47" s="45"/>
      <c r="G47" s="45">
        <v>0</v>
      </c>
      <c r="H47" s="45"/>
      <c r="I47" s="45">
        <v>0</v>
      </c>
      <c r="J47" s="45"/>
      <c r="K47" s="45">
        <v>52262</v>
      </c>
      <c r="L47" s="45"/>
      <c r="M47" s="45">
        <v>3123345</v>
      </c>
      <c r="N47" s="45"/>
      <c r="O47" s="45">
        <v>10614</v>
      </c>
      <c r="P47" s="45"/>
      <c r="Q47" s="45">
        <v>232122</v>
      </c>
      <c r="R47" s="45"/>
      <c r="S47" s="44">
        <f t="shared" si="0"/>
        <v>631786</v>
      </c>
      <c r="T47" s="45"/>
      <c r="U47" s="45">
        <v>16191979</v>
      </c>
      <c r="V47" s="35"/>
      <c r="W47" s="45">
        <v>0</v>
      </c>
    </row>
    <row r="48" spans="1:23" s="49" customFormat="1" ht="12.75" customHeight="1">
      <c r="A48" s="44" t="s">
        <v>67</v>
      </c>
      <c r="C48" s="44" t="s">
        <v>375</v>
      </c>
      <c r="D48" s="35"/>
      <c r="E48" s="45">
        <v>437460</v>
      </c>
      <c r="F48" s="45"/>
      <c r="G48" s="45">
        <v>5131012</v>
      </c>
      <c r="H48" s="45"/>
      <c r="I48" s="45">
        <v>0</v>
      </c>
      <c r="J48" s="45"/>
      <c r="K48" s="45">
        <v>89288</v>
      </c>
      <c r="L48" s="45"/>
      <c r="M48" s="45">
        <v>342713</v>
      </c>
      <c r="N48" s="45"/>
      <c r="O48" s="45">
        <v>0</v>
      </c>
      <c r="P48" s="45"/>
      <c r="Q48" s="45">
        <f>261978+885820</f>
        <v>1147798</v>
      </c>
      <c r="R48" s="45"/>
      <c r="S48" s="44">
        <f t="shared" si="0"/>
        <v>774543</v>
      </c>
      <c r="T48" s="45"/>
      <c r="U48" s="45">
        <v>7922814</v>
      </c>
      <c r="V48" s="35"/>
      <c r="W48" s="45">
        <v>5000</v>
      </c>
    </row>
    <row r="49" spans="1:23" s="49" customFormat="1" ht="12.75" customHeight="1">
      <c r="A49" s="44" t="s">
        <v>68</v>
      </c>
      <c r="C49" s="44" t="s">
        <v>45</v>
      </c>
      <c r="D49" s="35"/>
      <c r="E49" s="45">
        <v>1094111</v>
      </c>
      <c r="F49" s="45"/>
      <c r="G49" s="45">
        <v>1817852</v>
      </c>
      <c r="H49" s="45"/>
      <c r="I49" s="45">
        <v>70677</v>
      </c>
      <c r="J49" s="45"/>
      <c r="K49" s="45">
        <v>173162</v>
      </c>
      <c r="L49" s="45"/>
      <c r="M49" s="45">
        <v>625855</v>
      </c>
      <c r="N49" s="45"/>
      <c r="O49" s="45">
        <v>0</v>
      </c>
      <c r="P49" s="45"/>
      <c r="Q49" s="45">
        <v>20328</v>
      </c>
      <c r="R49" s="45"/>
      <c r="S49" s="44">
        <f t="shared" si="0"/>
        <v>199313</v>
      </c>
      <c r="T49" s="45"/>
      <c r="U49" s="45">
        <v>4001298</v>
      </c>
      <c r="V49" s="35"/>
      <c r="W49" s="45">
        <v>58179</v>
      </c>
    </row>
    <row r="50" spans="1:23" s="49" customFormat="1" ht="12.75" customHeight="1">
      <c r="A50" s="44" t="s">
        <v>69</v>
      </c>
      <c r="C50" s="44" t="s">
        <v>70</v>
      </c>
      <c r="D50" s="35"/>
      <c r="E50" s="45">
        <v>981179</v>
      </c>
      <c r="F50" s="45"/>
      <c r="G50" s="45">
        <v>8328140</v>
      </c>
      <c r="H50" s="45"/>
      <c r="I50" s="45">
        <v>190237</v>
      </c>
      <c r="J50" s="45"/>
      <c r="K50" s="45">
        <v>2046282</v>
      </c>
      <c r="L50" s="45"/>
      <c r="M50" s="45">
        <v>2797885</v>
      </c>
      <c r="N50" s="45"/>
      <c r="O50" s="45">
        <v>21631</v>
      </c>
      <c r="P50" s="45"/>
      <c r="Q50" s="45">
        <v>1968044</v>
      </c>
      <c r="R50" s="45"/>
      <c r="S50" s="44">
        <f t="shared" si="0"/>
        <v>841631</v>
      </c>
      <c r="T50" s="45"/>
      <c r="U50" s="45">
        <v>17175029</v>
      </c>
      <c r="V50" s="35"/>
      <c r="W50" s="45">
        <f>25731+729917</f>
        <v>755648</v>
      </c>
    </row>
    <row r="51" spans="1:23" s="49" customFormat="1" ht="12.75" customHeight="1">
      <c r="A51" s="46" t="s">
        <v>71</v>
      </c>
      <c r="B51" s="46"/>
      <c r="C51" s="46" t="s">
        <v>45</v>
      </c>
      <c r="D51" s="64"/>
      <c r="E51" s="45">
        <v>258435</v>
      </c>
      <c r="F51" s="45"/>
      <c r="G51" s="45">
        <v>0</v>
      </c>
      <c r="H51" s="45"/>
      <c r="I51" s="45">
        <v>0</v>
      </c>
      <c r="J51" s="45"/>
      <c r="K51" s="45">
        <v>18153</v>
      </c>
      <c r="L51" s="45"/>
      <c r="M51" s="45">
        <v>51548</v>
      </c>
      <c r="N51" s="45"/>
      <c r="O51" s="45">
        <v>0</v>
      </c>
      <c r="P51" s="45"/>
      <c r="Q51" s="45">
        <v>7736</v>
      </c>
      <c r="R51" s="45"/>
      <c r="S51" s="44">
        <f t="shared" si="0"/>
        <v>20574</v>
      </c>
      <c r="T51" s="45"/>
      <c r="U51" s="45">
        <v>356446</v>
      </c>
      <c r="V51" s="35"/>
      <c r="W51" s="45">
        <v>363</v>
      </c>
    </row>
    <row r="52" spans="1:23" s="49" customFormat="1" ht="12.75" customHeight="1">
      <c r="A52" s="44" t="s">
        <v>463</v>
      </c>
      <c r="C52" s="44" t="s">
        <v>464</v>
      </c>
      <c r="D52" s="35"/>
      <c r="E52" s="45">
        <v>786735</v>
      </c>
      <c r="F52" s="45"/>
      <c r="G52" s="45">
        <v>1372115</v>
      </c>
      <c r="H52" s="45"/>
      <c r="I52" s="45">
        <v>172125</v>
      </c>
      <c r="J52" s="45"/>
      <c r="K52" s="45">
        <v>291821</v>
      </c>
      <c r="L52" s="45"/>
      <c r="M52" s="45">
        <v>1349632</v>
      </c>
      <c r="N52" s="45"/>
      <c r="O52" s="45">
        <v>0</v>
      </c>
      <c r="P52" s="45"/>
      <c r="Q52" s="45">
        <f>267388+560265</f>
        <v>827653</v>
      </c>
      <c r="R52" s="45"/>
      <c r="S52" s="44">
        <f t="shared" si="0"/>
        <v>392478</v>
      </c>
      <c r="T52" s="45"/>
      <c r="U52" s="45">
        <v>5192559</v>
      </c>
      <c r="V52" s="35"/>
      <c r="W52" s="45">
        <v>24227</v>
      </c>
    </row>
    <row r="53" spans="1:23" s="49" customFormat="1" ht="12.75" customHeight="1">
      <c r="A53" s="44" t="s">
        <v>72</v>
      </c>
      <c r="C53" s="44" t="s">
        <v>66</v>
      </c>
      <c r="D53" s="35"/>
      <c r="E53" s="45">
        <v>375344</v>
      </c>
      <c r="F53" s="45"/>
      <c r="G53" s="45">
        <v>1277068</v>
      </c>
      <c r="H53" s="45"/>
      <c r="I53" s="45">
        <v>98690</v>
      </c>
      <c r="J53" s="45"/>
      <c r="K53" s="45">
        <v>62713</v>
      </c>
      <c r="L53" s="45"/>
      <c r="M53" s="45">
        <v>585452</v>
      </c>
      <c r="N53" s="45"/>
      <c r="O53" s="45">
        <v>0</v>
      </c>
      <c r="P53" s="45"/>
      <c r="Q53" s="45">
        <v>9881</v>
      </c>
      <c r="R53" s="45"/>
      <c r="S53" s="44">
        <f t="shared" si="0"/>
        <v>227186</v>
      </c>
      <c r="T53" s="45"/>
      <c r="U53" s="45">
        <v>2636334</v>
      </c>
      <c r="V53" s="35"/>
      <c r="W53" s="45">
        <v>0</v>
      </c>
    </row>
    <row r="54" spans="1:23" s="49" customFormat="1" ht="12.75" customHeight="1">
      <c r="A54" s="44" t="s">
        <v>73</v>
      </c>
      <c r="C54" s="44" t="s">
        <v>27</v>
      </c>
      <c r="D54" s="35"/>
      <c r="E54" s="45">
        <v>42907000</v>
      </c>
      <c r="F54" s="45"/>
      <c r="G54" s="45">
        <v>290191000</v>
      </c>
      <c r="H54" s="45"/>
      <c r="I54" s="45">
        <v>0</v>
      </c>
      <c r="J54" s="45"/>
      <c r="K54" s="45">
        <v>20807000</v>
      </c>
      <c r="L54" s="45"/>
      <c r="M54" s="45">
        <v>2740000</v>
      </c>
      <c r="N54" s="45"/>
      <c r="O54" s="45">
        <v>0</v>
      </c>
      <c r="P54" s="45"/>
      <c r="Q54" s="45">
        <v>27319000</v>
      </c>
      <c r="R54" s="45"/>
      <c r="S54" s="44">
        <f t="shared" ref="S54:S72" si="1">U54-E54-G54-K54-M54-O54-Q54-I54</f>
        <v>121257000</v>
      </c>
      <c r="T54" s="45"/>
      <c r="U54" s="45">
        <v>505221000</v>
      </c>
      <c r="V54" s="35"/>
      <c r="W54" s="45">
        <f>6674000+274000</f>
        <v>6948000</v>
      </c>
    </row>
    <row r="55" spans="1:23" s="49" customFormat="1" ht="12.75" hidden="1" customHeight="1">
      <c r="A55" s="44" t="s">
        <v>74</v>
      </c>
      <c r="C55" s="44" t="s">
        <v>27</v>
      </c>
      <c r="D55" s="3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4">
        <f t="shared" si="1"/>
        <v>0</v>
      </c>
      <c r="T55" s="45"/>
      <c r="U55" s="45"/>
      <c r="V55" s="35"/>
      <c r="W55" s="45"/>
    </row>
    <row r="56" spans="1:23" s="49" customFormat="1" ht="12.75" customHeight="1">
      <c r="A56" s="44" t="s">
        <v>75</v>
      </c>
      <c r="C56" s="44" t="s">
        <v>76</v>
      </c>
      <c r="D56" s="35"/>
      <c r="E56" s="45">
        <v>800612</v>
      </c>
      <c r="F56" s="45"/>
      <c r="G56" s="45">
        <v>2554435</v>
      </c>
      <c r="H56" s="45"/>
      <c r="I56" s="45">
        <v>0</v>
      </c>
      <c r="J56" s="45"/>
      <c r="K56" s="45">
        <v>187307</v>
      </c>
      <c r="L56" s="45"/>
      <c r="M56" s="45">
        <v>284177</v>
      </c>
      <c r="N56" s="45"/>
      <c r="O56" s="45">
        <v>29957</v>
      </c>
      <c r="P56" s="45"/>
      <c r="Q56" s="45">
        <f>51722+12744</f>
        <v>64466</v>
      </c>
      <c r="R56" s="45"/>
      <c r="S56" s="44">
        <f t="shared" si="1"/>
        <v>409615</v>
      </c>
      <c r="T56" s="45"/>
      <c r="U56" s="45">
        <v>4330569</v>
      </c>
      <c r="V56" s="35"/>
      <c r="W56" s="45">
        <f>169841+1600000+161362</f>
        <v>1931203</v>
      </c>
    </row>
    <row r="57" spans="1:23" s="49" customFormat="1" ht="12.75" customHeight="1">
      <c r="A57" s="44" t="s">
        <v>77</v>
      </c>
      <c r="C57" s="44" t="s">
        <v>43</v>
      </c>
      <c r="D57" s="35"/>
      <c r="E57" s="45">
        <v>52515000</v>
      </c>
      <c r="F57" s="45"/>
      <c r="G57" s="45">
        <v>386596000</v>
      </c>
      <c r="H57" s="45"/>
      <c r="I57" s="45">
        <v>0</v>
      </c>
      <c r="J57" s="45"/>
      <c r="K57" s="45">
        <v>54478000</v>
      </c>
      <c r="L57" s="45"/>
      <c r="M57" s="45">
        <v>58223000</v>
      </c>
      <c r="N57" s="45"/>
      <c r="O57" s="45">
        <v>0</v>
      </c>
      <c r="P57" s="45"/>
      <c r="Q57" s="45">
        <f>21403000+9216000</f>
        <v>30619000</v>
      </c>
      <c r="R57" s="45"/>
      <c r="S57" s="44">
        <f t="shared" si="1"/>
        <v>38971000</v>
      </c>
      <c r="T57" s="45"/>
      <c r="U57" s="45">
        <v>621402000</v>
      </c>
      <c r="V57" s="35"/>
      <c r="W57" s="45">
        <v>25427000</v>
      </c>
    </row>
    <row r="58" spans="1:23" s="49" customFormat="1" ht="12.75" customHeight="1">
      <c r="A58" s="44" t="s">
        <v>94</v>
      </c>
      <c r="C58" s="44" t="s">
        <v>94</v>
      </c>
      <c r="D58" s="35"/>
      <c r="E58" s="45">
        <v>304774</v>
      </c>
      <c r="F58" s="45"/>
      <c r="G58" s="45">
        <v>0</v>
      </c>
      <c r="H58" s="45"/>
      <c r="I58" s="45">
        <v>0</v>
      </c>
      <c r="J58" s="45"/>
      <c r="K58" s="45">
        <v>71315</v>
      </c>
      <c r="L58" s="45"/>
      <c r="M58" s="45">
        <v>654007</v>
      </c>
      <c r="N58" s="45"/>
      <c r="O58" s="45">
        <v>0</v>
      </c>
      <c r="P58" s="45"/>
      <c r="Q58" s="45">
        <f>16678+100491</f>
        <v>117169</v>
      </c>
      <c r="R58" s="45"/>
      <c r="S58" s="44">
        <f>U58-E58-G58-K58-M58-O58-Q58-I58</f>
        <v>280336</v>
      </c>
      <c r="T58" s="45"/>
      <c r="U58" s="45">
        <v>1427601</v>
      </c>
      <c r="V58" s="35"/>
      <c r="W58" s="45">
        <v>825500</v>
      </c>
    </row>
    <row r="59" spans="1:23" s="46" customFormat="1" ht="12.75" customHeight="1">
      <c r="A59" s="44" t="s">
        <v>78</v>
      </c>
      <c r="B59" s="49"/>
      <c r="C59" s="44" t="s">
        <v>19</v>
      </c>
      <c r="D59" s="35"/>
      <c r="E59" s="45">
        <v>332705</v>
      </c>
      <c r="F59" s="45"/>
      <c r="G59" s="45">
        <v>1856308</v>
      </c>
      <c r="H59" s="45"/>
      <c r="I59" s="45">
        <v>0</v>
      </c>
      <c r="J59" s="45"/>
      <c r="K59" s="45">
        <v>0</v>
      </c>
      <c r="L59" s="45"/>
      <c r="M59" s="45">
        <v>1141733</v>
      </c>
      <c r="N59" s="45"/>
      <c r="O59" s="45">
        <v>11258</v>
      </c>
      <c r="P59" s="45"/>
      <c r="Q59" s="45">
        <v>161909</v>
      </c>
      <c r="R59" s="45"/>
      <c r="S59" s="44">
        <f t="shared" si="1"/>
        <v>230496</v>
      </c>
      <c r="T59" s="45"/>
      <c r="U59" s="45">
        <v>3734409</v>
      </c>
      <c r="V59" s="35"/>
      <c r="W59" s="45">
        <f>29066+74999</f>
        <v>104065</v>
      </c>
    </row>
    <row r="60" spans="1:23" s="49" customFormat="1" ht="12.75" customHeight="1">
      <c r="A60" s="44" t="s">
        <v>79</v>
      </c>
      <c r="C60" s="44" t="s">
        <v>80</v>
      </c>
      <c r="D60" s="35"/>
      <c r="E60" s="45">
        <v>494119</v>
      </c>
      <c r="F60" s="45"/>
      <c r="G60" s="45">
        <v>0</v>
      </c>
      <c r="H60" s="45"/>
      <c r="I60" s="45">
        <v>0</v>
      </c>
      <c r="J60" s="45"/>
      <c r="K60" s="45">
        <v>13653</v>
      </c>
      <c r="L60" s="45"/>
      <c r="M60" s="45">
        <v>388765</v>
      </c>
      <c r="N60" s="45"/>
      <c r="O60" s="45">
        <v>0</v>
      </c>
      <c r="P60" s="45"/>
      <c r="Q60" s="45">
        <f>130909+4263</f>
        <v>135172</v>
      </c>
      <c r="R60" s="45"/>
      <c r="S60" s="44">
        <f t="shared" si="1"/>
        <v>51898</v>
      </c>
      <c r="T60" s="45"/>
      <c r="U60" s="45">
        <v>1083607</v>
      </c>
      <c r="V60" s="35"/>
      <c r="W60" s="45">
        <v>12500</v>
      </c>
    </row>
    <row r="61" spans="1:23" s="49" customFormat="1" ht="12.75" customHeight="1">
      <c r="A61" s="44" t="s">
        <v>81</v>
      </c>
      <c r="C61" s="44" t="s">
        <v>81</v>
      </c>
      <c r="D61" s="35"/>
      <c r="E61" s="45">
        <v>474788</v>
      </c>
      <c r="F61" s="45"/>
      <c r="G61" s="45">
        <v>2166390</v>
      </c>
      <c r="H61" s="45"/>
      <c r="I61" s="45">
        <v>0</v>
      </c>
      <c r="J61" s="45"/>
      <c r="K61" s="45">
        <v>328135</v>
      </c>
      <c r="L61" s="45"/>
      <c r="M61" s="45">
        <v>769788</v>
      </c>
      <c r="N61" s="45"/>
      <c r="O61" s="45">
        <v>0</v>
      </c>
      <c r="P61" s="45"/>
      <c r="Q61" s="45">
        <f>2238+5064</f>
        <v>7302</v>
      </c>
      <c r="R61" s="45"/>
      <c r="S61" s="44">
        <f t="shared" si="1"/>
        <v>711329</v>
      </c>
      <c r="T61" s="45"/>
      <c r="U61" s="45">
        <v>4457732</v>
      </c>
      <c r="V61" s="35"/>
      <c r="W61" s="45">
        <v>0</v>
      </c>
    </row>
    <row r="62" spans="1:23" s="46" customFormat="1" ht="12.75" customHeight="1">
      <c r="A62" s="47" t="s">
        <v>465</v>
      </c>
      <c r="B62" s="47"/>
      <c r="C62" s="47" t="s">
        <v>57</v>
      </c>
      <c r="D62" s="35"/>
      <c r="E62" s="45">
        <v>164489</v>
      </c>
      <c r="F62" s="45"/>
      <c r="G62" s="45">
        <v>807072</v>
      </c>
      <c r="H62" s="45"/>
      <c r="I62" s="45">
        <v>0</v>
      </c>
      <c r="J62" s="45"/>
      <c r="K62" s="45">
        <v>99898</v>
      </c>
      <c r="L62" s="45"/>
      <c r="M62" s="45">
        <v>623311</v>
      </c>
      <c r="N62" s="45"/>
      <c r="O62" s="45">
        <v>0</v>
      </c>
      <c r="P62" s="45"/>
      <c r="Q62" s="45">
        <f>53800+67954</f>
        <v>121754</v>
      </c>
      <c r="R62" s="45"/>
      <c r="S62" s="44">
        <f t="shared" si="1"/>
        <v>103569</v>
      </c>
      <c r="T62" s="45"/>
      <c r="U62" s="45">
        <v>1920093</v>
      </c>
      <c r="V62" s="35"/>
      <c r="W62" s="45">
        <v>0</v>
      </c>
    </row>
    <row r="63" spans="1:23" s="49" customFormat="1" ht="12.75" customHeight="1">
      <c r="A63" s="44" t="s">
        <v>82</v>
      </c>
      <c r="C63" s="44" t="s">
        <v>13</v>
      </c>
      <c r="D63" s="35"/>
      <c r="E63" s="45">
        <v>10171550</v>
      </c>
      <c r="F63" s="45"/>
      <c r="G63" s="45">
        <v>0</v>
      </c>
      <c r="H63" s="45"/>
      <c r="I63" s="45">
        <v>318872</v>
      </c>
      <c r="J63" s="45"/>
      <c r="K63" s="45">
        <v>6170803</v>
      </c>
      <c r="L63" s="45"/>
      <c r="M63" s="45">
        <v>64392</v>
      </c>
      <c r="N63" s="45"/>
      <c r="O63" s="45">
        <v>0</v>
      </c>
      <c r="P63" s="45"/>
      <c r="Q63" s="45">
        <f>419927+238691</f>
        <v>658618</v>
      </c>
      <c r="R63" s="45"/>
      <c r="S63" s="44">
        <f t="shared" si="1"/>
        <v>5351324</v>
      </c>
      <c r="T63" s="45"/>
      <c r="U63" s="45">
        <v>22735559</v>
      </c>
      <c r="V63" s="35"/>
      <c r="W63" s="45">
        <v>12880677</v>
      </c>
    </row>
    <row r="64" spans="1:23" s="49" customFormat="1" ht="12.75" customHeight="1">
      <c r="A64" s="44" t="s">
        <v>83</v>
      </c>
      <c r="C64" s="44" t="s">
        <v>66</v>
      </c>
      <c r="D64" s="35"/>
      <c r="E64" s="45">
        <v>9890704</v>
      </c>
      <c r="F64" s="45"/>
      <c r="G64" s="45">
        <v>109008881</v>
      </c>
      <c r="H64" s="45"/>
      <c r="I64" s="45">
        <v>16252571</v>
      </c>
      <c r="J64" s="45"/>
      <c r="K64" s="45">
        <v>22900500</v>
      </c>
      <c r="L64" s="45"/>
      <c r="M64" s="45">
        <v>1314139</v>
      </c>
      <c r="N64" s="45"/>
      <c r="O64" s="45">
        <v>286250</v>
      </c>
      <c r="P64" s="45"/>
      <c r="Q64" s="45">
        <f>1805640+1803864</f>
        <v>3609504</v>
      </c>
      <c r="R64" s="45"/>
      <c r="S64" s="44">
        <f t="shared" si="1"/>
        <v>9750333</v>
      </c>
      <c r="T64" s="45"/>
      <c r="U64" s="45">
        <v>173012882</v>
      </c>
      <c r="V64" s="35"/>
      <c r="W64" s="45">
        <v>0</v>
      </c>
    </row>
    <row r="65" spans="1:24" s="46" customFormat="1" ht="12.75" customHeight="1">
      <c r="A65" s="44" t="s">
        <v>84</v>
      </c>
      <c r="B65" s="49"/>
      <c r="C65" s="44" t="s">
        <v>45</v>
      </c>
      <c r="D65" s="35"/>
      <c r="E65" s="45">
        <v>2932565</v>
      </c>
      <c r="F65" s="45"/>
      <c r="G65" s="45">
        <v>0</v>
      </c>
      <c r="H65" s="45"/>
      <c r="I65" s="45">
        <v>0</v>
      </c>
      <c r="J65" s="45"/>
      <c r="K65" s="45">
        <v>86405</v>
      </c>
      <c r="L65" s="45"/>
      <c r="M65" s="45">
        <v>124245</v>
      </c>
      <c r="N65" s="45"/>
      <c r="O65" s="45">
        <v>0</v>
      </c>
      <c r="P65" s="45"/>
      <c r="Q65" s="45">
        <v>76495</v>
      </c>
      <c r="R65" s="45"/>
      <c r="S65" s="44">
        <f t="shared" si="1"/>
        <v>39046</v>
      </c>
      <c r="T65" s="45"/>
      <c r="U65" s="45">
        <v>3258756</v>
      </c>
      <c r="V65" s="35"/>
      <c r="W65" s="45">
        <f>9500+71234</f>
        <v>80734</v>
      </c>
    </row>
    <row r="66" spans="1:24" s="49" customFormat="1" ht="12.75" customHeight="1">
      <c r="A66" s="44" t="s">
        <v>85</v>
      </c>
      <c r="C66" s="44" t="s">
        <v>85</v>
      </c>
      <c r="D66" s="35"/>
      <c r="E66" s="45">
        <v>600705</v>
      </c>
      <c r="F66" s="45"/>
      <c r="G66" s="45">
        <v>5889938</v>
      </c>
      <c r="H66" s="45"/>
      <c r="I66" s="45">
        <v>0</v>
      </c>
      <c r="J66" s="45"/>
      <c r="K66" s="45">
        <v>582514</v>
      </c>
      <c r="L66" s="45"/>
      <c r="M66" s="45">
        <v>935381</v>
      </c>
      <c r="N66" s="45"/>
      <c r="O66" s="45">
        <v>0</v>
      </c>
      <c r="P66" s="45"/>
      <c r="Q66" s="45">
        <f>696244+196679</f>
        <v>892923</v>
      </c>
      <c r="R66" s="45"/>
      <c r="S66" s="44">
        <f t="shared" si="1"/>
        <v>262801</v>
      </c>
      <c r="T66" s="45"/>
      <c r="U66" s="45">
        <v>9164262</v>
      </c>
      <c r="V66" s="35"/>
      <c r="W66" s="45">
        <v>0</v>
      </c>
    </row>
    <row r="67" spans="1:24" s="49" customFormat="1" ht="12.75" customHeight="1">
      <c r="A67" s="44" t="s">
        <v>86</v>
      </c>
      <c r="C67" s="44" t="s">
        <v>86</v>
      </c>
      <c r="D67" s="35"/>
      <c r="E67" s="45">
        <v>1429584</v>
      </c>
      <c r="F67" s="45"/>
      <c r="G67" s="45">
        <v>9942412</v>
      </c>
      <c r="H67" s="45"/>
      <c r="I67" s="45">
        <v>64531</v>
      </c>
      <c r="J67" s="45"/>
      <c r="K67" s="45">
        <v>882005</v>
      </c>
      <c r="L67" s="45"/>
      <c r="M67" s="45">
        <v>1795348</v>
      </c>
      <c r="N67" s="45"/>
      <c r="O67" s="45">
        <v>0</v>
      </c>
      <c r="P67" s="45"/>
      <c r="Q67" s="45">
        <f>900515+126337</f>
        <v>1026852</v>
      </c>
      <c r="R67" s="45"/>
      <c r="S67" s="44">
        <f t="shared" si="1"/>
        <v>561979</v>
      </c>
      <c r="T67" s="45"/>
      <c r="U67" s="45">
        <v>15702711</v>
      </c>
      <c r="V67" s="35"/>
      <c r="W67" s="45">
        <v>38606</v>
      </c>
    </row>
    <row r="68" spans="1:24" s="49" customFormat="1" ht="12.75" customHeight="1">
      <c r="A68" s="46" t="s">
        <v>87</v>
      </c>
      <c r="B68" s="46"/>
      <c r="C68" s="46" t="s">
        <v>88</v>
      </c>
      <c r="D68" s="64"/>
      <c r="E68" s="45">
        <v>345920</v>
      </c>
      <c r="F68" s="45"/>
      <c r="G68" s="45">
        <v>1637521</v>
      </c>
      <c r="H68" s="45"/>
      <c r="I68" s="45">
        <v>0</v>
      </c>
      <c r="J68" s="45"/>
      <c r="K68" s="45">
        <v>389004</v>
      </c>
      <c r="L68" s="45"/>
      <c r="M68" s="45">
        <v>486558</v>
      </c>
      <c r="N68" s="45"/>
      <c r="O68" s="45">
        <v>0</v>
      </c>
      <c r="P68" s="45"/>
      <c r="Q68" s="45">
        <v>82895</v>
      </c>
      <c r="R68" s="45"/>
      <c r="S68" s="44">
        <f t="shared" si="1"/>
        <v>167241</v>
      </c>
      <c r="T68" s="45"/>
      <c r="U68" s="45">
        <v>3109139</v>
      </c>
      <c r="V68" s="35"/>
      <c r="W68" s="45">
        <v>0</v>
      </c>
    </row>
    <row r="69" spans="1:24" s="49" customFormat="1" ht="12.75" customHeight="1">
      <c r="A69" s="44" t="s">
        <v>471</v>
      </c>
      <c r="B69" s="46"/>
      <c r="C69" s="46"/>
      <c r="D69" s="64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4"/>
      <c r="T69" s="45"/>
      <c r="U69" s="45"/>
      <c r="V69" s="35"/>
      <c r="W69" s="48" t="s">
        <v>484</v>
      </c>
    </row>
    <row r="70" spans="1:24" s="49" customFormat="1" ht="12.75" customHeight="1">
      <c r="A70" s="44" t="s">
        <v>394</v>
      </c>
      <c r="C70" s="44" t="s">
        <v>89</v>
      </c>
      <c r="D70" s="35"/>
      <c r="E70" s="94">
        <v>1059047</v>
      </c>
      <c r="F70" s="94"/>
      <c r="G70" s="94">
        <v>2918019</v>
      </c>
      <c r="H70" s="94"/>
      <c r="I70" s="94">
        <v>0</v>
      </c>
      <c r="J70" s="94"/>
      <c r="K70" s="94">
        <v>732707</v>
      </c>
      <c r="L70" s="94"/>
      <c r="M70" s="94">
        <v>1430415</v>
      </c>
      <c r="N70" s="94"/>
      <c r="O70" s="94">
        <v>0</v>
      </c>
      <c r="P70" s="94"/>
      <c r="Q70" s="94">
        <v>56041</v>
      </c>
      <c r="R70" s="94"/>
      <c r="S70" s="46">
        <f t="shared" si="1"/>
        <v>308135</v>
      </c>
      <c r="T70" s="94"/>
      <c r="U70" s="94">
        <v>6504364</v>
      </c>
      <c r="V70" s="64"/>
      <c r="W70" s="94">
        <v>0</v>
      </c>
      <c r="X70" s="46"/>
    </row>
    <row r="71" spans="1:24" s="49" customFormat="1" ht="12.75" customHeight="1">
      <c r="A71" s="44" t="s">
        <v>90</v>
      </c>
      <c r="C71" s="44" t="s">
        <v>43</v>
      </c>
      <c r="D71" s="35"/>
      <c r="E71" s="45">
        <v>0</v>
      </c>
      <c r="F71" s="45"/>
      <c r="G71" s="45">
        <v>50494381</v>
      </c>
      <c r="H71" s="45"/>
      <c r="I71" s="45">
        <v>0</v>
      </c>
      <c r="J71" s="45"/>
      <c r="K71" s="45">
        <v>1010712</v>
      </c>
      <c r="L71" s="45"/>
      <c r="M71" s="45">
        <v>2157601</v>
      </c>
      <c r="N71" s="45"/>
      <c r="O71" s="45">
        <v>0</v>
      </c>
      <c r="P71" s="45"/>
      <c r="Q71" s="45">
        <v>2166184</v>
      </c>
      <c r="R71" s="45"/>
      <c r="S71" s="44">
        <f t="shared" si="1"/>
        <v>1951448</v>
      </c>
      <c r="T71" s="45"/>
      <c r="U71" s="45">
        <v>57780326</v>
      </c>
      <c r="V71" s="35"/>
      <c r="W71" s="45">
        <v>0</v>
      </c>
    </row>
    <row r="72" spans="1:24" s="49" customFormat="1" ht="12.75" customHeight="1">
      <c r="A72" s="44" t="s">
        <v>93</v>
      </c>
      <c r="C72" s="44" t="s">
        <v>94</v>
      </c>
      <c r="D72" s="35"/>
      <c r="E72" s="45">
        <v>212570</v>
      </c>
      <c r="F72" s="45"/>
      <c r="G72" s="45">
        <v>2826735</v>
      </c>
      <c r="H72" s="45"/>
      <c r="I72" s="45">
        <v>0</v>
      </c>
      <c r="J72" s="45"/>
      <c r="K72" s="45">
        <v>0</v>
      </c>
      <c r="L72" s="45"/>
      <c r="M72" s="45">
        <v>439159</v>
      </c>
      <c r="N72" s="45"/>
      <c r="O72" s="45">
        <v>0</v>
      </c>
      <c r="P72" s="45"/>
      <c r="Q72" s="45">
        <f>127300+696977</f>
        <v>824277</v>
      </c>
      <c r="R72" s="45"/>
      <c r="S72" s="44">
        <f t="shared" si="1"/>
        <v>85427</v>
      </c>
      <c r="T72" s="45"/>
      <c r="U72" s="45">
        <v>4388168</v>
      </c>
      <c r="V72" s="35"/>
      <c r="W72" s="45">
        <v>200000</v>
      </c>
    </row>
    <row r="73" spans="1:24" s="49" customFormat="1" ht="12.75" customHeight="1">
      <c r="A73" s="44" t="s">
        <v>488</v>
      </c>
      <c r="C73" s="44" t="s">
        <v>27</v>
      </c>
      <c r="D73" s="35"/>
      <c r="E73" s="45">
        <v>1757297</v>
      </c>
      <c r="F73" s="45"/>
      <c r="G73" s="45">
        <v>6175861</v>
      </c>
      <c r="H73" s="45"/>
      <c r="I73" s="45">
        <v>0</v>
      </c>
      <c r="J73" s="45"/>
      <c r="K73" s="45">
        <v>504815</v>
      </c>
      <c r="L73" s="45"/>
      <c r="M73" s="45">
        <v>6425658</v>
      </c>
      <c r="N73" s="45"/>
      <c r="O73" s="45">
        <v>329460</v>
      </c>
      <c r="P73" s="45"/>
      <c r="Q73" s="45">
        <f>293441+1144932</f>
        <v>1438373</v>
      </c>
      <c r="R73" s="45"/>
      <c r="S73" s="44">
        <f>U73-E73-G73-K73-M73-O73-Q73-I73</f>
        <v>872051</v>
      </c>
      <c r="T73" s="45"/>
      <c r="U73" s="45">
        <v>17503515</v>
      </c>
      <c r="V73" s="35"/>
      <c r="W73" s="45">
        <v>0</v>
      </c>
    </row>
    <row r="74" spans="1:24" s="46" customFormat="1" ht="12.75" customHeight="1">
      <c r="A74" s="46" t="s">
        <v>95</v>
      </c>
      <c r="C74" s="46" t="s">
        <v>94</v>
      </c>
      <c r="D74" s="64"/>
      <c r="E74" s="45">
        <v>985414</v>
      </c>
      <c r="F74" s="45"/>
      <c r="G74" s="45">
        <v>0</v>
      </c>
      <c r="H74" s="45"/>
      <c r="I74" s="45">
        <v>0</v>
      </c>
      <c r="J74" s="45"/>
      <c r="K74" s="45">
        <v>235184</v>
      </c>
      <c r="L74" s="45"/>
      <c r="M74" s="45">
        <v>198665</v>
      </c>
      <c r="N74" s="45"/>
      <c r="O74" s="45">
        <v>0</v>
      </c>
      <c r="P74" s="45"/>
      <c r="Q74" s="45">
        <f>77500+5512</f>
        <v>83012</v>
      </c>
      <c r="R74" s="45"/>
      <c r="S74" s="44">
        <f t="shared" ref="S74:S80" si="2">U74-E74-G74-K74-M74-O74-Q74-I74</f>
        <v>86332</v>
      </c>
      <c r="T74" s="45"/>
      <c r="U74" s="45">
        <v>1588607</v>
      </c>
      <c r="V74" s="35"/>
      <c r="W74" s="45">
        <f>2901+136500</f>
        <v>139401</v>
      </c>
    </row>
    <row r="75" spans="1:24" s="49" customFormat="1" ht="12.75" customHeight="1">
      <c r="A75" s="44" t="s">
        <v>91</v>
      </c>
      <c r="C75" s="44" t="s">
        <v>92</v>
      </c>
      <c r="D75" s="35"/>
      <c r="E75" s="45">
        <v>1478391</v>
      </c>
      <c r="F75" s="45"/>
      <c r="G75" s="45">
        <v>7096439</v>
      </c>
      <c r="H75" s="45"/>
      <c r="I75" s="45">
        <v>0</v>
      </c>
      <c r="J75" s="45"/>
      <c r="K75" s="45">
        <v>1650274</v>
      </c>
      <c r="L75" s="45"/>
      <c r="M75" s="45">
        <v>3558022</v>
      </c>
      <c r="N75" s="45"/>
      <c r="O75" s="45">
        <v>0</v>
      </c>
      <c r="P75" s="45"/>
      <c r="Q75" s="45">
        <f>265956+186905</f>
        <v>452861</v>
      </c>
      <c r="R75" s="45"/>
      <c r="S75" s="44">
        <f t="shared" si="2"/>
        <v>365465</v>
      </c>
      <c r="T75" s="45"/>
      <c r="U75" s="45">
        <v>14601452</v>
      </c>
      <c r="V75" s="35"/>
      <c r="W75" s="45">
        <v>0</v>
      </c>
    </row>
    <row r="76" spans="1:24" s="49" customFormat="1" ht="12.75" customHeight="1">
      <c r="A76" s="44" t="s">
        <v>96</v>
      </c>
      <c r="C76" s="44" t="s">
        <v>97</v>
      </c>
      <c r="D76" s="35"/>
      <c r="E76" s="45">
        <v>555204</v>
      </c>
      <c r="F76" s="45"/>
      <c r="G76" s="45">
        <v>1009655</v>
      </c>
      <c r="H76" s="45"/>
      <c r="I76" s="45">
        <v>0</v>
      </c>
      <c r="J76" s="45"/>
      <c r="K76" s="45">
        <v>29776</v>
      </c>
      <c r="L76" s="45"/>
      <c r="M76" s="45">
        <v>719658</v>
      </c>
      <c r="N76" s="45"/>
      <c r="O76" s="45">
        <v>0</v>
      </c>
      <c r="P76" s="45"/>
      <c r="Q76" s="45">
        <f>644327+106459</f>
        <v>750786</v>
      </c>
      <c r="R76" s="45"/>
      <c r="S76" s="44">
        <f t="shared" si="2"/>
        <v>349287</v>
      </c>
      <c r="T76" s="45"/>
      <c r="U76" s="45">
        <v>3414366</v>
      </c>
      <c r="V76" s="35"/>
      <c r="W76" s="45">
        <v>5370</v>
      </c>
    </row>
    <row r="77" spans="1:24" s="49" customFormat="1" ht="12.75" customHeight="1">
      <c r="A77" s="44" t="s">
        <v>98</v>
      </c>
      <c r="C77" s="44" t="s">
        <v>17</v>
      </c>
      <c r="D77" s="35"/>
      <c r="E77" s="45">
        <v>1635884</v>
      </c>
      <c r="F77" s="45"/>
      <c r="G77" s="45">
        <v>18474197</v>
      </c>
      <c r="H77" s="45"/>
      <c r="I77" s="45">
        <v>475177</v>
      </c>
      <c r="J77" s="45"/>
      <c r="K77" s="45">
        <v>2080803</v>
      </c>
      <c r="L77" s="45"/>
      <c r="M77" s="45">
        <v>3854782</v>
      </c>
      <c r="N77" s="45"/>
      <c r="O77" s="45">
        <v>20213</v>
      </c>
      <c r="P77" s="45"/>
      <c r="Q77" s="45">
        <f>475273+520080</f>
        <v>995353</v>
      </c>
      <c r="R77" s="45"/>
      <c r="S77" s="44">
        <f t="shared" si="2"/>
        <v>210263</v>
      </c>
      <c r="T77" s="45"/>
      <c r="U77" s="45">
        <v>27746672</v>
      </c>
      <c r="V77" s="35"/>
      <c r="W77" s="45">
        <v>0</v>
      </c>
    </row>
    <row r="78" spans="1:24" s="49" customFormat="1" ht="12.75" customHeight="1">
      <c r="A78" s="44" t="s">
        <v>99</v>
      </c>
      <c r="C78" s="44" t="s">
        <v>66</v>
      </c>
      <c r="D78" s="35"/>
      <c r="E78" s="45">
        <v>860686</v>
      </c>
      <c r="F78" s="45"/>
      <c r="G78" s="45">
        <v>5736899</v>
      </c>
      <c r="H78" s="45"/>
      <c r="I78" s="45">
        <v>0</v>
      </c>
      <c r="J78" s="45"/>
      <c r="K78" s="45">
        <v>196944</v>
      </c>
      <c r="L78" s="45"/>
      <c r="M78" s="45">
        <v>931760</v>
      </c>
      <c r="N78" s="45"/>
      <c r="O78" s="45">
        <v>19615</v>
      </c>
      <c r="P78" s="45"/>
      <c r="Q78" s="45">
        <v>54823</v>
      </c>
      <c r="R78" s="45"/>
      <c r="S78" s="44">
        <f t="shared" si="2"/>
        <v>529612</v>
      </c>
      <c r="T78" s="45"/>
      <c r="U78" s="45">
        <v>8330339</v>
      </c>
      <c r="V78" s="35"/>
      <c r="W78" s="45">
        <v>2925</v>
      </c>
    </row>
    <row r="79" spans="1:24" s="49" customFormat="1" ht="12.75" customHeight="1">
      <c r="A79" s="44" t="s">
        <v>100</v>
      </c>
      <c r="C79" s="44" t="s">
        <v>27</v>
      </c>
      <c r="D79" s="35"/>
      <c r="E79" s="45">
        <v>2202601</v>
      </c>
      <c r="F79" s="45"/>
      <c r="G79" s="45">
        <v>23949387</v>
      </c>
      <c r="H79" s="45"/>
      <c r="I79" s="45">
        <v>0</v>
      </c>
      <c r="J79" s="45"/>
      <c r="K79" s="45">
        <v>3794985</v>
      </c>
      <c r="L79" s="45"/>
      <c r="M79" s="45">
        <v>5007212</v>
      </c>
      <c r="N79" s="45"/>
      <c r="O79" s="45">
        <v>0</v>
      </c>
      <c r="P79" s="45"/>
      <c r="Q79" s="45">
        <f>119297+1889367</f>
        <v>2008664</v>
      </c>
      <c r="R79" s="45"/>
      <c r="S79" s="44">
        <f t="shared" si="2"/>
        <v>1397806</v>
      </c>
      <c r="T79" s="45"/>
      <c r="U79" s="45">
        <v>38360655</v>
      </c>
      <c r="V79" s="35"/>
      <c r="W79" s="45">
        <v>521</v>
      </c>
    </row>
    <row r="80" spans="1:24" s="49" customFormat="1" ht="12.75" customHeight="1">
      <c r="A80" s="44" t="s">
        <v>101</v>
      </c>
      <c r="C80" s="44" t="s">
        <v>30</v>
      </c>
      <c r="D80" s="35"/>
      <c r="E80" s="45">
        <v>1742761</v>
      </c>
      <c r="F80" s="45"/>
      <c r="G80" s="45">
        <v>6882538</v>
      </c>
      <c r="H80" s="45"/>
      <c r="I80" s="45">
        <v>747851</v>
      </c>
      <c r="J80" s="45"/>
      <c r="K80" s="45">
        <v>2311569</v>
      </c>
      <c r="L80" s="45"/>
      <c r="M80" s="45">
        <v>2285719</v>
      </c>
      <c r="N80" s="45"/>
      <c r="O80" s="45">
        <v>0</v>
      </c>
      <c r="P80" s="45"/>
      <c r="Q80" s="45">
        <v>1613883</v>
      </c>
      <c r="R80" s="45"/>
      <c r="S80" s="44">
        <f t="shared" si="2"/>
        <v>947680</v>
      </c>
      <c r="T80" s="45"/>
      <c r="U80" s="45">
        <v>16532001</v>
      </c>
      <c r="V80" s="35"/>
      <c r="W80" s="45">
        <v>115048</v>
      </c>
    </row>
    <row r="81" spans="1:23" s="49" customFormat="1" ht="12.75" customHeight="1">
      <c r="A81" s="44" t="s">
        <v>102</v>
      </c>
      <c r="C81" s="44" t="s">
        <v>103</v>
      </c>
      <c r="D81" s="35"/>
      <c r="E81" s="45">
        <v>18402319</v>
      </c>
      <c r="F81" s="45"/>
      <c r="G81" s="45">
        <v>0</v>
      </c>
      <c r="H81" s="45"/>
      <c r="I81" s="45">
        <v>0</v>
      </c>
      <c r="J81" s="45"/>
      <c r="K81" s="45">
        <v>760224</v>
      </c>
      <c r="L81" s="45"/>
      <c r="M81" s="45">
        <v>2837362</v>
      </c>
      <c r="N81" s="45"/>
      <c r="O81" s="45">
        <v>74581</v>
      </c>
      <c r="P81" s="45"/>
      <c r="Q81" s="45">
        <v>1497446</v>
      </c>
      <c r="R81" s="45"/>
      <c r="S81" s="44">
        <f t="shared" ref="S81:S109" si="3">U81-E81-G81-K81-M81-O81-Q81-I81</f>
        <v>969286</v>
      </c>
      <c r="T81" s="45"/>
      <c r="U81" s="45">
        <v>24541218</v>
      </c>
      <c r="V81" s="35"/>
      <c r="W81" s="45">
        <v>12024</v>
      </c>
    </row>
    <row r="82" spans="1:23" s="49" customFormat="1" ht="12.75" customHeight="1">
      <c r="A82" s="44" t="s">
        <v>104</v>
      </c>
      <c r="C82" s="44" t="s">
        <v>13</v>
      </c>
      <c r="D82" s="35"/>
      <c r="E82" s="45">
        <v>620288</v>
      </c>
      <c r="F82" s="45"/>
      <c r="G82" s="45">
        <v>5876869</v>
      </c>
      <c r="H82" s="45"/>
      <c r="I82" s="45">
        <v>0</v>
      </c>
      <c r="J82" s="45"/>
      <c r="K82" s="45">
        <v>18030</v>
      </c>
      <c r="L82" s="45"/>
      <c r="M82" s="45">
        <v>1202903</v>
      </c>
      <c r="N82" s="45"/>
      <c r="O82" s="45">
        <v>0</v>
      </c>
      <c r="P82" s="45"/>
      <c r="Q82" s="45">
        <f>72001+147682</f>
        <v>219683</v>
      </c>
      <c r="R82" s="45"/>
      <c r="S82" s="44">
        <f t="shared" si="3"/>
        <v>2558617</v>
      </c>
      <c r="T82" s="45"/>
      <c r="U82" s="45">
        <v>10496390</v>
      </c>
      <c r="V82" s="35"/>
      <c r="W82" s="45">
        <v>9200</v>
      </c>
    </row>
    <row r="83" spans="1:23" s="49" customFormat="1" ht="12.75" customHeight="1">
      <c r="A83" s="44" t="s">
        <v>105</v>
      </c>
      <c r="C83" s="44" t="s">
        <v>27</v>
      </c>
      <c r="D83" s="35"/>
      <c r="E83" s="45">
        <v>2679951</v>
      </c>
      <c r="F83" s="45"/>
      <c r="G83" s="45">
        <v>5101346</v>
      </c>
      <c r="H83" s="45"/>
      <c r="I83" s="45">
        <v>0</v>
      </c>
      <c r="J83" s="45"/>
      <c r="K83" s="45">
        <v>8879</v>
      </c>
      <c r="L83" s="45"/>
      <c r="M83" s="45">
        <v>2027120</v>
      </c>
      <c r="N83" s="45"/>
      <c r="O83" s="45">
        <v>0</v>
      </c>
      <c r="P83" s="45"/>
      <c r="Q83" s="45">
        <v>316638</v>
      </c>
      <c r="R83" s="45"/>
      <c r="S83" s="44">
        <f t="shared" si="3"/>
        <v>333032</v>
      </c>
      <c r="T83" s="45"/>
      <c r="U83" s="45">
        <v>10466966</v>
      </c>
      <c r="V83" s="35"/>
      <c r="W83" s="45">
        <v>0</v>
      </c>
    </row>
    <row r="84" spans="1:23" s="49" customFormat="1" ht="12.75" customHeight="1">
      <c r="A84" s="44" t="s">
        <v>106</v>
      </c>
      <c r="C84" s="44" t="s">
        <v>107</v>
      </c>
      <c r="D84" s="35"/>
      <c r="E84" s="45">
        <v>1962430</v>
      </c>
      <c r="F84" s="45"/>
      <c r="G84" s="45">
        <v>2666772</v>
      </c>
      <c r="H84" s="45"/>
      <c r="I84" s="45">
        <v>0</v>
      </c>
      <c r="J84" s="45"/>
      <c r="K84" s="45">
        <v>335820</v>
      </c>
      <c r="L84" s="45"/>
      <c r="M84" s="45">
        <v>4128454</v>
      </c>
      <c r="N84" s="45"/>
      <c r="O84" s="45">
        <v>0</v>
      </c>
      <c r="P84" s="45"/>
      <c r="Q84" s="45">
        <f>335820+1057595</f>
        <v>1393415</v>
      </c>
      <c r="R84" s="45"/>
      <c r="S84" s="44">
        <f t="shared" si="3"/>
        <v>1546448</v>
      </c>
      <c r="T84" s="45"/>
      <c r="U84" s="45">
        <v>12033339</v>
      </c>
      <c r="V84" s="35"/>
      <c r="W84" s="45">
        <f>4145000+6501+14165486</f>
        <v>18316987</v>
      </c>
    </row>
    <row r="85" spans="1:23" s="49" customFormat="1" ht="12.75" customHeight="1">
      <c r="A85" s="44" t="s">
        <v>108</v>
      </c>
      <c r="C85" s="44" t="s">
        <v>45</v>
      </c>
      <c r="D85" s="35"/>
      <c r="E85" s="45">
        <v>9979985</v>
      </c>
      <c r="F85" s="45"/>
      <c r="G85" s="45">
        <v>0</v>
      </c>
      <c r="H85" s="45"/>
      <c r="I85" s="45">
        <v>0</v>
      </c>
      <c r="J85" s="45"/>
      <c r="K85" s="45">
        <v>97900</v>
      </c>
      <c r="L85" s="45"/>
      <c r="M85" s="45">
        <v>828516</v>
      </c>
      <c r="N85" s="45"/>
      <c r="O85" s="45">
        <v>10939</v>
      </c>
      <c r="P85" s="45"/>
      <c r="Q85" s="45">
        <v>387592</v>
      </c>
      <c r="R85" s="45"/>
      <c r="S85" s="44">
        <f t="shared" si="3"/>
        <v>176119</v>
      </c>
      <c r="T85" s="45"/>
      <c r="U85" s="45">
        <v>11481051</v>
      </c>
      <c r="V85" s="35"/>
      <c r="W85" s="45">
        <v>12900</v>
      </c>
    </row>
    <row r="86" spans="1:23" s="44" customFormat="1" ht="12.75" customHeight="1">
      <c r="A86" s="44" t="s">
        <v>109</v>
      </c>
      <c r="C86" s="44" t="s">
        <v>110</v>
      </c>
      <c r="D86" s="35"/>
      <c r="E86" s="45">
        <v>849986</v>
      </c>
      <c r="F86" s="45"/>
      <c r="G86" s="45">
        <v>5829973</v>
      </c>
      <c r="H86" s="45"/>
      <c r="I86" s="45">
        <v>0</v>
      </c>
      <c r="J86" s="45"/>
      <c r="K86" s="45">
        <v>652441</v>
      </c>
      <c r="L86" s="45"/>
      <c r="M86" s="45">
        <v>540788</v>
      </c>
      <c r="N86" s="45"/>
      <c r="O86" s="45">
        <v>0</v>
      </c>
      <c r="P86" s="45"/>
      <c r="Q86" s="45">
        <f>42521+8706</f>
        <v>51227</v>
      </c>
      <c r="R86" s="45"/>
      <c r="S86" s="44">
        <f t="shared" si="3"/>
        <v>268950</v>
      </c>
      <c r="T86" s="45"/>
      <c r="U86" s="45">
        <v>8193365</v>
      </c>
      <c r="V86" s="35"/>
      <c r="W86" s="45">
        <v>15629</v>
      </c>
    </row>
    <row r="87" spans="1:23" s="49" customFormat="1" ht="12.75" customHeight="1">
      <c r="A87" s="44" t="s">
        <v>43</v>
      </c>
      <c r="C87" s="44" t="s">
        <v>111</v>
      </c>
      <c r="D87" s="35"/>
      <c r="E87" s="45">
        <v>467920</v>
      </c>
      <c r="F87" s="45"/>
      <c r="G87" s="45">
        <v>5513546</v>
      </c>
      <c r="H87" s="45"/>
      <c r="I87" s="45">
        <v>125956</v>
      </c>
      <c r="J87" s="45"/>
      <c r="K87" s="45">
        <v>156384</v>
      </c>
      <c r="L87" s="45"/>
      <c r="M87" s="45">
        <v>522984</v>
      </c>
      <c r="N87" s="45"/>
      <c r="O87" s="45">
        <v>0</v>
      </c>
      <c r="P87" s="45"/>
      <c r="Q87" s="45">
        <v>442712</v>
      </c>
      <c r="R87" s="45"/>
      <c r="S87" s="44">
        <f t="shared" si="3"/>
        <v>513457</v>
      </c>
      <c r="T87" s="45"/>
      <c r="U87" s="45">
        <v>7742959</v>
      </c>
      <c r="V87" s="35"/>
      <c r="W87" s="45">
        <v>14866</v>
      </c>
    </row>
    <row r="88" spans="1:23" s="49" customFormat="1" ht="12.75" customHeight="1">
      <c r="A88" s="44" t="s">
        <v>112</v>
      </c>
      <c r="C88" s="44" t="s">
        <v>76</v>
      </c>
      <c r="D88" s="35"/>
      <c r="E88" s="45">
        <v>966749</v>
      </c>
      <c r="F88" s="45"/>
      <c r="G88" s="45">
        <v>0</v>
      </c>
      <c r="H88" s="45"/>
      <c r="I88" s="45">
        <v>0</v>
      </c>
      <c r="J88" s="45"/>
      <c r="K88" s="45">
        <v>49494</v>
      </c>
      <c r="L88" s="45"/>
      <c r="M88" s="45">
        <v>1139857</v>
      </c>
      <c r="N88" s="45"/>
      <c r="O88" s="45">
        <v>0</v>
      </c>
      <c r="P88" s="45"/>
      <c r="Q88" s="45">
        <f>282738+9814</f>
        <v>292552</v>
      </c>
      <c r="R88" s="45"/>
      <c r="S88" s="44">
        <f t="shared" si="3"/>
        <v>433373</v>
      </c>
      <c r="T88" s="45"/>
      <c r="U88" s="45">
        <v>2882025</v>
      </c>
      <c r="V88" s="35"/>
      <c r="W88" s="45">
        <f>4760000+17823</f>
        <v>4777823</v>
      </c>
    </row>
    <row r="89" spans="1:23" s="49" customFormat="1" ht="12.75" customHeight="1">
      <c r="A89" s="44" t="s">
        <v>113</v>
      </c>
      <c r="C89" s="44" t="s">
        <v>43</v>
      </c>
      <c r="D89" s="35"/>
      <c r="E89" s="45">
        <v>1587934</v>
      </c>
      <c r="F89" s="45"/>
      <c r="G89" s="45">
        <v>14131280</v>
      </c>
      <c r="H89" s="45"/>
      <c r="I89" s="45">
        <v>878774</v>
      </c>
      <c r="J89" s="45"/>
      <c r="K89" s="45">
        <v>3098182</v>
      </c>
      <c r="L89" s="45"/>
      <c r="M89" s="45">
        <v>2847529</v>
      </c>
      <c r="N89" s="45"/>
      <c r="O89" s="45">
        <v>0</v>
      </c>
      <c r="P89" s="45"/>
      <c r="Q89" s="45">
        <f>423019+437566</f>
        <v>860585</v>
      </c>
      <c r="R89" s="45"/>
      <c r="S89" s="44">
        <f t="shared" si="3"/>
        <v>2042846</v>
      </c>
      <c r="T89" s="45"/>
      <c r="U89" s="45">
        <v>25447130</v>
      </c>
      <c r="V89" s="35"/>
      <c r="W89" s="45">
        <f>13000+11055</f>
        <v>24055</v>
      </c>
    </row>
    <row r="90" spans="1:23" s="49" customFormat="1" ht="12.75" customHeight="1">
      <c r="A90" s="44" t="s">
        <v>489</v>
      </c>
      <c r="C90" s="44" t="s">
        <v>57</v>
      </c>
      <c r="D90" s="35"/>
      <c r="E90" s="45">
        <v>393058</v>
      </c>
      <c r="F90" s="45"/>
      <c r="G90" s="45">
        <v>2144059</v>
      </c>
      <c r="H90" s="45"/>
      <c r="I90" s="45">
        <v>443157</v>
      </c>
      <c r="J90" s="45"/>
      <c r="K90" s="45">
        <v>1040756</v>
      </c>
      <c r="L90" s="45"/>
      <c r="M90" s="45">
        <v>688532</v>
      </c>
      <c r="N90" s="45"/>
      <c r="O90" s="45">
        <v>0</v>
      </c>
      <c r="P90" s="45"/>
      <c r="Q90" s="45">
        <f>133325+33760</f>
        <v>167085</v>
      </c>
      <c r="R90" s="45"/>
      <c r="S90" s="44">
        <f>U90-E90-G90-K90-M90-O90-Q90-I90</f>
        <v>190017</v>
      </c>
      <c r="T90" s="45"/>
      <c r="U90" s="45">
        <v>5066664</v>
      </c>
      <c r="V90" s="35"/>
      <c r="W90" s="45">
        <v>1200</v>
      </c>
    </row>
    <row r="91" spans="1:23" s="49" customFormat="1" ht="12.75" customHeight="1">
      <c r="A91" s="44" t="s">
        <v>114</v>
      </c>
      <c r="C91" s="44" t="s">
        <v>27</v>
      </c>
      <c r="D91" s="35"/>
      <c r="E91" s="45">
        <v>6917305</v>
      </c>
      <c r="F91" s="45"/>
      <c r="G91" s="45">
        <v>8377668</v>
      </c>
      <c r="H91" s="45"/>
      <c r="I91" s="45">
        <v>0</v>
      </c>
      <c r="J91" s="45"/>
      <c r="K91" s="45">
        <v>2629876</v>
      </c>
      <c r="L91" s="45"/>
      <c r="M91" s="45">
        <v>3933662</v>
      </c>
      <c r="N91" s="45"/>
      <c r="O91" s="45">
        <v>0</v>
      </c>
      <c r="P91" s="45"/>
      <c r="Q91" s="45">
        <f>263999+422085</f>
        <v>686084</v>
      </c>
      <c r="R91" s="45"/>
      <c r="S91" s="44">
        <f>U91-E91-G91-K91-M91-O91-Q91-I91</f>
        <v>573006</v>
      </c>
      <c r="T91" s="45"/>
      <c r="U91" s="45">
        <v>23117601</v>
      </c>
      <c r="V91" s="35"/>
      <c r="W91" s="45">
        <v>43625</v>
      </c>
    </row>
    <row r="92" spans="1:23" s="49" customFormat="1" ht="12.75" customHeight="1">
      <c r="A92" s="44" t="s">
        <v>115</v>
      </c>
      <c r="C92" s="44" t="s">
        <v>19</v>
      </c>
      <c r="D92" s="35"/>
      <c r="E92" s="45">
        <v>505455</v>
      </c>
      <c r="F92" s="45"/>
      <c r="G92" s="45">
        <v>2562979</v>
      </c>
      <c r="H92" s="45"/>
      <c r="I92" s="45">
        <v>0</v>
      </c>
      <c r="J92" s="45"/>
      <c r="K92" s="45">
        <v>290501</v>
      </c>
      <c r="L92" s="45"/>
      <c r="M92" s="45">
        <v>383592</v>
      </c>
      <c r="N92" s="45"/>
      <c r="O92" s="45">
        <v>0</v>
      </c>
      <c r="P92" s="45"/>
      <c r="Q92" s="45">
        <v>214221</v>
      </c>
      <c r="R92" s="45"/>
      <c r="S92" s="44">
        <f t="shared" si="3"/>
        <v>66383</v>
      </c>
      <c r="T92" s="45"/>
      <c r="U92" s="45">
        <v>4023131</v>
      </c>
      <c r="V92" s="35"/>
      <c r="W92" s="45">
        <v>1522</v>
      </c>
    </row>
    <row r="93" spans="1:23" s="49" customFormat="1" ht="12.75" customHeight="1">
      <c r="A93" s="44" t="s">
        <v>116</v>
      </c>
      <c r="C93" s="44" t="s">
        <v>80</v>
      </c>
      <c r="D93" s="35"/>
      <c r="E93" s="45">
        <v>273287</v>
      </c>
      <c r="F93" s="45"/>
      <c r="G93" s="45">
        <v>2815666</v>
      </c>
      <c r="H93" s="45"/>
      <c r="I93" s="45">
        <v>0</v>
      </c>
      <c r="J93" s="45"/>
      <c r="K93" s="45">
        <v>0</v>
      </c>
      <c r="L93" s="45"/>
      <c r="M93" s="45">
        <v>374766</v>
      </c>
      <c r="N93" s="45"/>
      <c r="O93" s="45">
        <v>2509</v>
      </c>
      <c r="P93" s="45"/>
      <c r="Q93" s="45">
        <f>251382+569504</f>
        <v>820886</v>
      </c>
      <c r="R93" s="45"/>
      <c r="S93" s="44">
        <f>U93-E93-G93-K93-M93-O93-Q93-I93</f>
        <v>259771</v>
      </c>
      <c r="T93" s="45"/>
      <c r="U93" s="45">
        <v>4546885</v>
      </c>
      <c r="V93" s="35"/>
      <c r="W93" s="45">
        <v>0</v>
      </c>
    </row>
    <row r="94" spans="1:23" s="49" customFormat="1" ht="12.75" customHeight="1">
      <c r="A94" s="44" t="s">
        <v>117</v>
      </c>
      <c r="C94" s="44" t="s">
        <v>43</v>
      </c>
      <c r="D94" s="35"/>
      <c r="E94" s="45">
        <v>1477768</v>
      </c>
      <c r="F94" s="45"/>
      <c r="G94" s="45">
        <v>6021389</v>
      </c>
      <c r="H94" s="45"/>
      <c r="I94" s="45">
        <v>0</v>
      </c>
      <c r="J94" s="45"/>
      <c r="K94" s="45">
        <v>885258</v>
      </c>
      <c r="L94" s="45"/>
      <c r="M94" s="45">
        <v>1012455</v>
      </c>
      <c r="N94" s="45"/>
      <c r="O94" s="45">
        <v>0</v>
      </c>
      <c r="P94" s="45"/>
      <c r="Q94" s="45">
        <f>95832+152504</f>
        <v>248336</v>
      </c>
      <c r="R94" s="45"/>
      <c r="S94" s="44">
        <f>U94-E94-G94-K94-M94-O94-Q94-I94</f>
        <v>276862</v>
      </c>
      <c r="T94" s="45"/>
      <c r="U94" s="45">
        <v>9922068</v>
      </c>
      <c r="V94" s="35"/>
      <c r="W94" s="45">
        <v>13733</v>
      </c>
    </row>
    <row r="95" spans="1:23" s="49" customFormat="1" ht="12.75" customHeight="1">
      <c r="A95" s="44" t="s">
        <v>118</v>
      </c>
      <c r="C95" s="44" t="s">
        <v>13</v>
      </c>
      <c r="D95" s="35"/>
      <c r="E95" s="45">
        <v>1782213</v>
      </c>
      <c r="F95" s="45"/>
      <c r="G95" s="45">
        <v>16414661</v>
      </c>
      <c r="H95" s="45"/>
      <c r="I95" s="45">
        <v>0</v>
      </c>
      <c r="J95" s="45"/>
      <c r="K95" s="45">
        <v>0</v>
      </c>
      <c r="L95" s="45"/>
      <c r="M95" s="45">
        <v>1335391</v>
      </c>
      <c r="N95" s="45"/>
      <c r="O95" s="45">
        <v>0</v>
      </c>
      <c r="P95" s="45"/>
      <c r="Q95" s="45">
        <f>203646+40870</f>
        <v>244516</v>
      </c>
      <c r="R95" s="45"/>
      <c r="S95" s="44">
        <f t="shared" si="3"/>
        <v>1301568</v>
      </c>
      <c r="T95" s="45"/>
      <c r="U95" s="45">
        <v>21078349</v>
      </c>
      <c r="V95" s="35"/>
      <c r="W95" s="45">
        <f>105278+5000000</f>
        <v>5105278</v>
      </c>
    </row>
    <row r="96" spans="1:23" s="49" customFormat="1" ht="12.75" customHeight="1">
      <c r="A96" s="44" t="s">
        <v>120</v>
      </c>
      <c r="C96" s="44" t="s">
        <v>121</v>
      </c>
      <c r="D96" s="35"/>
      <c r="E96" s="45">
        <v>1357245</v>
      </c>
      <c r="F96" s="45"/>
      <c r="G96" s="45">
        <v>5817245</v>
      </c>
      <c r="H96" s="45"/>
      <c r="I96" s="45">
        <v>0</v>
      </c>
      <c r="J96" s="45"/>
      <c r="K96" s="45">
        <v>42788</v>
      </c>
      <c r="L96" s="45"/>
      <c r="M96" s="45">
        <v>1129075</v>
      </c>
      <c r="N96" s="45"/>
      <c r="O96" s="45">
        <v>7033</v>
      </c>
      <c r="P96" s="45"/>
      <c r="Q96" s="45">
        <f>137934+116210</f>
        <v>254144</v>
      </c>
      <c r="R96" s="45"/>
      <c r="S96" s="44">
        <f t="shared" si="3"/>
        <v>226383</v>
      </c>
      <c r="T96" s="45"/>
      <c r="U96" s="45">
        <v>8833913</v>
      </c>
      <c r="V96" s="35"/>
      <c r="W96" s="45">
        <v>0</v>
      </c>
    </row>
    <row r="97" spans="1:23" s="49" customFormat="1" ht="12.75" customHeight="1">
      <c r="A97" s="44" t="s">
        <v>122</v>
      </c>
      <c r="C97" s="44" t="s">
        <v>43</v>
      </c>
      <c r="D97" s="35"/>
      <c r="E97" s="45">
        <v>837996</v>
      </c>
      <c r="F97" s="45"/>
      <c r="G97" s="45">
        <v>16827527</v>
      </c>
      <c r="H97" s="45"/>
      <c r="I97" s="45">
        <v>470416</v>
      </c>
      <c r="J97" s="45"/>
      <c r="K97" s="45">
        <v>141712</v>
      </c>
      <c r="L97" s="45"/>
      <c r="M97" s="45">
        <v>2180860</v>
      </c>
      <c r="N97" s="45"/>
      <c r="O97" s="45">
        <v>12553</v>
      </c>
      <c r="P97" s="45"/>
      <c r="Q97" s="45">
        <f>222931+871951</f>
        <v>1094882</v>
      </c>
      <c r="R97" s="45"/>
      <c r="S97" s="44">
        <f t="shared" si="3"/>
        <v>2255934</v>
      </c>
      <c r="T97" s="45"/>
      <c r="U97" s="45">
        <v>23821880</v>
      </c>
      <c r="V97" s="35"/>
      <c r="W97" s="45">
        <f>22519+1584350</f>
        <v>1606869</v>
      </c>
    </row>
    <row r="98" spans="1:23" s="49" customFormat="1" ht="12.75" customHeight="1">
      <c r="A98" s="44" t="s">
        <v>45</v>
      </c>
      <c r="C98" s="44" t="s">
        <v>103</v>
      </c>
      <c r="D98" s="35"/>
      <c r="E98" s="45">
        <v>6031647</v>
      </c>
      <c r="F98" s="45"/>
      <c r="G98" s="45">
        <v>18550889</v>
      </c>
      <c r="H98" s="45"/>
      <c r="I98" s="45">
        <v>0</v>
      </c>
      <c r="J98" s="45"/>
      <c r="K98" s="45">
        <v>2854655</v>
      </c>
      <c r="L98" s="45"/>
      <c r="M98" s="45">
        <v>4614536</v>
      </c>
      <c r="N98" s="45"/>
      <c r="O98" s="45">
        <v>0</v>
      </c>
      <c r="P98" s="45"/>
      <c r="Q98" s="45">
        <f>564338+840719</f>
        <v>1405057</v>
      </c>
      <c r="R98" s="45"/>
      <c r="S98" s="44">
        <f t="shared" si="3"/>
        <v>1299409</v>
      </c>
      <c r="T98" s="45"/>
      <c r="U98" s="45">
        <v>34756193</v>
      </c>
      <c r="V98" s="35"/>
      <c r="W98" s="45">
        <f>86580+90272</f>
        <v>176852</v>
      </c>
    </row>
    <row r="99" spans="1:23" s="49" customFormat="1" ht="12.75" customHeight="1">
      <c r="A99" s="44" t="s">
        <v>123</v>
      </c>
      <c r="C99" s="44" t="s">
        <v>45</v>
      </c>
      <c r="D99" s="35"/>
      <c r="E99" s="45">
        <v>1176721</v>
      </c>
      <c r="F99" s="45"/>
      <c r="G99" s="45">
        <v>3025651</v>
      </c>
      <c r="H99" s="45"/>
      <c r="I99" s="45">
        <v>0</v>
      </c>
      <c r="J99" s="45"/>
      <c r="K99" s="45">
        <v>0</v>
      </c>
      <c r="L99" s="45"/>
      <c r="M99" s="45">
        <v>530393</v>
      </c>
      <c r="N99" s="45"/>
      <c r="O99" s="45">
        <v>0</v>
      </c>
      <c r="P99" s="45"/>
      <c r="Q99" s="45">
        <f>126519+172758</f>
        <v>299277</v>
      </c>
      <c r="R99" s="45"/>
      <c r="S99" s="44">
        <f t="shared" si="3"/>
        <v>260601</v>
      </c>
      <c r="T99" s="45"/>
      <c r="U99" s="45">
        <v>5292643</v>
      </c>
      <c r="V99" s="35"/>
      <c r="W99" s="45">
        <f>30154+47013</f>
        <v>77167</v>
      </c>
    </row>
    <row r="100" spans="1:23" s="49" customFormat="1" ht="12.75" customHeight="1">
      <c r="A100" s="44" t="s">
        <v>124</v>
      </c>
      <c r="C100" s="44" t="s">
        <v>125</v>
      </c>
      <c r="D100" s="35"/>
      <c r="E100" s="45">
        <v>4884864</v>
      </c>
      <c r="F100" s="45"/>
      <c r="G100" s="45">
        <v>0</v>
      </c>
      <c r="H100" s="45"/>
      <c r="I100" s="45">
        <v>0</v>
      </c>
      <c r="J100" s="45"/>
      <c r="K100" s="45">
        <v>456150</v>
      </c>
      <c r="L100" s="45"/>
      <c r="M100" s="45">
        <v>806792</v>
      </c>
      <c r="N100" s="45"/>
      <c r="O100" s="45">
        <v>0</v>
      </c>
      <c r="P100" s="45"/>
      <c r="Q100" s="45">
        <f>29849+15982</f>
        <v>45831</v>
      </c>
      <c r="R100" s="45"/>
      <c r="S100" s="44">
        <f t="shared" si="3"/>
        <v>396669</v>
      </c>
      <c r="T100" s="45"/>
      <c r="U100" s="45">
        <v>6590306</v>
      </c>
      <c r="V100" s="35"/>
      <c r="W100" s="45">
        <v>2570</v>
      </c>
    </row>
    <row r="101" spans="1:23" s="49" customFormat="1" ht="12.75" customHeight="1">
      <c r="A101" s="44" t="s">
        <v>126</v>
      </c>
      <c r="C101" s="44" t="s">
        <v>27</v>
      </c>
      <c r="D101" s="35"/>
      <c r="E101" s="45">
        <v>814454</v>
      </c>
      <c r="F101" s="45"/>
      <c r="G101" s="45">
        <v>9270911</v>
      </c>
      <c r="H101" s="45"/>
      <c r="I101" s="45">
        <v>24498</v>
      </c>
      <c r="J101" s="45"/>
      <c r="K101" s="45">
        <v>316379</v>
      </c>
      <c r="L101" s="45"/>
      <c r="M101" s="45">
        <v>912460</v>
      </c>
      <c r="N101" s="45"/>
      <c r="O101" s="45">
        <v>989</v>
      </c>
      <c r="P101" s="45"/>
      <c r="Q101" s="45">
        <v>361198</v>
      </c>
      <c r="R101" s="45"/>
      <c r="S101" s="44">
        <f t="shared" si="3"/>
        <v>209469</v>
      </c>
      <c r="T101" s="45"/>
      <c r="U101" s="45">
        <v>11910358</v>
      </c>
      <c r="V101" s="35"/>
      <c r="W101" s="45">
        <v>1750</v>
      </c>
    </row>
    <row r="102" spans="1:23" s="49" customFormat="1" ht="12.75" customHeight="1">
      <c r="A102" s="44" t="s">
        <v>127</v>
      </c>
      <c r="C102" s="44" t="s">
        <v>43</v>
      </c>
      <c r="D102" s="35"/>
      <c r="E102" s="45">
        <v>1938359</v>
      </c>
      <c r="F102" s="45"/>
      <c r="G102" s="45">
        <v>10399816</v>
      </c>
      <c r="H102" s="45"/>
      <c r="I102" s="45">
        <v>0</v>
      </c>
      <c r="J102" s="45"/>
      <c r="K102" s="45">
        <v>2046871</v>
      </c>
      <c r="L102" s="45"/>
      <c r="M102" s="45">
        <v>1138436</v>
      </c>
      <c r="N102" s="45"/>
      <c r="O102" s="45">
        <v>0</v>
      </c>
      <c r="P102" s="45"/>
      <c r="Q102" s="45">
        <f>340100+522056</f>
        <v>862156</v>
      </c>
      <c r="R102" s="45"/>
      <c r="S102" s="44">
        <f t="shared" si="3"/>
        <v>420237</v>
      </c>
      <c r="T102" s="45"/>
      <c r="U102" s="45">
        <v>16805875</v>
      </c>
      <c r="V102" s="35"/>
      <c r="W102" s="45">
        <v>0</v>
      </c>
    </row>
    <row r="103" spans="1:23" s="49" customFormat="1" ht="12.75" customHeight="1">
      <c r="A103" s="44" t="s">
        <v>128</v>
      </c>
      <c r="C103" s="44" t="s">
        <v>119</v>
      </c>
      <c r="D103" s="35"/>
      <c r="E103" s="45">
        <v>3753329</v>
      </c>
      <c r="F103" s="45"/>
      <c r="G103" s="45">
        <v>0</v>
      </c>
      <c r="H103" s="45"/>
      <c r="I103" s="45">
        <v>0</v>
      </c>
      <c r="J103" s="45"/>
      <c r="K103" s="45">
        <v>748319</v>
      </c>
      <c r="L103" s="45"/>
      <c r="M103" s="45">
        <v>306488</v>
      </c>
      <c r="N103" s="45"/>
      <c r="O103" s="45">
        <v>0</v>
      </c>
      <c r="P103" s="45"/>
      <c r="Q103" s="45">
        <f>24125+236930</f>
        <v>261055</v>
      </c>
      <c r="R103" s="45"/>
      <c r="S103" s="44">
        <f t="shared" si="3"/>
        <v>151308</v>
      </c>
      <c r="T103" s="45"/>
      <c r="U103" s="45">
        <v>5220499</v>
      </c>
      <c r="V103" s="35"/>
      <c r="W103" s="45">
        <v>0</v>
      </c>
    </row>
    <row r="104" spans="1:23" s="49" customFormat="1" ht="12.75" customHeight="1">
      <c r="A104" s="44" t="s">
        <v>129</v>
      </c>
      <c r="C104" s="44" t="s">
        <v>80</v>
      </c>
      <c r="D104" s="35"/>
      <c r="E104" s="45">
        <v>266082</v>
      </c>
      <c r="F104" s="45"/>
      <c r="G104" s="45">
        <v>1903813</v>
      </c>
      <c r="H104" s="45"/>
      <c r="I104" s="45">
        <v>0</v>
      </c>
      <c r="J104" s="45"/>
      <c r="K104" s="45">
        <v>1088</v>
      </c>
      <c r="L104" s="45"/>
      <c r="M104" s="45">
        <v>255934</v>
      </c>
      <c r="N104" s="45"/>
      <c r="O104" s="45">
        <v>0</v>
      </c>
      <c r="P104" s="45"/>
      <c r="Q104" s="45">
        <f>61469+43486</f>
        <v>104955</v>
      </c>
      <c r="R104" s="45"/>
      <c r="S104" s="44">
        <f t="shared" si="3"/>
        <v>372609</v>
      </c>
      <c r="T104" s="45"/>
      <c r="U104" s="45">
        <v>2904481</v>
      </c>
      <c r="V104" s="35"/>
      <c r="W104" s="45">
        <v>60093</v>
      </c>
    </row>
    <row r="105" spans="1:23" s="49" customFormat="1" ht="12.75" customHeight="1">
      <c r="A105" s="44" t="s">
        <v>130</v>
      </c>
      <c r="C105" s="44" t="s">
        <v>66</v>
      </c>
      <c r="D105" s="35"/>
      <c r="E105" s="45">
        <v>1386406</v>
      </c>
      <c r="F105" s="45"/>
      <c r="G105" s="45">
        <v>6903281</v>
      </c>
      <c r="H105" s="45"/>
      <c r="I105" s="45">
        <v>0</v>
      </c>
      <c r="J105" s="45"/>
      <c r="K105" s="45">
        <v>1104799</v>
      </c>
      <c r="L105" s="45"/>
      <c r="M105" s="45">
        <v>1554459</v>
      </c>
      <c r="N105" s="45"/>
      <c r="O105" s="45">
        <v>0</v>
      </c>
      <c r="P105" s="45"/>
      <c r="Q105" s="45">
        <v>153161</v>
      </c>
      <c r="R105" s="45"/>
      <c r="S105" s="44">
        <f t="shared" si="3"/>
        <v>1408280</v>
      </c>
      <c r="T105" s="45"/>
      <c r="U105" s="45">
        <v>12510386</v>
      </c>
      <c r="V105" s="35"/>
      <c r="W105" s="45">
        <f>3265+42685</f>
        <v>45950</v>
      </c>
    </row>
    <row r="106" spans="1:23" s="46" customFormat="1" ht="12.75" customHeight="1">
      <c r="A106" s="44" t="s">
        <v>131</v>
      </c>
      <c r="B106" s="49"/>
      <c r="C106" s="44" t="s">
        <v>13</v>
      </c>
      <c r="D106" s="35"/>
      <c r="E106" s="45">
        <v>2351165</v>
      </c>
      <c r="F106" s="45"/>
      <c r="G106" s="45">
        <v>14539142</v>
      </c>
      <c r="H106" s="45"/>
      <c r="I106" s="45">
        <v>0</v>
      </c>
      <c r="J106" s="45"/>
      <c r="K106" s="45">
        <v>440869</v>
      </c>
      <c r="L106" s="45"/>
      <c r="M106" s="45">
        <v>3347008</v>
      </c>
      <c r="N106" s="45"/>
      <c r="O106" s="45">
        <v>51149</v>
      </c>
      <c r="P106" s="45"/>
      <c r="Q106" s="45">
        <v>71079</v>
      </c>
      <c r="R106" s="45"/>
      <c r="S106" s="44">
        <f t="shared" si="3"/>
        <v>1586228</v>
      </c>
      <c r="T106" s="45"/>
      <c r="U106" s="45">
        <v>22386640</v>
      </c>
      <c r="V106" s="35"/>
      <c r="W106" s="45">
        <v>11935</v>
      </c>
    </row>
    <row r="107" spans="1:23" s="46" customFormat="1" ht="12.75" customHeight="1">
      <c r="A107" s="44" t="s">
        <v>38</v>
      </c>
      <c r="B107" s="49"/>
      <c r="C107" s="44" t="s">
        <v>132</v>
      </c>
      <c r="D107" s="35"/>
      <c r="E107" s="45">
        <v>267640</v>
      </c>
      <c r="F107" s="45"/>
      <c r="G107" s="45">
        <v>2186892</v>
      </c>
      <c r="H107" s="45"/>
      <c r="I107" s="45">
        <v>0</v>
      </c>
      <c r="J107" s="45"/>
      <c r="K107" s="45">
        <v>656897</v>
      </c>
      <c r="L107" s="45"/>
      <c r="M107" s="45">
        <v>651308</v>
      </c>
      <c r="N107" s="45"/>
      <c r="O107" s="45">
        <v>0</v>
      </c>
      <c r="P107" s="45"/>
      <c r="Q107" s="45">
        <f>333266+71452</f>
        <v>404718</v>
      </c>
      <c r="R107" s="45"/>
      <c r="S107" s="44">
        <f t="shared" si="3"/>
        <v>212902</v>
      </c>
      <c r="T107" s="45"/>
      <c r="U107" s="45">
        <v>4380357</v>
      </c>
      <c r="V107" s="35"/>
      <c r="W107" s="45">
        <v>0</v>
      </c>
    </row>
    <row r="108" spans="1:23" s="49" customFormat="1" ht="12.75" customHeight="1">
      <c r="A108" s="44" t="s">
        <v>133</v>
      </c>
      <c r="C108" s="44" t="s">
        <v>27</v>
      </c>
      <c r="D108" s="35"/>
      <c r="E108" s="45">
        <v>847971</v>
      </c>
      <c r="F108" s="45"/>
      <c r="G108" s="45">
        <v>23220039</v>
      </c>
      <c r="H108" s="45"/>
      <c r="I108" s="45">
        <f>1150342+18027</f>
        <v>1168369</v>
      </c>
      <c r="J108" s="45"/>
      <c r="K108" s="45">
        <v>3806</v>
      </c>
      <c r="L108" s="45"/>
      <c r="M108" s="45">
        <v>1136668</v>
      </c>
      <c r="N108" s="45"/>
      <c r="O108" s="45">
        <v>0</v>
      </c>
      <c r="P108" s="45"/>
      <c r="Q108" s="45">
        <f>304009+317985</f>
        <v>621994</v>
      </c>
      <c r="R108" s="45"/>
      <c r="S108" s="44">
        <f t="shared" si="3"/>
        <v>797600</v>
      </c>
      <c r="T108" s="45"/>
      <c r="U108" s="45">
        <v>27796447</v>
      </c>
      <c r="V108" s="35"/>
      <c r="W108" s="45">
        <v>3936</v>
      </c>
    </row>
    <row r="109" spans="1:23" s="49" customFormat="1" ht="12.75" customHeight="1">
      <c r="A109" s="44" t="s">
        <v>482</v>
      </c>
      <c r="C109" s="44" t="s">
        <v>45</v>
      </c>
      <c r="D109" s="35"/>
      <c r="E109" s="45">
        <v>818054</v>
      </c>
      <c r="F109" s="45"/>
      <c r="G109" s="45">
        <v>0</v>
      </c>
      <c r="H109" s="45"/>
      <c r="I109" s="45">
        <v>0</v>
      </c>
      <c r="J109" s="45"/>
      <c r="K109" s="45">
        <v>386012</v>
      </c>
      <c r="L109" s="45"/>
      <c r="M109" s="45">
        <v>2438305</v>
      </c>
      <c r="N109" s="45"/>
      <c r="O109" s="45">
        <v>0</v>
      </c>
      <c r="P109" s="45"/>
      <c r="Q109" s="45">
        <v>33728</v>
      </c>
      <c r="R109" s="45"/>
      <c r="S109" s="44">
        <f t="shared" si="3"/>
        <v>617743</v>
      </c>
      <c r="T109" s="45"/>
      <c r="U109" s="45">
        <v>4293842</v>
      </c>
      <c r="V109" s="35"/>
      <c r="W109" s="45">
        <v>7027886</v>
      </c>
    </row>
    <row r="110" spans="1:23" s="49" customFormat="1" ht="12.75" customHeight="1">
      <c r="A110" s="44" t="s">
        <v>136</v>
      </c>
      <c r="C110" s="44" t="s">
        <v>136</v>
      </c>
      <c r="D110" s="35"/>
      <c r="E110" s="45">
        <v>367691</v>
      </c>
      <c r="F110" s="45"/>
      <c r="G110" s="45">
        <v>0</v>
      </c>
      <c r="H110" s="45"/>
      <c r="I110" s="45">
        <v>748547</v>
      </c>
      <c r="J110" s="45"/>
      <c r="K110" s="45">
        <v>54949</v>
      </c>
      <c r="L110" s="45"/>
      <c r="M110" s="45">
        <v>424458</v>
      </c>
      <c r="N110" s="45"/>
      <c r="O110" s="45">
        <v>0</v>
      </c>
      <c r="P110" s="45"/>
      <c r="Q110" s="45">
        <f>69375+84821</f>
        <v>154196</v>
      </c>
      <c r="R110" s="45"/>
      <c r="S110" s="44">
        <f>U110-E110-G110-K110-M110-O110-Q110-I110</f>
        <v>761517</v>
      </c>
      <c r="T110" s="45"/>
      <c r="U110" s="45">
        <v>2511358</v>
      </c>
      <c r="V110" s="35"/>
      <c r="W110" s="45">
        <v>12900</v>
      </c>
    </row>
    <row r="111" spans="1:23" s="49" customFormat="1" ht="12.75" customHeight="1">
      <c r="A111" s="44" t="s">
        <v>137</v>
      </c>
      <c r="C111" s="44" t="s">
        <v>22</v>
      </c>
      <c r="D111" s="35"/>
      <c r="E111" s="45">
        <v>1644185</v>
      </c>
      <c r="F111" s="45"/>
      <c r="G111" s="45">
        <v>0</v>
      </c>
      <c r="H111" s="45"/>
      <c r="I111" s="45">
        <v>0</v>
      </c>
      <c r="J111" s="45"/>
      <c r="K111" s="45">
        <v>1299933</v>
      </c>
      <c r="L111" s="45"/>
      <c r="M111" s="45">
        <v>2343325</v>
      </c>
      <c r="N111" s="45"/>
      <c r="O111" s="45">
        <v>0</v>
      </c>
      <c r="P111" s="45"/>
      <c r="Q111" s="45">
        <f>225792+100421</f>
        <v>326213</v>
      </c>
      <c r="R111" s="45"/>
      <c r="S111" s="44">
        <f t="shared" ref="S111:S143" si="4">U111-E111-G111-K111-M111-O111-Q111-I111</f>
        <v>673197</v>
      </c>
      <c r="T111" s="45"/>
      <c r="U111" s="45">
        <v>6286853</v>
      </c>
      <c r="V111" s="35"/>
      <c r="W111" s="45">
        <v>2000000</v>
      </c>
    </row>
    <row r="112" spans="1:23" s="49" customFormat="1" ht="12.75" hidden="1" customHeight="1">
      <c r="A112" s="44" t="s">
        <v>138</v>
      </c>
      <c r="C112" s="44" t="s">
        <v>139</v>
      </c>
      <c r="D112" s="3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4">
        <f t="shared" si="4"/>
        <v>0</v>
      </c>
      <c r="T112" s="45"/>
      <c r="U112" s="45"/>
      <c r="V112" s="35"/>
      <c r="W112" s="45"/>
    </row>
    <row r="113" spans="1:23" s="49" customFormat="1" ht="12.75" customHeight="1">
      <c r="A113" s="44" t="s">
        <v>140</v>
      </c>
      <c r="C113" s="44" t="s">
        <v>66</v>
      </c>
      <c r="D113" s="35"/>
      <c r="E113" s="45">
        <v>7586201</v>
      </c>
      <c r="F113" s="45"/>
      <c r="G113" s="45">
        <v>38244422</v>
      </c>
      <c r="H113" s="45"/>
      <c r="I113" s="45">
        <v>0</v>
      </c>
      <c r="J113" s="45"/>
      <c r="K113" s="45">
        <v>191755</v>
      </c>
      <c r="L113" s="45"/>
      <c r="M113" s="45">
        <v>1836001</v>
      </c>
      <c r="N113" s="45"/>
      <c r="O113" s="45">
        <v>402314</v>
      </c>
      <c r="P113" s="45"/>
      <c r="Q113" s="45">
        <f>1423331+612250</f>
        <v>2035581</v>
      </c>
      <c r="R113" s="45"/>
      <c r="S113" s="44">
        <f t="shared" si="4"/>
        <v>2959965</v>
      </c>
      <c r="T113" s="45"/>
      <c r="U113" s="45">
        <v>53256239</v>
      </c>
      <c r="V113" s="35"/>
      <c r="W113" s="45">
        <v>42470</v>
      </c>
    </row>
    <row r="114" spans="1:23" s="49" customFormat="1" ht="12.75" customHeight="1">
      <c r="A114" s="44" t="s">
        <v>478</v>
      </c>
      <c r="C114" s="44" t="s">
        <v>92</v>
      </c>
      <c r="D114" s="35"/>
      <c r="E114" s="45">
        <v>637117</v>
      </c>
      <c r="F114" s="45"/>
      <c r="G114" s="45">
        <v>3058415</v>
      </c>
      <c r="H114" s="45"/>
      <c r="I114" s="45">
        <v>0</v>
      </c>
      <c r="J114" s="45"/>
      <c r="K114" s="45">
        <v>122960</v>
      </c>
      <c r="L114" s="45"/>
      <c r="M114" s="45">
        <v>683184</v>
      </c>
      <c r="N114" s="45"/>
      <c r="O114" s="45">
        <v>0</v>
      </c>
      <c r="P114" s="45"/>
      <c r="Q114" s="45">
        <f>15132+23694</f>
        <v>38826</v>
      </c>
      <c r="R114" s="45"/>
      <c r="S114" s="44">
        <f t="shared" si="4"/>
        <v>235645</v>
      </c>
      <c r="T114" s="45"/>
      <c r="U114" s="45">
        <v>4776147</v>
      </c>
      <c r="V114" s="35"/>
      <c r="W114" s="45">
        <v>91462</v>
      </c>
    </row>
    <row r="115" spans="1:23" s="46" customFormat="1" ht="12.75" customHeight="1">
      <c r="A115" s="44" t="s">
        <v>141</v>
      </c>
      <c r="B115" s="49"/>
      <c r="C115" s="44" t="s">
        <v>27</v>
      </c>
      <c r="D115" s="35"/>
      <c r="E115" s="45">
        <v>7446765</v>
      </c>
      <c r="F115" s="45"/>
      <c r="G115" s="45">
        <v>18480218</v>
      </c>
      <c r="H115" s="45"/>
      <c r="I115" s="45">
        <v>0</v>
      </c>
      <c r="J115" s="45"/>
      <c r="K115" s="45">
        <v>646077</v>
      </c>
      <c r="L115" s="45"/>
      <c r="M115" s="45">
        <v>6296656</v>
      </c>
      <c r="N115" s="45"/>
      <c r="O115" s="45">
        <v>0</v>
      </c>
      <c r="P115" s="45"/>
      <c r="Q115" s="45">
        <f>1468338+1881374</f>
        <v>3349712</v>
      </c>
      <c r="R115" s="45"/>
      <c r="S115" s="44">
        <f t="shared" si="4"/>
        <v>549838</v>
      </c>
      <c r="T115" s="45"/>
      <c r="U115" s="45">
        <v>36769266</v>
      </c>
      <c r="V115" s="35"/>
      <c r="W115" s="45">
        <f>4110632+639761</f>
        <v>4750393</v>
      </c>
    </row>
    <row r="116" spans="1:23" s="49" customFormat="1" ht="12.75" customHeight="1">
      <c r="A116" s="44" t="s">
        <v>142</v>
      </c>
      <c r="C116" s="44" t="s">
        <v>102</v>
      </c>
      <c r="D116" s="35"/>
      <c r="E116" s="45">
        <v>17486738</v>
      </c>
      <c r="F116" s="45"/>
      <c r="G116" s="45">
        <v>0</v>
      </c>
      <c r="H116" s="45"/>
      <c r="I116" s="45">
        <v>0</v>
      </c>
      <c r="J116" s="45"/>
      <c r="K116" s="45">
        <v>2732056</v>
      </c>
      <c r="L116" s="45"/>
      <c r="M116" s="45">
        <v>3013978</v>
      </c>
      <c r="N116" s="45"/>
      <c r="O116" s="45">
        <v>0</v>
      </c>
      <c r="P116" s="45"/>
      <c r="Q116" s="45">
        <v>757148</v>
      </c>
      <c r="R116" s="45"/>
      <c r="S116" s="44">
        <f>U116-E116-G116-K116-M116-O116-Q116-I116</f>
        <v>1164308</v>
      </c>
      <c r="T116" s="45"/>
      <c r="U116" s="45">
        <v>25154228</v>
      </c>
      <c r="V116" s="35"/>
      <c r="W116" s="45">
        <v>110794</v>
      </c>
    </row>
    <row r="117" spans="1:23" s="49" customFormat="1" ht="12.75" customHeight="1">
      <c r="A117" s="44" t="s">
        <v>143</v>
      </c>
      <c r="C117" s="44" t="s">
        <v>111</v>
      </c>
      <c r="D117" s="35"/>
      <c r="E117" s="45">
        <v>1364977</v>
      </c>
      <c r="F117" s="45"/>
      <c r="G117" s="45">
        <v>2732396</v>
      </c>
      <c r="H117" s="45"/>
      <c r="I117" s="45">
        <v>1389678</v>
      </c>
      <c r="J117" s="45"/>
      <c r="K117" s="45">
        <v>1769931</v>
      </c>
      <c r="L117" s="45"/>
      <c r="M117" s="45">
        <v>633234</v>
      </c>
      <c r="N117" s="45"/>
      <c r="O117" s="45">
        <v>0</v>
      </c>
      <c r="P117" s="45"/>
      <c r="Q117" s="45">
        <v>874984</v>
      </c>
      <c r="R117" s="45"/>
      <c r="S117" s="44">
        <f>U117-E117-G117-K117-M117-O117-Q117-I117</f>
        <v>450261</v>
      </c>
      <c r="T117" s="45"/>
      <c r="U117" s="45">
        <v>9215461</v>
      </c>
      <c r="V117" s="35"/>
      <c r="W117" s="45">
        <f>24500+57495</f>
        <v>81995</v>
      </c>
    </row>
    <row r="118" spans="1:23" s="49" customFormat="1" ht="12.75" customHeight="1">
      <c r="A118" s="44" t="s">
        <v>144</v>
      </c>
      <c r="C118" s="44" t="s">
        <v>88</v>
      </c>
      <c r="D118" s="35"/>
      <c r="E118" s="45">
        <v>1380229</v>
      </c>
      <c r="F118" s="45"/>
      <c r="G118" s="45">
        <v>15598533</v>
      </c>
      <c r="H118" s="45"/>
      <c r="I118" s="45">
        <v>0</v>
      </c>
      <c r="J118" s="45"/>
      <c r="K118" s="45">
        <v>4789365</v>
      </c>
      <c r="L118" s="45"/>
      <c r="M118" s="45">
        <v>4255063</v>
      </c>
      <c r="N118" s="45"/>
      <c r="O118" s="45">
        <v>0</v>
      </c>
      <c r="P118" s="45"/>
      <c r="Q118" s="45">
        <f>782025+984555</f>
        <v>1766580</v>
      </c>
      <c r="R118" s="45"/>
      <c r="S118" s="44">
        <f t="shared" si="4"/>
        <v>1339915</v>
      </c>
      <c r="T118" s="45"/>
      <c r="U118" s="45">
        <v>29129685</v>
      </c>
      <c r="V118" s="35"/>
      <c r="W118" s="45">
        <f>627+710000+7278</f>
        <v>717905</v>
      </c>
    </row>
    <row r="119" spans="1:23" s="49" customFormat="1" ht="12.75" customHeight="1">
      <c r="A119" s="44" t="s">
        <v>36</v>
      </c>
      <c r="C119" s="44" t="s">
        <v>145</v>
      </c>
      <c r="D119" s="35"/>
      <c r="E119" s="45">
        <v>203153</v>
      </c>
      <c r="F119" s="45"/>
      <c r="G119" s="45">
        <v>2029748</v>
      </c>
      <c r="H119" s="45"/>
      <c r="I119" s="45">
        <v>0</v>
      </c>
      <c r="J119" s="45"/>
      <c r="K119" s="45">
        <v>137428</v>
      </c>
      <c r="L119" s="45"/>
      <c r="M119" s="45">
        <v>587159</v>
      </c>
      <c r="N119" s="45"/>
      <c r="O119" s="45">
        <v>0</v>
      </c>
      <c r="P119" s="45"/>
      <c r="Q119" s="45">
        <v>61936</v>
      </c>
      <c r="R119" s="45"/>
      <c r="S119" s="44">
        <f t="shared" si="4"/>
        <v>84591</v>
      </c>
      <c r="T119" s="45"/>
      <c r="U119" s="45">
        <v>3104015</v>
      </c>
      <c r="V119" s="35"/>
      <c r="W119" s="45">
        <v>0</v>
      </c>
    </row>
    <row r="120" spans="1:23" s="46" customFormat="1" ht="12.75" customHeight="1">
      <c r="A120" s="44" t="s">
        <v>146</v>
      </c>
      <c r="B120" s="49"/>
      <c r="C120" s="44" t="s">
        <v>147</v>
      </c>
      <c r="D120" s="35"/>
      <c r="E120" s="45">
        <v>3038195</v>
      </c>
      <c r="F120" s="45"/>
      <c r="G120" s="45">
        <v>0</v>
      </c>
      <c r="H120" s="45"/>
      <c r="I120" s="45">
        <v>0</v>
      </c>
      <c r="J120" s="45"/>
      <c r="K120" s="45">
        <v>108829</v>
      </c>
      <c r="L120" s="45"/>
      <c r="M120" s="45">
        <v>455261</v>
      </c>
      <c r="N120" s="45"/>
      <c r="O120" s="45">
        <v>177246</v>
      </c>
      <c r="P120" s="45"/>
      <c r="Q120" s="45">
        <v>22107</v>
      </c>
      <c r="R120" s="45"/>
      <c r="S120" s="44">
        <f>U120-E120-G120-K120-M120-O120-Q120-I120</f>
        <v>196432</v>
      </c>
      <c r="T120" s="45"/>
      <c r="U120" s="45">
        <v>3998070</v>
      </c>
      <c r="V120" s="35"/>
      <c r="W120" s="45">
        <v>17485</v>
      </c>
    </row>
    <row r="121" spans="1:23" s="49" customFormat="1" ht="12.75" customHeight="1">
      <c r="A121" s="44" t="s">
        <v>17</v>
      </c>
      <c r="C121" s="44" t="s">
        <v>17</v>
      </c>
      <c r="D121" s="35"/>
      <c r="E121" s="45">
        <v>3419325</v>
      </c>
      <c r="F121" s="45"/>
      <c r="G121" s="45">
        <v>16216963</v>
      </c>
      <c r="H121" s="45"/>
      <c r="I121" s="45">
        <v>0</v>
      </c>
      <c r="J121" s="45"/>
      <c r="K121" s="45">
        <v>555664</v>
      </c>
      <c r="L121" s="45"/>
      <c r="M121" s="45">
        <v>739849</v>
      </c>
      <c r="N121" s="45"/>
      <c r="O121" s="45">
        <v>0</v>
      </c>
      <c r="P121" s="45"/>
      <c r="Q121" s="45">
        <f>1220471+701046</f>
        <v>1921517</v>
      </c>
      <c r="R121" s="45"/>
      <c r="S121" s="44">
        <f t="shared" si="4"/>
        <v>7026776</v>
      </c>
      <c r="T121" s="45"/>
      <c r="U121" s="45">
        <v>29880094</v>
      </c>
      <c r="V121" s="35"/>
      <c r="W121" s="45">
        <v>23995</v>
      </c>
    </row>
    <row r="122" spans="1:23" s="49" customFormat="1" ht="12.75" customHeight="1">
      <c r="A122" s="44" t="s">
        <v>148</v>
      </c>
      <c r="C122" s="44" t="s">
        <v>15</v>
      </c>
      <c r="D122" s="35"/>
      <c r="E122" s="45">
        <v>388954</v>
      </c>
      <c r="F122" s="45"/>
      <c r="G122" s="45">
        <v>2490508</v>
      </c>
      <c r="H122" s="45"/>
      <c r="I122" s="45">
        <v>0</v>
      </c>
      <c r="J122" s="45"/>
      <c r="K122" s="45">
        <v>254444</v>
      </c>
      <c r="L122" s="45"/>
      <c r="M122" s="45">
        <v>488419</v>
      </c>
      <c r="N122" s="45"/>
      <c r="O122" s="45">
        <v>0</v>
      </c>
      <c r="P122" s="45"/>
      <c r="Q122" s="45">
        <f>2727+111010</f>
        <v>113737</v>
      </c>
      <c r="R122" s="45"/>
      <c r="S122" s="44">
        <f t="shared" si="4"/>
        <v>187772</v>
      </c>
      <c r="T122" s="45"/>
      <c r="U122" s="45">
        <v>3923834</v>
      </c>
      <c r="V122" s="35"/>
      <c r="W122" s="45">
        <v>0</v>
      </c>
    </row>
    <row r="123" spans="1:23" s="49" customFormat="1" ht="12.75" customHeight="1">
      <c r="A123" s="44" t="s">
        <v>149</v>
      </c>
      <c r="C123" s="44" t="s">
        <v>45</v>
      </c>
      <c r="D123" s="35"/>
      <c r="E123" s="45">
        <v>911428</v>
      </c>
      <c r="F123" s="45"/>
      <c r="G123" s="45">
        <v>0</v>
      </c>
      <c r="H123" s="45"/>
      <c r="I123" s="45">
        <v>0</v>
      </c>
      <c r="J123" s="45"/>
      <c r="K123" s="45">
        <v>518780</v>
      </c>
      <c r="L123" s="45"/>
      <c r="M123" s="45">
        <v>980522</v>
      </c>
      <c r="N123" s="45"/>
      <c r="O123" s="45">
        <v>0</v>
      </c>
      <c r="P123" s="45"/>
      <c r="Q123" s="45">
        <f>92605+119080</f>
        <v>211685</v>
      </c>
      <c r="R123" s="45"/>
      <c r="S123" s="44">
        <f t="shared" si="4"/>
        <v>83497</v>
      </c>
      <c r="T123" s="45"/>
      <c r="U123" s="45">
        <v>2705912</v>
      </c>
      <c r="V123" s="35"/>
      <c r="W123" s="45">
        <v>2229682</v>
      </c>
    </row>
    <row r="124" spans="1:23" s="49" customFormat="1" ht="12.75" customHeight="1">
      <c r="A124" s="44" t="s">
        <v>150</v>
      </c>
      <c r="C124" s="44" t="s">
        <v>27</v>
      </c>
      <c r="D124" s="35"/>
      <c r="E124" s="45">
        <v>3089392</v>
      </c>
      <c r="F124" s="45"/>
      <c r="G124" s="45">
        <v>5910371</v>
      </c>
      <c r="H124" s="45"/>
      <c r="I124" s="45">
        <v>0</v>
      </c>
      <c r="J124" s="45"/>
      <c r="K124" s="45">
        <v>528982</v>
      </c>
      <c r="L124" s="45"/>
      <c r="M124" s="45">
        <v>2286465</v>
      </c>
      <c r="N124" s="45"/>
      <c r="O124" s="45">
        <v>0</v>
      </c>
      <c r="P124" s="45"/>
      <c r="Q124" s="45">
        <v>1543810</v>
      </c>
      <c r="R124" s="45"/>
      <c r="S124" s="44">
        <v>184593</v>
      </c>
      <c r="T124" s="45"/>
      <c r="U124" s="45">
        <v>13543613</v>
      </c>
      <c r="V124" s="35"/>
      <c r="W124" s="45">
        <v>278056</v>
      </c>
    </row>
    <row r="125" spans="1:23" s="49" customFormat="1" ht="12.75" customHeight="1">
      <c r="A125" s="44" t="s">
        <v>151</v>
      </c>
      <c r="C125" s="44" t="s">
        <v>13</v>
      </c>
      <c r="D125" s="35"/>
      <c r="E125" s="45">
        <v>1759344</v>
      </c>
      <c r="F125" s="45"/>
      <c r="G125" s="45">
        <v>5771468</v>
      </c>
      <c r="H125" s="45"/>
      <c r="I125" s="45">
        <v>0</v>
      </c>
      <c r="J125" s="45"/>
      <c r="K125" s="45">
        <v>533067</v>
      </c>
      <c r="L125" s="45"/>
      <c r="M125" s="45">
        <v>1221939</v>
      </c>
      <c r="N125" s="45"/>
      <c r="O125" s="45">
        <v>38595</v>
      </c>
      <c r="P125" s="45"/>
      <c r="Q125" s="45">
        <v>642687</v>
      </c>
      <c r="R125" s="45"/>
      <c r="S125" s="44">
        <f t="shared" si="4"/>
        <v>265990</v>
      </c>
      <c r="T125" s="45"/>
      <c r="U125" s="45">
        <v>10233090</v>
      </c>
      <c r="V125" s="35"/>
      <c r="W125" s="45">
        <v>0</v>
      </c>
    </row>
    <row r="126" spans="1:23" s="49" customFormat="1" ht="12.75" customHeight="1">
      <c r="A126" s="44" t="s">
        <v>481</v>
      </c>
      <c r="C126" s="44" t="s">
        <v>45</v>
      </c>
      <c r="D126" s="35"/>
      <c r="E126" s="45">
        <v>1337949</v>
      </c>
      <c r="F126" s="45"/>
      <c r="G126" s="45">
        <v>0</v>
      </c>
      <c r="H126" s="45"/>
      <c r="I126" s="45">
        <v>0</v>
      </c>
      <c r="J126" s="45"/>
      <c r="K126" s="45">
        <v>63219</v>
      </c>
      <c r="L126" s="45"/>
      <c r="M126" s="45">
        <v>1091080</v>
      </c>
      <c r="N126" s="45"/>
      <c r="O126" s="45">
        <v>0</v>
      </c>
      <c r="P126" s="45"/>
      <c r="Q126" s="45">
        <f>8786+128352</f>
        <v>137138</v>
      </c>
      <c r="R126" s="45"/>
      <c r="S126" s="44">
        <f t="shared" si="4"/>
        <v>3404842</v>
      </c>
      <c r="T126" s="45"/>
      <c r="U126" s="45">
        <v>6034228</v>
      </c>
      <c r="V126" s="35"/>
      <c r="W126" s="45">
        <v>0</v>
      </c>
    </row>
    <row r="127" spans="1:23" s="49" customFormat="1" ht="12.75" customHeight="1">
      <c r="A127" s="44" t="s">
        <v>152</v>
      </c>
      <c r="C127" s="44" t="s">
        <v>153</v>
      </c>
      <c r="D127" s="35"/>
      <c r="E127" s="45">
        <v>2122295</v>
      </c>
      <c r="F127" s="45"/>
      <c r="G127" s="45">
        <v>931204</v>
      </c>
      <c r="H127" s="45"/>
      <c r="I127" s="45">
        <v>0</v>
      </c>
      <c r="J127" s="45"/>
      <c r="K127" s="45">
        <v>72329</v>
      </c>
      <c r="L127" s="45"/>
      <c r="M127" s="45">
        <v>4559251</v>
      </c>
      <c r="N127" s="45"/>
      <c r="O127" s="45">
        <v>26093</v>
      </c>
      <c r="P127" s="45"/>
      <c r="Q127" s="45">
        <f>1223665+566253</f>
        <v>1789918</v>
      </c>
      <c r="R127" s="45"/>
      <c r="S127" s="44">
        <f t="shared" si="4"/>
        <v>1136433</v>
      </c>
      <c r="T127" s="45"/>
      <c r="U127" s="45">
        <v>10637523</v>
      </c>
      <c r="V127" s="35"/>
      <c r="W127" s="45">
        <v>69419</v>
      </c>
    </row>
    <row r="128" spans="1:23" s="130" customFormat="1" ht="12" hidden="1" customHeight="1">
      <c r="A128" s="123" t="s">
        <v>154</v>
      </c>
      <c r="B128" s="123"/>
      <c r="C128" s="123" t="s">
        <v>27</v>
      </c>
      <c r="D128" s="129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1">
        <f t="shared" si="4"/>
        <v>0</v>
      </c>
      <c r="T128" s="127"/>
      <c r="U128" s="127"/>
      <c r="V128" s="126"/>
      <c r="W128" s="127"/>
    </row>
    <row r="129" spans="1:26" s="49" customFormat="1" ht="12.75" customHeight="1">
      <c r="A129" s="44" t="s">
        <v>155</v>
      </c>
      <c r="C129" s="44" t="s">
        <v>40</v>
      </c>
      <c r="D129" s="35"/>
      <c r="E129" s="45">
        <v>516514</v>
      </c>
      <c r="F129" s="45"/>
      <c r="G129" s="45">
        <v>5844109</v>
      </c>
      <c r="H129" s="45"/>
      <c r="I129" s="45">
        <v>255867</v>
      </c>
      <c r="J129" s="45"/>
      <c r="K129" s="45">
        <v>72898</v>
      </c>
      <c r="L129" s="45"/>
      <c r="M129" s="45">
        <v>1297518</v>
      </c>
      <c r="N129" s="45"/>
      <c r="O129" s="45">
        <v>0</v>
      </c>
      <c r="P129" s="45"/>
      <c r="Q129" s="45">
        <v>563324</v>
      </c>
      <c r="R129" s="45"/>
      <c r="S129" s="44">
        <f t="shared" si="4"/>
        <v>1215771</v>
      </c>
      <c r="T129" s="45"/>
      <c r="U129" s="45">
        <v>9766001</v>
      </c>
      <c r="V129" s="35"/>
      <c r="W129" s="45">
        <v>1554</v>
      </c>
    </row>
    <row r="130" spans="1:26" s="49" customFormat="1" ht="12.75" customHeight="1">
      <c r="A130" s="44" t="s">
        <v>471</v>
      </c>
      <c r="C130" s="44"/>
      <c r="D130" s="3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4"/>
      <c r="T130" s="45"/>
      <c r="U130" s="45"/>
      <c r="V130" s="35"/>
      <c r="W130" s="48" t="s">
        <v>484</v>
      </c>
    </row>
    <row r="131" spans="1:26" s="49" customFormat="1" ht="12.75" customHeight="1">
      <c r="A131" s="44" t="s">
        <v>156</v>
      </c>
      <c r="C131" s="44" t="s">
        <v>156</v>
      </c>
      <c r="D131" s="35"/>
      <c r="E131" s="94">
        <v>1185862</v>
      </c>
      <c r="F131" s="94"/>
      <c r="G131" s="94">
        <v>13226181</v>
      </c>
      <c r="H131" s="94"/>
      <c r="I131" s="94">
        <v>0</v>
      </c>
      <c r="J131" s="94"/>
      <c r="K131" s="94">
        <v>1182384</v>
      </c>
      <c r="L131" s="94"/>
      <c r="M131" s="94">
        <v>2879405</v>
      </c>
      <c r="N131" s="94"/>
      <c r="O131" s="94">
        <v>0</v>
      </c>
      <c r="P131" s="94"/>
      <c r="Q131" s="94">
        <f>1079571+266747</f>
        <v>1346318</v>
      </c>
      <c r="R131" s="94"/>
      <c r="S131" s="46">
        <f t="shared" si="4"/>
        <v>552468</v>
      </c>
      <c r="T131" s="94"/>
      <c r="U131" s="94">
        <v>20372618</v>
      </c>
      <c r="V131" s="64"/>
      <c r="W131" s="94">
        <v>7650</v>
      </c>
      <c r="X131" s="46"/>
      <c r="Y131" s="46"/>
      <c r="Z131" s="46"/>
    </row>
    <row r="132" spans="1:26" s="49" customFormat="1" ht="12.75" customHeight="1">
      <c r="A132" s="44" t="s">
        <v>157</v>
      </c>
      <c r="C132" s="44" t="s">
        <v>33</v>
      </c>
      <c r="D132" s="35"/>
      <c r="E132" s="45">
        <v>168724</v>
      </c>
      <c r="F132" s="45"/>
      <c r="G132" s="45">
        <v>1269841</v>
      </c>
      <c r="H132" s="45"/>
      <c r="I132" s="45">
        <v>0</v>
      </c>
      <c r="J132" s="45"/>
      <c r="K132" s="45">
        <v>0</v>
      </c>
      <c r="L132" s="45"/>
      <c r="M132" s="45">
        <v>465861</v>
      </c>
      <c r="N132" s="45"/>
      <c r="O132" s="45">
        <v>0</v>
      </c>
      <c r="P132" s="45"/>
      <c r="Q132" s="45">
        <f>31066+124150</f>
        <v>155216</v>
      </c>
      <c r="R132" s="45"/>
      <c r="S132" s="44">
        <f t="shared" si="4"/>
        <v>98964</v>
      </c>
      <c r="T132" s="45"/>
      <c r="U132" s="45">
        <v>2158606</v>
      </c>
      <c r="V132" s="35"/>
      <c r="W132" s="45">
        <v>0</v>
      </c>
    </row>
    <row r="133" spans="1:26" s="49" customFormat="1" ht="12.75" customHeight="1">
      <c r="A133" s="44" t="s">
        <v>158</v>
      </c>
      <c r="C133" s="44" t="s">
        <v>159</v>
      </c>
      <c r="D133" s="35"/>
      <c r="E133" s="45">
        <v>1643908</v>
      </c>
      <c r="F133" s="45"/>
      <c r="G133" s="45">
        <v>8358849</v>
      </c>
      <c r="H133" s="45"/>
      <c r="I133" s="45">
        <v>159316</v>
      </c>
      <c r="J133" s="45"/>
      <c r="K133" s="45">
        <v>534669</v>
      </c>
      <c r="L133" s="45"/>
      <c r="M133" s="45">
        <v>915325</v>
      </c>
      <c r="N133" s="45"/>
      <c r="O133" s="45">
        <v>0</v>
      </c>
      <c r="P133" s="45"/>
      <c r="Q133" s="45">
        <f>428218+297536</f>
        <v>725754</v>
      </c>
      <c r="R133" s="45"/>
      <c r="S133" s="44">
        <f t="shared" si="4"/>
        <v>453159</v>
      </c>
      <c r="T133" s="45"/>
      <c r="U133" s="45">
        <v>12790980</v>
      </c>
      <c r="V133" s="35"/>
      <c r="W133" s="45">
        <v>8037</v>
      </c>
    </row>
    <row r="134" spans="1:26" s="46" customFormat="1" ht="12.75" customHeight="1">
      <c r="A134" s="46" t="s">
        <v>160</v>
      </c>
      <c r="C134" s="46" t="s">
        <v>111</v>
      </c>
      <c r="D134" s="64"/>
      <c r="E134" s="45">
        <v>23330456</v>
      </c>
      <c r="F134" s="45"/>
      <c r="G134" s="45">
        <v>0</v>
      </c>
      <c r="H134" s="45"/>
      <c r="I134" s="45">
        <v>0</v>
      </c>
      <c r="J134" s="45"/>
      <c r="K134" s="45">
        <v>1413846</v>
      </c>
      <c r="L134" s="45"/>
      <c r="M134" s="45">
        <v>2810787</v>
      </c>
      <c r="N134" s="45"/>
      <c r="O134" s="45">
        <v>0</v>
      </c>
      <c r="P134" s="45"/>
      <c r="Q134" s="45">
        <v>1446352</v>
      </c>
      <c r="R134" s="45"/>
      <c r="S134" s="44">
        <f t="shared" si="4"/>
        <v>2265241</v>
      </c>
      <c r="T134" s="45"/>
      <c r="U134" s="45">
        <v>31266682</v>
      </c>
      <c r="V134" s="35"/>
      <c r="W134" s="45">
        <v>6970000</v>
      </c>
    </row>
    <row r="135" spans="1:26" s="49" customFormat="1" ht="12.75" customHeight="1">
      <c r="A135" s="44" t="s">
        <v>161</v>
      </c>
      <c r="C135" s="44" t="s">
        <v>15</v>
      </c>
      <c r="D135" s="35"/>
      <c r="E135" s="45">
        <v>1285255</v>
      </c>
      <c r="F135" s="45"/>
      <c r="G135" s="45">
        <v>10980472</v>
      </c>
      <c r="H135" s="45"/>
      <c r="I135" s="45">
        <v>0</v>
      </c>
      <c r="J135" s="45"/>
      <c r="K135" s="45">
        <v>454169</v>
      </c>
      <c r="L135" s="45"/>
      <c r="M135" s="45">
        <v>2321526</v>
      </c>
      <c r="N135" s="45"/>
      <c r="O135" s="45">
        <v>0</v>
      </c>
      <c r="P135" s="45"/>
      <c r="Q135" s="45">
        <f>1279858+193162</f>
        <v>1473020</v>
      </c>
      <c r="R135" s="45"/>
      <c r="S135" s="44">
        <f t="shared" si="4"/>
        <v>866560</v>
      </c>
      <c r="T135" s="45"/>
      <c r="U135" s="45">
        <v>17381002</v>
      </c>
      <c r="V135" s="35"/>
      <c r="W135" s="45">
        <v>0</v>
      </c>
    </row>
    <row r="136" spans="1:26" s="49" customFormat="1" ht="12.75" customHeight="1">
      <c r="A136" s="44" t="s">
        <v>162</v>
      </c>
      <c r="C136" s="44" t="s">
        <v>163</v>
      </c>
      <c r="D136" s="35"/>
      <c r="E136" s="45">
        <v>1801141</v>
      </c>
      <c r="F136" s="45"/>
      <c r="G136" s="45">
        <v>0</v>
      </c>
      <c r="H136" s="45"/>
      <c r="I136" s="45">
        <v>0</v>
      </c>
      <c r="J136" s="45"/>
      <c r="K136" s="45">
        <v>960670</v>
      </c>
      <c r="L136" s="45"/>
      <c r="M136" s="45">
        <v>2823794</v>
      </c>
      <c r="N136" s="45"/>
      <c r="O136" s="45">
        <v>14470</v>
      </c>
      <c r="P136" s="45"/>
      <c r="Q136" s="45">
        <f>670674+227290</f>
        <v>897964</v>
      </c>
      <c r="R136" s="45"/>
      <c r="S136" s="44">
        <f t="shared" si="4"/>
        <v>1413959</v>
      </c>
      <c r="T136" s="45"/>
      <c r="U136" s="45">
        <v>7911998</v>
      </c>
      <c r="V136" s="35"/>
      <c r="W136" s="45">
        <f>134500+11359983</f>
        <v>11494483</v>
      </c>
    </row>
    <row r="137" spans="1:26" s="49" customFormat="1" ht="12.75" customHeight="1">
      <c r="A137" s="44" t="s">
        <v>164</v>
      </c>
      <c r="C137" s="44" t="s">
        <v>27</v>
      </c>
      <c r="D137" s="35"/>
      <c r="E137" s="45">
        <v>3541154</v>
      </c>
      <c r="F137" s="45"/>
      <c r="G137" s="45">
        <v>11278659</v>
      </c>
      <c r="H137" s="45"/>
      <c r="I137" s="45">
        <v>143551</v>
      </c>
      <c r="J137" s="45"/>
      <c r="K137" s="45">
        <v>301931</v>
      </c>
      <c r="L137" s="45"/>
      <c r="M137" s="45">
        <v>2614015</v>
      </c>
      <c r="N137" s="45"/>
      <c r="O137" s="45">
        <v>0</v>
      </c>
      <c r="P137" s="45"/>
      <c r="Q137" s="45">
        <v>865715</v>
      </c>
      <c r="R137" s="45"/>
      <c r="S137" s="44">
        <f t="shared" si="4"/>
        <v>820733</v>
      </c>
      <c r="T137" s="45"/>
      <c r="U137" s="45">
        <v>19565758</v>
      </c>
      <c r="V137" s="35"/>
      <c r="W137" s="45">
        <v>0</v>
      </c>
    </row>
    <row r="138" spans="1:26" s="49" customFormat="1" ht="12.75" customHeight="1">
      <c r="A138" s="46" t="s">
        <v>53</v>
      </c>
      <c r="B138" s="46"/>
      <c r="C138" s="46" t="s">
        <v>53</v>
      </c>
      <c r="D138" s="64"/>
      <c r="E138" s="45">
        <v>1359191</v>
      </c>
      <c r="F138" s="45"/>
      <c r="G138" s="45">
        <v>2602535</v>
      </c>
      <c r="H138" s="45"/>
      <c r="I138" s="45">
        <v>910</v>
      </c>
      <c r="J138" s="45"/>
      <c r="K138" s="45">
        <v>459489</v>
      </c>
      <c r="L138" s="45"/>
      <c r="M138" s="45">
        <v>1434309</v>
      </c>
      <c r="N138" s="45"/>
      <c r="O138" s="45">
        <v>0</v>
      </c>
      <c r="P138" s="45"/>
      <c r="Q138" s="45">
        <f>327313+1331156</f>
        <v>1658469</v>
      </c>
      <c r="R138" s="45"/>
      <c r="S138" s="44">
        <f t="shared" si="4"/>
        <v>745103</v>
      </c>
      <c r="T138" s="45"/>
      <c r="U138" s="45">
        <v>8260006</v>
      </c>
      <c r="V138" s="35"/>
      <c r="W138" s="45">
        <v>0</v>
      </c>
    </row>
    <row r="139" spans="1:26" s="49" customFormat="1" ht="12.75" customHeight="1">
      <c r="A139" s="44" t="s">
        <v>165</v>
      </c>
      <c r="C139" s="44" t="s">
        <v>92</v>
      </c>
      <c r="D139" s="35"/>
      <c r="E139" s="45">
        <v>1943948</v>
      </c>
      <c r="F139" s="45"/>
      <c r="G139" s="45">
        <v>32960086</v>
      </c>
      <c r="H139" s="45"/>
      <c r="I139" s="45">
        <v>0</v>
      </c>
      <c r="J139" s="45"/>
      <c r="K139" s="45">
        <v>5304468</v>
      </c>
      <c r="L139" s="45"/>
      <c r="M139" s="45">
        <v>4791206</v>
      </c>
      <c r="N139" s="45"/>
      <c r="O139" s="45">
        <v>0</v>
      </c>
      <c r="P139" s="45"/>
      <c r="Q139" s="45">
        <f>1191262+1123931</f>
        <v>2315193</v>
      </c>
      <c r="R139" s="45"/>
      <c r="S139" s="44">
        <f t="shared" si="4"/>
        <v>582337</v>
      </c>
      <c r="T139" s="45"/>
      <c r="U139" s="45">
        <v>47897238</v>
      </c>
      <c r="V139" s="35"/>
      <c r="W139" s="45">
        <v>0</v>
      </c>
    </row>
    <row r="140" spans="1:26" s="49" customFormat="1" ht="12.75" customHeight="1">
      <c r="A140" s="44" t="s">
        <v>166</v>
      </c>
      <c r="C140" s="44" t="s">
        <v>92</v>
      </c>
      <c r="D140" s="35"/>
      <c r="E140" s="45">
        <v>366866</v>
      </c>
      <c r="F140" s="45"/>
      <c r="G140" s="45">
        <v>895745</v>
      </c>
      <c r="H140" s="45"/>
      <c r="I140" s="45">
        <v>0</v>
      </c>
      <c r="J140" s="45"/>
      <c r="K140" s="45">
        <v>434393</v>
      </c>
      <c r="L140" s="45"/>
      <c r="M140" s="45">
        <v>798453</v>
      </c>
      <c r="N140" s="45"/>
      <c r="O140" s="45">
        <v>1961</v>
      </c>
      <c r="P140" s="45"/>
      <c r="Q140" s="45">
        <f>37966+7750</f>
        <v>45716</v>
      </c>
      <c r="R140" s="45"/>
      <c r="S140" s="44">
        <f t="shared" si="4"/>
        <v>42245</v>
      </c>
      <c r="T140" s="45"/>
      <c r="U140" s="45">
        <v>2585379</v>
      </c>
      <c r="V140" s="35"/>
      <c r="W140" s="45">
        <f>2188+8451</f>
        <v>10639</v>
      </c>
    </row>
    <row r="141" spans="1:26" s="49" customFormat="1" ht="12.75" customHeight="1">
      <c r="A141" s="44" t="s">
        <v>167</v>
      </c>
      <c r="C141" s="44" t="s">
        <v>66</v>
      </c>
      <c r="D141" s="35"/>
      <c r="E141" s="45">
        <v>1750738</v>
      </c>
      <c r="F141" s="45"/>
      <c r="G141" s="45">
        <v>6917343</v>
      </c>
      <c r="H141" s="45"/>
      <c r="I141" s="45"/>
      <c r="J141" s="45"/>
      <c r="K141" s="45">
        <v>2691873</v>
      </c>
      <c r="L141" s="45"/>
      <c r="M141" s="45">
        <v>1539389</v>
      </c>
      <c r="N141" s="45"/>
      <c r="O141" s="45">
        <v>36594</v>
      </c>
      <c r="P141" s="45"/>
      <c r="Q141" s="45">
        <v>944373</v>
      </c>
      <c r="R141" s="45"/>
      <c r="S141" s="44">
        <f t="shared" si="4"/>
        <v>1380963</v>
      </c>
      <c r="T141" s="45"/>
      <c r="U141" s="45">
        <v>15261273</v>
      </c>
      <c r="V141" s="35"/>
      <c r="W141" s="45">
        <v>137438</v>
      </c>
    </row>
    <row r="142" spans="1:26" s="49" customFormat="1" ht="12.75" customHeight="1">
      <c r="A142" s="44" t="s">
        <v>168</v>
      </c>
      <c r="C142" s="44" t="s">
        <v>27</v>
      </c>
      <c r="D142" s="35"/>
      <c r="E142" s="45">
        <v>1481396</v>
      </c>
      <c r="F142" s="45"/>
      <c r="G142" s="45">
        <v>11121864</v>
      </c>
      <c r="H142" s="45"/>
      <c r="I142" s="45">
        <v>577467</v>
      </c>
      <c r="J142" s="45"/>
      <c r="K142" s="45">
        <v>203337</v>
      </c>
      <c r="L142" s="45"/>
      <c r="M142" s="45">
        <v>1591515</v>
      </c>
      <c r="N142" s="45"/>
      <c r="O142" s="45">
        <v>0</v>
      </c>
      <c r="P142" s="45"/>
      <c r="Q142" s="45">
        <v>971168</v>
      </c>
      <c r="R142" s="45"/>
      <c r="S142" s="44">
        <f t="shared" si="4"/>
        <v>701669</v>
      </c>
      <c r="T142" s="45"/>
      <c r="U142" s="45">
        <v>16648416</v>
      </c>
      <c r="V142" s="35"/>
      <c r="W142" s="45">
        <v>0</v>
      </c>
    </row>
    <row r="143" spans="1:26" s="49" customFormat="1" ht="12.75" customHeight="1">
      <c r="A143" s="44" t="s">
        <v>169</v>
      </c>
      <c r="C143" s="44" t="s">
        <v>103</v>
      </c>
      <c r="D143" s="35"/>
      <c r="E143" s="45">
        <v>3704644</v>
      </c>
      <c r="F143" s="45"/>
      <c r="G143" s="45">
        <v>14201929</v>
      </c>
      <c r="H143" s="45"/>
      <c r="I143" s="45">
        <v>0</v>
      </c>
      <c r="J143" s="45"/>
      <c r="K143" s="45">
        <v>4124366</v>
      </c>
      <c r="L143" s="45"/>
      <c r="M143" s="45">
        <v>4318538</v>
      </c>
      <c r="N143" s="45"/>
      <c r="O143" s="45">
        <v>0</v>
      </c>
      <c r="P143" s="45"/>
      <c r="Q143" s="45">
        <f>256525+76451</f>
        <v>332976</v>
      </c>
      <c r="R143" s="45"/>
      <c r="S143" s="44">
        <f t="shared" si="4"/>
        <v>1393803</v>
      </c>
      <c r="T143" s="45"/>
      <c r="U143" s="45">
        <v>28076256</v>
      </c>
      <c r="V143" s="35"/>
      <c r="W143" s="45">
        <v>43281</v>
      </c>
    </row>
    <row r="144" spans="1:26" s="49" customFormat="1" ht="12.75" customHeight="1">
      <c r="A144" s="44" t="s">
        <v>170</v>
      </c>
      <c r="C144" s="44" t="s">
        <v>171</v>
      </c>
      <c r="D144" s="35"/>
      <c r="E144" s="45">
        <v>735935</v>
      </c>
      <c r="F144" s="45"/>
      <c r="G144" s="45">
        <v>2069771</v>
      </c>
      <c r="H144" s="45"/>
      <c r="I144" s="45">
        <v>0</v>
      </c>
      <c r="J144" s="45"/>
      <c r="K144" s="45">
        <v>128248</v>
      </c>
      <c r="L144" s="45"/>
      <c r="M144" s="45">
        <v>959998</v>
      </c>
      <c r="N144" s="45"/>
      <c r="O144" s="45">
        <v>0</v>
      </c>
      <c r="P144" s="45"/>
      <c r="Q144" s="45">
        <f>161609+56267</f>
        <v>217876</v>
      </c>
      <c r="R144" s="45"/>
      <c r="S144" s="44">
        <f t="shared" ref="S144:S183" si="5">U144-E144-G144-K144-M144-O144-Q144-I144</f>
        <v>176478</v>
      </c>
      <c r="T144" s="45"/>
      <c r="U144" s="45">
        <v>4288306</v>
      </c>
      <c r="V144" s="35"/>
      <c r="W144" s="45">
        <v>0</v>
      </c>
    </row>
    <row r="145" spans="1:23" s="49" customFormat="1" ht="12.75" customHeight="1">
      <c r="A145" s="44" t="s">
        <v>172</v>
      </c>
      <c r="C145" s="44" t="s">
        <v>103</v>
      </c>
      <c r="D145" s="35"/>
      <c r="E145" s="45">
        <v>572562</v>
      </c>
      <c r="F145" s="45"/>
      <c r="G145" s="45">
        <v>5352927</v>
      </c>
      <c r="H145" s="45"/>
      <c r="I145" s="45">
        <v>0</v>
      </c>
      <c r="J145" s="45"/>
      <c r="K145" s="45">
        <v>170466</v>
      </c>
      <c r="L145" s="45"/>
      <c r="M145" s="45">
        <v>991744</v>
      </c>
      <c r="N145" s="45"/>
      <c r="O145" s="45">
        <v>0</v>
      </c>
      <c r="P145" s="45"/>
      <c r="Q145" s="45">
        <f>1026374+196017</f>
        <v>1222391</v>
      </c>
      <c r="R145" s="45"/>
      <c r="S145" s="44">
        <f t="shared" si="5"/>
        <v>384075</v>
      </c>
      <c r="T145" s="45"/>
      <c r="U145" s="45">
        <v>8694165</v>
      </c>
      <c r="V145" s="35"/>
      <c r="W145" s="45">
        <f>1938+420+22500</f>
        <v>24858</v>
      </c>
    </row>
    <row r="146" spans="1:23" s="49" customFormat="1" ht="12.75" customHeight="1">
      <c r="A146" s="46" t="s">
        <v>66</v>
      </c>
      <c r="B146" s="46"/>
      <c r="C146" s="46" t="s">
        <v>45</v>
      </c>
      <c r="D146" s="64"/>
      <c r="E146" s="45">
        <v>7598030</v>
      </c>
      <c r="F146" s="45"/>
      <c r="G146" s="45">
        <v>0</v>
      </c>
      <c r="H146" s="45"/>
      <c r="I146" s="45">
        <v>0</v>
      </c>
      <c r="J146" s="45"/>
      <c r="K146" s="45">
        <v>223291</v>
      </c>
      <c r="L146" s="45"/>
      <c r="M146" s="45">
        <v>612508</v>
      </c>
      <c r="N146" s="45"/>
      <c r="O146" s="45">
        <v>0</v>
      </c>
      <c r="P146" s="45"/>
      <c r="Q146" s="45">
        <f>157938+283777</f>
        <v>441715</v>
      </c>
      <c r="R146" s="45"/>
      <c r="S146" s="44">
        <f t="shared" si="5"/>
        <v>755636</v>
      </c>
      <c r="T146" s="45"/>
      <c r="U146" s="45">
        <v>9631180</v>
      </c>
      <c r="V146" s="35"/>
      <c r="W146" s="45">
        <v>15115</v>
      </c>
    </row>
    <row r="147" spans="1:23" s="49" customFormat="1" ht="12.75" customHeight="1">
      <c r="A147" s="44" t="s">
        <v>173</v>
      </c>
      <c r="C147" s="44" t="s">
        <v>66</v>
      </c>
      <c r="D147" s="35"/>
      <c r="E147" s="45">
        <v>528437</v>
      </c>
      <c r="F147" s="45"/>
      <c r="G147" s="45">
        <v>13828184</v>
      </c>
      <c r="H147" s="45"/>
      <c r="I147" s="45">
        <v>62093</v>
      </c>
      <c r="J147" s="45"/>
      <c r="K147" s="45">
        <v>66241</v>
      </c>
      <c r="L147" s="45"/>
      <c r="M147" s="45">
        <v>84302</v>
      </c>
      <c r="N147" s="45"/>
      <c r="O147" s="45">
        <v>0</v>
      </c>
      <c r="P147" s="45"/>
      <c r="Q147" s="45">
        <f>22640+204929</f>
        <v>227569</v>
      </c>
      <c r="R147" s="45"/>
      <c r="S147" s="44">
        <f t="shared" si="5"/>
        <v>1971861</v>
      </c>
      <c r="T147" s="45"/>
      <c r="U147" s="45">
        <v>16768687</v>
      </c>
      <c r="V147" s="35"/>
      <c r="W147" s="45">
        <v>44434</v>
      </c>
    </row>
    <row r="148" spans="1:23" s="49" customFormat="1" ht="12.75" customHeight="1">
      <c r="A148" s="44" t="s">
        <v>174</v>
      </c>
      <c r="C148" s="44" t="s">
        <v>45</v>
      </c>
      <c r="D148" s="35"/>
      <c r="E148" s="45">
        <v>375012</v>
      </c>
      <c r="F148" s="45"/>
      <c r="G148" s="45">
        <v>1341268</v>
      </c>
      <c r="H148" s="45"/>
      <c r="I148" s="45">
        <v>60442</v>
      </c>
      <c r="J148" s="45"/>
      <c r="K148" s="45">
        <v>516298</v>
      </c>
      <c r="L148" s="45"/>
      <c r="M148" s="45">
        <v>345365</v>
      </c>
      <c r="N148" s="45"/>
      <c r="O148" s="45">
        <v>0</v>
      </c>
      <c r="P148" s="45"/>
      <c r="Q148" s="45">
        <v>195955</v>
      </c>
      <c r="R148" s="45"/>
      <c r="S148" s="44">
        <f t="shared" si="5"/>
        <v>34537</v>
      </c>
      <c r="T148" s="45"/>
      <c r="U148" s="45">
        <v>2868877</v>
      </c>
      <c r="V148" s="35"/>
      <c r="W148" s="45">
        <v>8100</v>
      </c>
    </row>
    <row r="149" spans="1:23" s="49" customFormat="1" ht="12.75" customHeight="1">
      <c r="A149" s="44" t="s">
        <v>175</v>
      </c>
      <c r="C149" s="44" t="s">
        <v>176</v>
      </c>
      <c r="D149" s="35"/>
      <c r="E149" s="45">
        <v>9766143</v>
      </c>
      <c r="F149" s="45"/>
      <c r="G149" s="45">
        <v>0</v>
      </c>
      <c r="H149" s="45"/>
      <c r="I149" s="45">
        <v>0</v>
      </c>
      <c r="J149" s="45"/>
      <c r="K149" s="45">
        <v>1401084</v>
      </c>
      <c r="L149" s="45"/>
      <c r="M149" s="45">
        <v>942384</v>
      </c>
      <c r="N149" s="45"/>
      <c r="O149" s="45">
        <v>0</v>
      </c>
      <c r="P149" s="45"/>
      <c r="Q149" s="45">
        <f>15161+654393</f>
        <v>669554</v>
      </c>
      <c r="R149" s="45"/>
      <c r="S149" s="44">
        <f t="shared" si="5"/>
        <v>547295</v>
      </c>
      <c r="T149" s="45"/>
      <c r="U149" s="45">
        <v>13326460</v>
      </c>
      <c r="V149" s="35"/>
      <c r="W149" s="45">
        <v>10853</v>
      </c>
    </row>
    <row r="150" spans="1:23" s="49" customFormat="1" ht="12.75" customHeight="1">
      <c r="A150" s="46" t="s">
        <v>177</v>
      </c>
      <c r="B150" s="46"/>
      <c r="C150" s="46" t="s">
        <v>13</v>
      </c>
      <c r="D150" s="64"/>
      <c r="E150" s="45">
        <v>251049</v>
      </c>
      <c r="F150" s="45"/>
      <c r="G150" s="45">
        <v>984020</v>
      </c>
      <c r="H150" s="45"/>
      <c r="I150" s="45">
        <v>0</v>
      </c>
      <c r="J150" s="45"/>
      <c r="K150" s="45">
        <v>8158</v>
      </c>
      <c r="L150" s="45"/>
      <c r="M150" s="45">
        <v>478423</v>
      </c>
      <c r="N150" s="45"/>
      <c r="O150" s="45">
        <v>0</v>
      </c>
      <c r="P150" s="45"/>
      <c r="Q150" s="45">
        <v>107064</v>
      </c>
      <c r="R150" s="45"/>
      <c r="S150" s="44">
        <f t="shared" si="5"/>
        <v>241012</v>
      </c>
      <c r="T150" s="45"/>
      <c r="U150" s="45">
        <v>2069726</v>
      </c>
      <c r="V150" s="35"/>
      <c r="W150" s="45">
        <v>0</v>
      </c>
    </row>
    <row r="151" spans="1:23" s="49" customFormat="1" ht="12.75" customHeight="1">
      <c r="A151" s="44" t="s">
        <v>178</v>
      </c>
      <c r="C151" s="44" t="s">
        <v>179</v>
      </c>
      <c r="D151" s="35"/>
      <c r="E151" s="45">
        <v>301292</v>
      </c>
      <c r="F151" s="45"/>
      <c r="G151" s="45">
        <v>2271766</v>
      </c>
      <c r="H151" s="45"/>
      <c r="I151" s="45">
        <v>536676</v>
      </c>
      <c r="J151" s="45"/>
      <c r="K151" s="45">
        <v>254018</v>
      </c>
      <c r="L151" s="45"/>
      <c r="M151" s="45">
        <v>668708</v>
      </c>
      <c r="N151" s="45"/>
      <c r="O151" s="45">
        <v>0</v>
      </c>
      <c r="P151" s="45"/>
      <c r="Q151" s="45">
        <v>287014</v>
      </c>
      <c r="R151" s="45"/>
      <c r="S151" s="44">
        <f t="shared" si="5"/>
        <v>715415</v>
      </c>
      <c r="T151" s="45"/>
      <c r="U151" s="45">
        <v>5034889</v>
      </c>
      <c r="V151" s="35"/>
      <c r="W151" s="45">
        <f>202+42085</f>
        <v>42287</v>
      </c>
    </row>
    <row r="152" spans="1:23" s="123" customFormat="1" ht="12.75" hidden="1" customHeight="1">
      <c r="A152" s="121" t="s">
        <v>180</v>
      </c>
      <c r="B152" s="130"/>
      <c r="C152" s="121" t="s">
        <v>20</v>
      </c>
      <c r="D152" s="126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1">
        <f t="shared" si="5"/>
        <v>0</v>
      </c>
      <c r="T152" s="127"/>
      <c r="U152" s="127"/>
      <c r="V152" s="126"/>
      <c r="W152" s="127"/>
    </row>
    <row r="153" spans="1:23" s="49" customFormat="1" ht="12.75" customHeight="1">
      <c r="A153" s="44" t="s">
        <v>182</v>
      </c>
      <c r="C153" s="44" t="s">
        <v>183</v>
      </c>
      <c r="D153" s="35"/>
      <c r="E153" s="45">
        <v>70757</v>
      </c>
      <c r="F153" s="45"/>
      <c r="G153" s="45">
        <v>996163</v>
      </c>
      <c r="H153" s="45"/>
      <c r="I153" s="45">
        <v>7014</v>
      </c>
      <c r="J153" s="45"/>
      <c r="K153" s="45">
        <v>9466</v>
      </c>
      <c r="L153" s="45"/>
      <c r="M153" s="45">
        <v>124923</v>
      </c>
      <c r="N153" s="45"/>
      <c r="O153" s="45">
        <v>0</v>
      </c>
      <c r="P153" s="45"/>
      <c r="Q153" s="45">
        <f>19595+3094</f>
        <v>22689</v>
      </c>
      <c r="R153" s="45"/>
      <c r="S153" s="44">
        <f t="shared" si="5"/>
        <v>46297</v>
      </c>
      <c r="T153" s="45"/>
      <c r="U153" s="45">
        <v>1277309</v>
      </c>
      <c r="V153" s="35"/>
      <c r="W153" s="45">
        <v>0</v>
      </c>
    </row>
    <row r="154" spans="1:23" s="49" customFormat="1" ht="12.75" customHeight="1">
      <c r="A154" s="44" t="s">
        <v>487</v>
      </c>
      <c r="C154" s="44" t="s">
        <v>13</v>
      </c>
      <c r="D154" s="35"/>
      <c r="E154" s="45">
        <v>1134164</v>
      </c>
      <c r="F154" s="45"/>
      <c r="G154" s="45">
        <v>0</v>
      </c>
      <c r="H154" s="45"/>
      <c r="I154" s="45">
        <v>0</v>
      </c>
      <c r="J154" s="45"/>
      <c r="K154" s="45">
        <v>262959</v>
      </c>
      <c r="L154" s="45"/>
      <c r="M154" s="45">
        <v>725091</v>
      </c>
      <c r="N154" s="45"/>
      <c r="O154" s="45">
        <v>0</v>
      </c>
      <c r="P154" s="45"/>
      <c r="Q154" s="45">
        <f>73716+1633</f>
        <v>75349</v>
      </c>
      <c r="R154" s="45"/>
      <c r="S154" s="44">
        <f>U154-E154-G154-K154-M154-O154-Q154-I154</f>
        <v>64826</v>
      </c>
      <c r="T154" s="45"/>
      <c r="U154" s="45">
        <v>2262389</v>
      </c>
      <c r="V154" s="35"/>
      <c r="W154" s="45">
        <v>0</v>
      </c>
    </row>
    <row r="155" spans="1:23" s="49" customFormat="1" ht="12.75" customHeight="1">
      <c r="A155" s="44" t="s">
        <v>184</v>
      </c>
      <c r="C155" s="44" t="s">
        <v>89</v>
      </c>
      <c r="D155" s="35"/>
      <c r="E155" s="45">
        <v>977909</v>
      </c>
      <c r="F155" s="45"/>
      <c r="G155" s="45">
        <v>1686763</v>
      </c>
      <c r="H155" s="45"/>
      <c r="I155" s="45">
        <v>0</v>
      </c>
      <c r="J155" s="45"/>
      <c r="K155" s="45">
        <v>37504</v>
      </c>
      <c r="L155" s="45"/>
      <c r="M155" s="45">
        <v>1631093</v>
      </c>
      <c r="N155" s="45"/>
      <c r="O155" s="45">
        <v>2577</v>
      </c>
      <c r="P155" s="45"/>
      <c r="Q155" s="45">
        <f>5429+351426</f>
        <v>356855</v>
      </c>
      <c r="R155" s="45"/>
      <c r="S155" s="44">
        <f t="shared" si="5"/>
        <v>636868</v>
      </c>
      <c r="T155" s="45"/>
      <c r="U155" s="45">
        <v>5329569</v>
      </c>
      <c r="V155" s="35"/>
      <c r="W155" s="45">
        <f>187469+6064</f>
        <v>193533</v>
      </c>
    </row>
    <row r="156" spans="1:23" s="49" customFormat="1" ht="12.75" customHeight="1">
      <c r="A156" s="46" t="s">
        <v>181</v>
      </c>
      <c r="B156" s="46"/>
      <c r="C156" s="46" t="s">
        <v>125</v>
      </c>
      <c r="D156" s="64"/>
      <c r="E156" s="45">
        <v>2626339</v>
      </c>
      <c r="F156" s="45"/>
      <c r="G156" s="45">
        <v>0</v>
      </c>
      <c r="H156" s="45"/>
      <c r="I156" s="45">
        <v>0</v>
      </c>
      <c r="J156" s="45"/>
      <c r="K156" s="45">
        <v>1757543</v>
      </c>
      <c r="L156" s="45"/>
      <c r="M156" s="45">
        <v>3746432</v>
      </c>
      <c r="N156" s="45"/>
      <c r="O156" s="45">
        <v>0</v>
      </c>
      <c r="P156" s="45"/>
      <c r="Q156" s="45">
        <v>662318</v>
      </c>
      <c r="R156" s="45"/>
      <c r="S156" s="44">
        <f t="shared" si="5"/>
        <v>2499988</v>
      </c>
      <c r="T156" s="45"/>
      <c r="U156" s="45">
        <v>11292620</v>
      </c>
      <c r="V156" s="35"/>
      <c r="W156" s="45">
        <f>11324+18930221</f>
        <v>18941545</v>
      </c>
    </row>
    <row r="157" spans="1:23" s="49" customFormat="1" ht="12.75" customHeight="1">
      <c r="A157" s="44" t="s">
        <v>185</v>
      </c>
      <c r="C157" s="44" t="s">
        <v>80</v>
      </c>
      <c r="D157" s="35"/>
      <c r="E157" s="45">
        <v>1623479</v>
      </c>
      <c r="F157" s="45"/>
      <c r="G157" s="45">
        <v>3887866</v>
      </c>
      <c r="H157" s="45"/>
      <c r="I157" s="45">
        <v>0</v>
      </c>
      <c r="J157" s="45"/>
      <c r="K157" s="45">
        <v>855795</v>
      </c>
      <c r="L157" s="45"/>
      <c r="M157" s="45">
        <v>668863</v>
      </c>
      <c r="N157" s="45"/>
      <c r="O157" s="45">
        <v>21814</v>
      </c>
      <c r="P157" s="45"/>
      <c r="Q157" s="45">
        <f>478820+334168</f>
        <v>812988</v>
      </c>
      <c r="R157" s="45"/>
      <c r="S157" s="44">
        <f t="shared" si="5"/>
        <v>1016080</v>
      </c>
      <c r="T157" s="45"/>
      <c r="U157" s="45">
        <v>8886885</v>
      </c>
      <c r="V157" s="35"/>
      <c r="W157" s="45">
        <v>10053</v>
      </c>
    </row>
    <row r="158" spans="1:23" s="49" customFormat="1" ht="12.75" customHeight="1">
      <c r="A158" s="44" t="s">
        <v>186</v>
      </c>
      <c r="C158" s="44" t="s">
        <v>15</v>
      </c>
      <c r="D158" s="35"/>
      <c r="E158" s="45">
        <v>822300</v>
      </c>
      <c r="F158" s="45"/>
      <c r="G158" s="45">
        <v>4482624</v>
      </c>
      <c r="H158" s="45"/>
      <c r="I158" s="45">
        <v>0</v>
      </c>
      <c r="J158" s="45"/>
      <c r="K158" s="45">
        <v>291843</v>
      </c>
      <c r="L158" s="45"/>
      <c r="M158" s="45">
        <v>1592442</v>
      </c>
      <c r="N158" s="45"/>
      <c r="O158" s="45">
        <v>0</v>
      </c>
      <c r="P158" s="45"/>
      <c r="Q158" s="45">
        <f>154156+39459</f>
        <v>193615</v>
      </c>
      <c r="R158" s="45"/>
      <c r="S158" s="44">
        <f t="shared" si="5"/>
        <v>717626</v>
      </c>
      <c r="T158" s="45"/>
      <c r="U158" s="45">
        <v>8100450</v>
      </c>
      <c r="V158" s="35"/>
      <c r="W158" s="45">
        <v>800000</v>
      </c>
    </row>
    <row r="159" spans="1:23" s="44" customFormat="1" ht="12.75" customHeight="1">
      <c r="A159" s="44" t="s">
        <v>187</v>
      </c>
      <c r="C159" s="44" t="s">
        <v>27</v>
      </c>
      <c r="D159" s="35"/>
      <c r="E159" s="45">
        <v>5230229</v>
      </c>
      <c r="F159" s="45"/>
      <c r="G159" s="45">
        <v>8976411</v>
      </c>
      <c r="H159" s="45"/>
      <c r="I159" s="45">
        <v>0</v>
      </c>
      <c r="J159" s="45"/>
      <c r="K159" s="45">
        <v>1003163</v>
      </c>
      <c r="L159" s="45"/>
      <c r="M159" s="45">
        <v>3588812</v>
      </c>
      <c r="N159" s="45"/>
      <c r="O159" s="45">
        <v>0</v>
      </c>
      <c r="P159" s="45"/>
      <c r="Q159" s="45">
        <v>1041734</v>
      </c>
      <c r="R159" s="45"/>
      <c r="S159" s="44">
        <f t="shared" si="5"/>
        <v>256656</v>
      </c>
      <c r="T159" s="45"/>
      <c r="U159" s="45">
        <v>20097005</v>
      </c>
      <c r="V159" s="35"/>
      <c r="W159" s="45">
        <f>9027+547260</f>
        <v>556287</v>
      </c>
    </row>
    <row r="160" spans="1:23" s="49" customFormat="1" ht="12.75" customHeight="1">
      <c r="A160" s="44" t="s">
        <v>189</v>
      </c>
      <c r="C160" s="44" t="s">
        <v>17</v>
      </c>
      <c r="D160" s="35"/>
      <c r="E160" s="45">
        <v>1048115</v>
      </c>
      <c r="F160" s="45"/>
      <c r="G160" s="45">
        <v>0</v>
      </c>
      <c r="H160" s="45"/>
      <c r="I160" s="45">
        <v>0</v>
      </c>
      <c r="J160" s="45"/>
      <c r="K160" s="45">
        <v>0</v>
      </c>
      <c r="L160" s="45"/>
      <c r="M160" s="45">
        <v>1290806</v>
      </c>
      <c r="N160" s="45"/>
      <c r="O160" s="45">
        <v>0</v>
      </c>
      <c r="P160" s="45"/>
      <c r="Q160" s="45">
        <v>1019910</v>
      </c>
      <c r="R160" s="45"/>
      <c r="S160" s="44">
        <f t="shared" si="5"/>
        <v>654812</v>
      </c>
      <c r="T160" s="45"/>
      <c r="U160" s="45">
        <v>4013643</v>
      </c>
      <c r="V160" s="35"/>
      <c r="W160" s="45">
        <v>6460000</v>
      </c>
    </row>
    <row r="161" spans="1:24" s="49" customFormat="1" ht="12.75" customHeight="1">
      <c r="A161" s="44" t="s">
        <v>188</v>
      </c>
      <c r="C161" s="44" t="s">
        <v>27</v>
      </c>
      <c r="D161" s="35"/>
      <c r="E161" s="45">
        <v>935520</v>
      </c>
      <c r="F161" s="45"/>
      <c r="G161" s="45">
        <v>9151216</v>
      </c>
      <c r="H161" s="45"/>
      <c r="I161" s="45">
        <v>3948</v>
      </c>
      <c r="J161" s="45"/>
      <c r="K161" s="45">
        <v>205861</v>
      </c>
      <c r="L161" s="45"/>
      <c r="M161" s="45">
        <v>1779470</v>
      </c>
      <c r="N161" s="45"/>
      <c r="O161" s="45">
        <v>0</v>
      </c>
      <c r="P161" s="45"/>
      <c r="Q161" s="45">
        <f>292068+353233</f>
        <v>645301</v>
      </c>
      <c r="R161" s="45"/>
      <c r="S161" s="44">
        <f t="shared" si="5"/>
        <v>532737</v>
      </c>
      <c r="T161" s="45"/>
      <c r="U161" s="45">
        <v>13254053</v>
      </c>
      <c r="V161" s="35"/>
      <c r="W161" s="45">
        <f>6457+373580+34756</f>
        <v>414793</v>
      </c>
    </row>
    <row r="162" spans="1:24" s="49" customFormat="1" ht="12.75" customHeight="1">
      <c r="A162" s="44" t="s">
        <v>190</v>
      </c>
      <c r="C162" s="44" t="s">
        <v>47</v>
      </c>
      <c r="D162" s="35"/>
      <c r="E162" s="45">
        <v>258146</v>
      </c>
      <c r="F162" s="45"/>
      <c r="G162" s="45">
        <v>2934919</v>
      </c>
      <c r="H162" s="45"/>
      <c r="I162" s="45">
        <v>32023</v>
      </c>
      <c r="J162" s="45"/>
      <c r="K162" s="45">
        <v>65931</v>
      </c>
      <c r="L162" s="45"/>
      <c r="M162" s="45">
        <v>880088</v>
      </c>
      <c r="N162" s="45"/>
      <c r="O162" s="45">
        <v>54702</v>
      </c>
      <c r="P162" s="45"/>
      <c r="Q162" s="45">
        <f>118459+141787</f>
        <v>260246</v>
      </c>
      <c r="R162" s="45"/>
      <c r="S162" s="44">
        <f t="shared" si="5"/>
        <v>147255</v>
      </c>
      <c r="T162" s="45"/>
      <c r="U162" s="45">
        <v>4633310</v>
      </c>
      <c r="V162" s="35"/>
      <c r="W162" s="45">
        <v>0</v>
      </c>
    </row>
    <row r="163" spans="1:24" s="49" customFormat="1" ht="12.75" customHeight="1">
      <c r="A163" s="44" t="s">
        <v>191</v>
      </c>
      <c r="C163" s="44" t="s">
        <v>13</v>
      </c>
      <c r="D163" s="35"/>
      <c r="E163" s="45">
        <v>381558</v>
      </c>
      <c r="F163" s="45"/>
      <c r="G163" s="45">
        <v>3995958</v>
      </c>
      <c r="H163" s="45"/>
      <c r="I163" s="45">
        <v>0</v>
      </c>
      <c r="J163" s="45"/>
      <c r="K163" s="45">
        <v>59518</v>
      </c>
      <c r="L163" s="45"/>
      <c r="M163" s="45">
        <v>1200429</v>
      </c>
      <c r="N163" s="45"/>
      <c r="O163" s="45">
        <v>0</v>
      </c>
      <c r="P163" s="45"/>
      <c r="Q163" s="45">
        <v>87484</v>
      </c>
      <c r="R163" s="45"/>
      <c r="S163" s="44">
        <f t="shared" si="5"/>
        <v>192944</v>
      </c>
      <c r="T163" s="45"/>
      <c r="U163" s="45">
        <v>5917891</v>
      </c>
      <c r="V163" s="35"/>
      <c r="W163" s="45">
        <v>0</v>
      </c>
    </row>
    <row r="164" spans="1:24" s="49" customFormat="1" ht="12.75" customHeight="1">
      <c r="A164" s="44" t="s">
        <v>192</v>
      </c>
      <c r="C164" s="44" t="s">
        <v>38</v>
      </c>
      <c r="D164" s="35"/>
      <c r="E164" s="45">
        <v>811031</v>
      </c>
      <c r="F164" s="45"/>
      <c r="G164" s="45">
        <v>4516550</v>
      </c>
      <c r="H164" s="45"/>
      <c r="I164" s="45">
        <v>0</v>
      </c>
      <c r="J164" s="45"/>
      <c r="K164" s="45">
        <v>142186</v>
      </c>
      <c r="L164" s="45"/>
      <c r="M164" s="45">
        <v>1021351</v>
      </c>
      <c r="N164" s="45"/>
      <c r="O164" s="45">
        <v>16164</v>
      </c>
      <c r="P164" s="45"/>
      <c r="Q164" s="45">
        <f>21124+818809</f>
        <v>839933</v>
      </c>
      <c r="R164" s="45"/>
      <c r="S164" s="44">
        <f t="shared" si="5"/>
        <v>540864</v>
      </c>
      <c r="T164" s="45"/>
      <c r="U164" s="45">
        <v>7888079</v>
      </c>
      <c r="V164" s="35"/>
      <c r="W164" s="45">
        <v>14343</v>
      </c>
    </row>
    <row r="165" spans="1:24" s="123" customFormat="1" ht="12.75" hidden="1" customHeight="1">
      <c r="A165" s="121" t="s">
        <v>193</v>
      </c>
      <c r="B165" s="130"/>
      <c r="C165" s="121" t="s">
        <v>45</v>
      </c>
      <c r="D165" s="126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1">
        <f t="shared" si="5"/>
        <v>0</v>
      </c>
      <c r="T165" s="127"/>
      <c r="U165" s="127"/>
      <c r="V165" s="126"/>
      <c r="W165" s="127"/>
      <c r="X165" s="125"/>
    </row>
    <row r="166" spans="1:24" s="49" customFormat="1" ht="12.75" customHeight="1">
      <c r="A166" s="44" t="s">
        <v>194</v>
      </c>
      <c r="C166" s="44" t="s">
        <v>66</v>
      </c>
      <c r="D166" s="35"/>
      <c r="E166" s="45">
        <v>1632187</v>
      </c>
      <c r="F166" s="45"/>
      <c r="G166" s="45">
        <v>5658562</v>
      </c>
      <c r="H166" s="45"/>
      <c r="I166" s="45">
        <v>0</v>
      </c>
      <c r="J166" s="45"/>
      <c r="K166" s="45">
        <v>290856</v>
      </c>
      <c r="L166" s="45"/>
      <c r="M166" s="45">
        <v>2004022</v>
      </c>
      <c r="N166" s="45"/>
      <c r="O166" s="45">
        <v>0</v>
      </c>
      <c r="P166" s="45"/>
      <c r="Q166" s="45">
        <v>111316</v>
      </c>
      <c r="R166" s="45"/>
      <c r="S166" s="44">
        <f t="shared" si="5"/>
        <v>1198392</v>
      </c>
      <c r="T166" s="45"/>
      <c r="U166" s="45">
        <v>10895335</v>
      </c>
      <c r="V166" s="35"/>
      <c r="W166" s="45">
        <v>0</v>
      </c>
    </row>
    <row r="167" spans="1:24" s="49" customFormat="1" ht="12.75" customHeight="1">
      <c r="A167" s="44" t="s">
        <v>195</v>
      </c>
      <c r="C167" s="44" t="s">
        <v>17</v>
      </c>
      <c r="D167" s="35"/>
      <c r="E167" s="45">
        <v>504153</v>
      </c>
      <c r="F167" s="45"/>
      <c r="G167" s="45">
        <v>3301857</v>
      </c>
      <c r="H167" s="45"/>
      <c r="I167" s="45">
        <v>0</v>
      </c>
      <c r="J167" s="45"/>
      <c r="K167" s="45">
        <v>85006</v>
      </c>
      <c r="L167" s="45"/>
      <c r="M167" s="45">
        <v>1432357</v>
      </c>
      <c r="N167" s="45"/>
      <c r="O167" s="45">
        <v>1274</v>
      </c>
      <c r="P167" s="45"/>
      <c r="Q167" s="45">
        <v>837461</v>
      </c>
      <c r="R167" s="45"/>
      <c r="S167" s="44">
        <f t="shared" si="5"/>
        <v>1872214</v>
      </c>
      <c r="T167" s="45"/>
      <c r="U167" s="45">
        <v>8034322</v>
      </c>
      <c r="V167" s="35"/>
      <c r="W167" s="45">
        <v>500</v>
      </c>
    </row>
    <row r="168" spans="1:24" s="49" customFormat="1" ht="12.75" hidden="1" customHeight="1">
      <c r="A168" s="44" t="s">
        <v>196</v>
      </c>
      <c r="C168" s="44" t="s">
        <v>27</v>
      </c>
      <c r="D168" s="3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4">
        <f t="shared" si="5"/>
        <v>0</v>
      </c>
      <c r="T168" s="45"/>
      <c r="U168" s="45"/>
      <c r="V168" s="35"/>
      <c r="W168" s="45"/>
    </row>
    <row r="169" spans="1:24" s="130" customFormat="1" ht="12.75" hidden="1" customHeight="1">
      <c r="A169" s="44" t="s">
        <v>402</v>
      </c>
      <c r="B169" s="49"/>
      <c r="C169" s="44" t="s">
        <v>153</v>
      </c>
      <c r="D169" s="35"/>
      <c r="E169" s="45">
        <v>446348</v>
      </c>
      <c r="F169" s="45"/>
      <c r="G169" s="45">
        <v>2533324</v>
      </c>
      <c r="H169" s="45"/>
      <c r="I169" s="45">
        <v>0</v>
      </c>
      <c r="J169" s="45"/>
      <c r="K169" s="45">
        <v>0</v>
      </c>
      <c r="L169" s="45"/>
      <c r="M169" s="45">
        <v>314937</v>
      </c>
      <c r="N169" s="45"/>
      <c r="O169" s="45">
        <v>0</v>
      </c>
      <c r="P169" s="45"/>
      <c r="Q169" s="45">
        <v>215977</v>
      </c>
      <c r="R169" s="45"/>
      <c r="S169" s="44">
        <f t="shared" si="5"/>
        <v>429851</v>
      </c>
      <c r="T169" s="45"/>
      <c r="U169" s="45">
        <v>3940437</v>
      </c>
      <c r="V169" s="35"/>
      <c r="W169" s="45">
        <f>64975+26195+3666</f>
        <v>94836</v>
      </c>
    </row>
    <row r="170" spans="1:24" s="49" customFormat="1" ht="12.75" customHeight="1">
      <c r="A170" s="46" t="s">
        <v>197</v>
      </c>
      <c r="B170" s="46"/>
      <c r="C170" s="46" t="s">
        <v>163</v>
      </c>
      <c r="D170" s="64"/>
      <c r="E170" s="45">
        <v>1116228</v>
      </c>
      <c r="F170" s="45"/>
      <c r="G170" s="45">
        <v>15484539</v>
      </c>
      <c r="H170" s="45"/>
      <c r="I170" s="45">
        <v>0</v>
      </c>
      <c r="J170" s="45"/>
      <c r="K170" s="45">
        <v>1572271</v>
      </c>
      <c r="L170" s="45"/>
      <c r="M170" s="45">
        <v>1711399</v>
      </c>
      <c r="N170" s="45"/>
      <c r="O170" s="45">
        <v>5776</v>
      </c>
      <c r="P170" s="45"/>
      <c r="Q170" s="45">
        <v>356906</v>
      </c>
      <c r="R170" s="45"/>
      <c r="S170" s="44">
        <f t="shared" si="5"/>
        <v>2376617</v>
      </c>
      <c r="T170" s="45"/>
      <c r="U170" s="45">
        <v>22623736</v>
      </c>
      <c r="V170" s="35"/>
      <c r="W170" s="45">
        <v>43238</v>
      </c>
    </row>
    <row r="171" spans="1:24" s="49" customFormat="1" ht="12.75" customHeight="1">
      <c r="A171" s="44" t="s">
        <v>198</v>
      </c>
      <c r="C171" s="44" t="s">
        <v>199</v>
      </c>
      <c r="D171" s="35"/>
      <c r="E171" s="45">
        <v>483819</v>
      </c>
      <c r="F171" s="45"/>
      <c r="G171" s="45">
        <v>2806447</v>
      </c>
      <c r="H171" s="45"/>
      <c r="I171" s="45">
        <v>881904</v>
      </c>
      <c r="J171" s="45"/>
      <c r="K171" s="45">
        <v>118839</v>
      </c>
      <c r="L171" s="45"/>
      <c r="M171" s="45">
        <v>794017</v>
      </c>
      <c r="N171" s="45"/>
      <c r="O171" s="45">
        <v>0</v>
      </c>
      <c r="P171" s="45"/>
      <c r="Q171" s="45">
        <v>28919</v>
      </c>
      <c r="R171" s="45"/>
      <c r="S171" s="44">
        <f>U171-E171-G171-K171-M171-O171-Q171-I171</f>
        <v>323821</v>
      </c>
      <c r="T171" s="45"/>
      <c r="U171" s="45">
        <v>5437766</v>
      </c>
      <c r="V171" s="35"/>
      <c r="W171" s="45">
        <v>0</v>
      </c>
    </row>
    <row r="172" spans="1:24" s="49" customFormat="1" ht="12.75" customHeight="1">
      <c r="A172" s="44" t="s">
        <v>200</v>
      </c>
      <c r="C172" s="44" t="s">
        <v>103</v>
      </c>
      <c r="D172" s="35"/>
      <c r="E172" s="45">
        <v>1178345</v>
      </c>
      <c r="F172" s="45"/>
      <c r="G172" s="45">
        <v>7420089</v>
      </c>
      <c r="H172" s="45"/>
      <c r="I172" s="45">
        <v>0</v>
      </c>
      <c r="J172" s="45"/>
      <c r="K172" s="45">
        <v>778265</v>
      </c>
      <c r="L172" s="45"/>
      <c r="M172" s="45">
        <v>1592477</v>
      </c>
      <c r="N172" s="45"/>
      <c r="O172" s="45">
        <v>0</v>
      </c>
      <c r="P172" s="45"/>
      <c r="Q172" s="45">
        <f>256677+376293</f>
        <v>632970</v>
      </c>
      <c r="R172" s="45"/>
      <c r="S172" s="44">
        <f>U172-E172-G172-K172-M172-O172-Q172-I172</f>
        <v>1140622</v>
      </c>
      <c r="T172" s="45"/>
      <c r="U172" s="45">
        <v>12742768</v>
      </c>
      <c r="V172" s="35"/>
      <c r="W172" s="45">
        <f>2000000+1578664</f>
        <v>3578664</v>
      </c>
    </row>
    <row r="173" spans="1:24" s="46" customFormat="1" ht="12.75" customHeight="1">
      <c r="A173" s="44" t="s">
        <v>201</v>
      </c>
      <c r="B173" s="49"/>
      <c r="C173" s="44" t="s">
        <v>92</v>
      </c>
      <c r="D173" s="35"/>
      <c r="E173" s="45">
        <v>522112</v>
      </c>
      <c r="F173" s="45"/>
      <c r="G173" s="45">
        <v>8644123</v>
      </c>
      <c r="H173" s="45"/>
      <c r="I173" s="45">
        <v>8013</v>
      </c>
      <c r="J173" s="45"/>
      <c r="K173" s="45">
        <v>85658</v>
      </c>
      <c r="L173" s="45"/>
      <c r="M173" s="45">
        <v>2173008</v>
      </c>
      <c r="N173" s="45"/>
      <c r="O173" s="45">
        <v>0</v>
      </c>
      <c r="P173" s="45"/>
      <c r="Q173" s="45">
        <f>351944+995639</f>
        <v>1347583</v>
      </c>
      <c r="R173" s="45"/>
      <c r="S173" s="44">
        <f>U173-E173-G173-K173-M173-O173-Q173-I173</f>
        <v>1454499</v>
      </c>
      <c r="T173" s="45"/>
      <c r="U173" s="45">
        <v>14234996</v>
      </c>
      <c r="V173" s="35"/>
      <c r="W173" s="45">
        <f>5894+849636</f>
        <v>855530</v>
      </c>
    </row>
    <row r="174" spans="1:24" s="49" customFormat="1" ht="12.75" hidden="1" customHeight="1">
      <c r="A174" s="46" t="s">
        <v>202</v>
      </c>
      <c r="B174" s="46"/>
      <c r="C174" s="46" t="s">
        <v>27</v>
      </c>
      <c r="D174" s="64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4">
        <f t="shared" si="5"/>
        <v>0</v>
      </c>
      <c r="T174" s="45"/>
      <c r="U174" s="45"/>
      <c r="V174" s="35"/>
      <c r="W174" s="45"/>
    </row>
    <row r="175" spans="1:24" s="49" customFormat="1" ht="12.75" customHeight="1">
      <c r="A175" s="44" t="s">
        <v>203</v>
      </c>
      <c r="C175" s="44" t="s">
        <v>27</v>
      </c>
      <c r="E175" s="45">
        <v>2676841</v>
      </c>
      <c r="F175" s="45"/>
      <c r="G175" s="35">
        <v>8244900</v>
      </c>
      <c r="H175" s="45"/>
      <c r="I175" s="45">
        <v>0</v>
      </c>
      <c r="J175" s="45"/>
      <c r="K175" s="45">
        <v>994101</v>
      </c>
      <c r="L175" s="45"/>
      <c r="M175" s="45">
        <v>1722083</v>
      </c>
      <c r="N175" s="45"/>
      <c r="O175" s="45">
        <v>0</v>
      </c>
      <c r="P175" s="45"/>
      <c r="Q175" s="45">
        <v>794957</v>
      </c>
      <c r="R175" s="45"/>
      <c r="S175" s="44">
        <f t="shared" si="5"/>
        <v>242683</v>
      </c>
      <c r="T175" s="45"/>
      <c r="U175" s="45">
        <v>14675565</v>
      </c>
      <c r="V175" s="35"/>
      <c r="W175" s="45">
        <v>312790</v>
      </c>
    </row>
    <row r="176" spans="1:24" s="49" customFormat="1" ht="12.75" customHeight="1">
      <c r="A176" s="44" t="s">
        <v>204</v>
      </c>
      <c r="C176" s="44" t="s">
        <v>125</v>
      </c>
      <c r="D176" s="35"/>
      <c r="E176" s="45">
        <v>834141</v>
      </c>
      <c r="F176" s="45"/>
      <c r="G176" s="45">
        <v>0</v>
      </c>
      <c r="H176" s="45"/>
      <c r="I176" s="45">
        <v>0</v>
      </c>
      <c r="J176" s="45"/>
      <c r="K176" s="45">
        <v>16460</v>
      </c>
      <c r="L176" s="45"/>
      <c r="M176" s="45">
        <v>234763</v>
      </c>
      <c r="N176" s="45"/>
      <c r="O176" s="45">
        <v>0</v>
      </c>
      <c r="P176" s="45"/>
      <c r="Q176" s="45">
        <v>115769</v>
      </c>
      <c r="R176" s="45"/>
      <c r="S176" s="44">
        <f t="shared" si="5"/>
        <v>412212</v>
      </c>
      <c r="T176" s="45"/>
      <c r="U176" s="45">
        <v>1613345</v>
      </c>
      <c r="V176" s="35"/>
      <c r="W176" s="45">
        <v>0</v>
      </c>
    </row>
    <row r="177" spans="1:23" s="49" customFormat="1" ht="12.75" customHeight="1">
      <c r="A177" s="44" t="s">
        <v>205</v>
      </c>
      <c r="C177" s="44" t="s">
        <v>27</v>
      </c>
      <c r="D177" s="35"/>
      <c r="E177" s="45">
        <v>1157539</v>
      </c>
      <c r="F177" s="45"/>
      <c r="G177" s="45">
        <v>4211006</v>
      </c>
      <c r="H177" s="45"/>
      <c r="I177" s="45">
        <f>2212357+273353</f>
        <v>2485710</v>
      </c>
      <c r="J177" s="45"/>
      <c r="K177" s="45">
        <v>198785</v>
      </c>
      <c r="L177" s="45"/>
      <c r="M177" s="45">
        <v>322443</v>
      </c>
      <c r="N177" s="45"/>
      <c r="O177" s="45">
        <v>0</v>
      </c>
      <c r="P177" s="45"/>
      <c r="Q177" s="45">
        <f>55951+70934</f>
        <v>126885</v>
      </c>
      <c r="R177" s="45"/>
      <c r="S177" s="44">
        <f t="shared" si="5"/>
        <v>554213</v>
      </c>
      <c r="T177" s="45"/>
      <c r="U177" s="45">
        <v>9056581</v>
      </c>
      <c r="V177" s="35"/>
      <c r="W177" s="45">
        <v>0</v>
      </c>
    </row>
    <row r="178" spans="1:23" s="49" customFormat="1" ht="12.75" customHeight="1">
      <c r="A178" s="44" t="s">
        <v>206</v>
      </c>
      <c r="C178" s="44" t="s">
        <v>47</v>
      </c>
      <c r="D178" s="35"/>
      <c r="E178" s="45">
        <v>1127718</v>
      </c>
      <c r="F178" s="45"/>
      <c r="G178" s="45">
        <v>15514499</v>
      </c>
      <c r="H178" s="45"/>
      <c r="I178" s="45">
        <v>0</v>
      </c>
      <c r="J178" s="45"/>
      <c r="K178" s="45">
        <v>691626</v>
      </c>
      <c r="L178" s="45"/>
      <c r="M178" s="45">
        <v>1575864</v>
      </c>
      <c r="N178" s="45"/>
      <c r="O178" s="45">
        <v>171309</v>
      </c>
      <c r="P178" s="45"/>
      <c r="Q178" s="45">
        <v>662224</v>
      </c>
      <c r="R178" s="45"/>
      <c r="S178" s="44">
        <f t="shared" si="5"/>
        <v>843858</v>
      </c>
      <c r="T178" s="45"/>
      <c r="U178" s="45">
        <v>20587098</v>
      </c>
      <c r="V178" s="35"/>
      <c r="W178" s="45">
        <v>0</v>
      </c>
    </row>
    <row r="179" spans="1:23" s="49" customFormat="1" ht="12.75" customHeight="1">
      <c r="A179" s="44" t="s">
        <v>207</v>
      </c>
      <c r="C179" s="44" t="s">
        <v>102</v>
      </c>
      <c r="D179" s="35"/>
      <c r="E179" s="45">
        <v>854215</v>
      </c>
      <c r="F179" s="45"/>
      <c r="G179" s="45">
        <v>4604900</v>
      </c>
      <c r="H179" s="45"/>
      <c r="I179" s="45">
        <v>116672</v>
      </c>
      <c r="J179" s="45"/>
      <c r="K179" s="45">
        <v>137951</v>
      </c>
      <c r="L179" s="45"/>
      <c r="M179" s="45">
        <v>1010453</v>
      </c>
      <c r="N179" s="45"/>
      <c r="O179" s="45">
        <v>0</v>
      </c>
      <c r="P179" s="45"/>
      <c r="Q179" s="45">
        <v>119886</v>
      </c>
      <c r="R179" s="45"/>
      <c r="S179" s="44">
        <f t="shared" si="5"/>
        <v>683087</v>
      </c>
      <c r="T179" s="45"/>
      <c r="U179" s="45">
        <v>7527164</v>
      </c>
      <c r="V179" s="35"/>
      <c r="W179" s="45">
        <v>0</v>
      </c>
    </row>
    <row r="180" spans="1:23" s="49" customFormat="1" ht="12.75" customHeight="1">
      <c r="A180" s="44" t="s">
        <v>208</v>
      </c>
      <c r="C180" s="44" t="s">
        <v>209</v>
      </c>
      <c r="D180" s="35"/>
      <c r="E180" s="45">
        <v>1154790</v>
      </c>
      <c r="F180" s="45"/>
      <c r="G180" s="45">
        <v>7158030</v>
      </c>
      <c r="H180" s="45"/>
      <c r="I180" s="45">
        <v>1259107</v>
      </c>
      <c r="J180" s="45"/>
      <c r="K180" s="45">
        <v>0</v>
      </c>
      <c r="L180" s="45"/>
      <c r="M180" s="45">
        <v>2130960</v>
      </c>
      <c r="N180" s="45"/>
      <c r="O180" s="45">
        <v>0</v>
      </c>
      <c r="P180" s="45"/>
      <c r="Q180" s="45">
        <v>745847</v>
      </c>
      <c r="R180" s="45"/>
      <c r="S180" s="44">
        <f t="shared" si="5"/>
        <v>1814578</v>
      </c>
      <c r="T180" s="45"/>
      <c r="U180" s="45">
        <v>14263312</v>
      </c>
      <c r="V180" s="35"/>
      <c r="W180" s="45">
        <v>1852</v>
      </c>
    </row>
    <row r="181" spans="1:23" s="49" customFormat="1" ht="12.75" customHeight="1">
      <c r="A181" s="44" t="s">
        <v>210</v>
      </c>
      <c r="C181" s="44" t="s">
        <v>211</v>
      </c>
      <c r="D181" s="35"/>
      <c r="E181" s="45">
        <v>554376</v>
      </c>
      <c r="F181" s="45"/>
      <c r="G181" s="45">
        <v>2098998</v>
      </c>
      <c r="H181" s="45"/>
      <c r="I181" s="45">
        <v>173422</v>
      </c>
      <c r="J181" s="45"/>
      <c r="K181" s="45">
        <v>211560</v>
      </c>
      <c r="L181" s="45"/>
      <c r="M181" s="45">
        <v>669408</v>
      </c>
      <c r="N181" s="45"/>
      <c r="O181" s="45">
        <v>0</v>
      </c>
      <c r="P181" s="45"/>
      <c r="Q181" s="45">
        <f>4152+9227</f>
        <v>13379</v>
      </c>
      <c r="R181" s="45"/>
      <c r="S181" s="44">
        <f t="shared" si="5"/>
        <v>166784</v>
      </c>
      <c r="T181" s="45"/>
      <c r="U181" s="45">
        <v>3887927</v>
      </c>
      <c r="V181" s="35"/>
      <c r="W181" s="45">
        <v>5000</v>
      </c>
    </row>
    <row r="182" spans="1:23" s="49" customFormat="1" ht="12.75" customHeight="1">
      <c r="A182" s="44" t="s">
        <v>212</v>
      </c>
      <c r="C182" s="44" t="s">
        <v>213</v>
      </c>
      <c r="D182" s="35"/>
      <c r="E182" s="45">
        <v>7154795</v>
      </c>
      <c r="F182" s="45"/>
      <c r="G182" s="45">
        <v>0</v>
      </c>
      <c r="H182" s="45"/>
      <c r="I182" s="45">
        <v>0</v>
      </c>
      <c r="J182" s="45"/>
      <c r="K182" s="45">
        <v>356676</v>
      </c>
      <c r="L182" s="45"/>
      <c r="M182" s="45">
        <v>2102392</v>
      </c>
      <c r="N182" s="45"/>
      <c r="O182" s="45">
        <v>0</v>
      </c>
      <c r="P182" s="45"/>
      <c r="Q182" s="45">
        <v>656689</v>
      </c>
      <c r="R182" s="45"/>
      <c r="S182" s="44">
        <f t="shared" si="5"/>
        <v>483613</v>
      </c>
      <c r="T182" s="45"/>
      <c r="U182" s="45">
        <v>10754165</v>
      </c>
      <c r="V182" s="35"/>
      <c r="W182" s="45">
        <v>0</v>
      </c>
    </row>
    <row r="183" spans="1:23" s="49" customFormat="1" ht="12.75" customHeight="1">
      <c r="A183" s="44" t="s">
        <v>214</v>
      </c>
      <c r="C183" s="44" t="s">
        <v>86</v>
      </c>
      <c r="D183" s="35"/>
      <c r="E183" s="45">
        <v>510704</v>
      </c>
      <c r="F183" s="45"/>
      <c r="G183" s="45">
        <v>4010188</v>
      </c>
      <c r="H183" s="45"/>
      <c r="I183" s="45">
        <v>803000</v>
      </c>
      <c r="J183" s="45"/>
      <c r="K183" s="45">
        <v>19630</v>
      </c>
      <c r="L183" s="45"/>
      <c r="M183" s="45">
        <v>417511</v>
      </c>
      <c r="N183" s="45"/>
      <c r="O183" s="45">
        <v>0</v>
      </c>
      <c r="P183" s="45"/>
      <c r="Q183" s="45">
        <v>9893</v>
      </c>
      <c r="R183" s="45"/>
      <c r="S183" s="44">
        <f t="shared" si="5"/>
        <v>874998</v>
      </c>
      <c r="T183" s="45"/>
      <c r="U183" s="45">
        <v>6645924</v>
      </c>
      <c r="V183" s="35"/>
      <c r="W183" s="45">
        <v>12</v>
      </c>
    </row>
    <row r="184" spans="1:23" s="49" customFormat="1" ht="12.75" customHeight="1">
      <c r="A184" s="46" t="s">
        <v>215</v>
      </c>
      <c r="B184" s="46"/>
      <c r="C184" s="46" t="s">
        <v>22</v>
      </c>
      <c r="D184" s="64"/>
      <c r="E184" s="45">
        <v>663443</v>
      </c>
      <c r="F184" s="45"/>
      <c r="G184" s="45">
        <v>5215934</v>
      </c>
      <c r="H184" s="45"/>
      <c r="I184" s="45">
        <v>0</v>
      </c>
      <c r="J184" s="45"/>
      <c r="K184" s="45">
        <v>0</v>
      </c>
      <c r="L184" s="45"/>
      <c r="M184" s="45">
        <v>968811</v>
      </c>
      <c r="N184" s="45"/>
      <c r="O184" s="45">
        <v>0</v>
      </c>
      <c r="P184" s="45"/>
      <c r="Q184" s="45">
        <v>452472</v>
      </c>
      <c r="R184" s="45"/>
      <c r="S184" s="44">
        <f>U184-E184-G184-K184-M184-O184-Q184-I184</f>
        <v>322599</v>
      </c>
      <c r="T184" s="45"/>
      <c r="U184" s="45">
        <v>7623259</v>
      </c>
      <c r="V184" s="35"/>
      <c r="W184" s="45">
        <v>20600</v>
      </c>
    </row>
    <row r="185" spans="1:23" s="49" customFormat="1" ht="12.75" customHeight="1">
      <c r="A185" s="44" t="s">
        <v>216</v>
      </c>
      <c r="C185" s="44" t="s">
        <v>45</v>
      </c>
      <c r="D185" s="35"/>
      <c r="E185" s="45">
        <v>6677592</v>
      </c>
      <c r="F185" s="45"/>
      <c r="G185" s="45">
        <v>0</v>
      </c>
      <c r="H185" s="45"/>
      <c r="I185" s="45">
        <v>0</v>
      </c>
      <c r="J185" s="45"/>
      <c r="K185" s="45">
        <v>816359</v>
      </c>
      <c r="L185" s="45"/>
      <c r="M185" s="45">
        <v>439090</v>
      </c>
      <c r="N185" s="45"/>
      <c r="O185" s="45">
        <v>0</v>
      </c>
      <c r="P185" s="45"/>
      <c r="Q185" s="45">
        <v>245778</v>
      </c>
      <c r="R185" s="45"/>
      <c r="S185" s="44">
        <f t="shared" ref="S185:S213" si="6">U185-E185-G185-K185-M185-O185-Q185-I185</f>
        <v>115044</v>
      </c>
      <c r="T185" s="45"/>
      <c r="U185" s="45">
        <v>8293863</v>
      </c>
      <c r="V185" s="35"/>
      <c r="W185" s="45">
        <f>4006+37812</f>
        <v>41818</v>
      </c>
    </row>
    <row r="186" spans="1:23" s="49" customFormat="1" ht="12.75" customHeight="1">
      <c r="A186" s="44" t="s">
        <v>217</v>
      </c>
      <c r="C186" s="44" t="s">
        <v>43</v>
      </c>
      <c r="D186" s="35"/>
      <c r="E186" s="45">
        <v>9013037</v>
      </c>
      <c r="F186" s="45"/>
      <c r="G186" s="45">
        <v>0</v>
      </c>
      <c r="H186" s="45"/>
      <c r="I186" s="45">
        <v>0</v>
      </c>
      <c r="J186" s="45"/>
      <c r="K186" s="45">
        <v>156009</v>
      </c>
      <c r="L186" s="45"/>
      <c r="M186" s="45">
        <v>2138004</v>
      </c>
      <c r="N186" s="45"/>
      <c r="O186" s="45">
        <v>0</v>
      </c>
      <c r="P186" s="45"/>
      <c r="Q186" s="45">
        <v>598043</v>
      </c>
      <c r="R186" s="45"/>
      <c r="S186" s="44">
        <f t="shared" si="6"/>
        <v>1382741</v>
      </c>
      <c r="T186" s="45"/>
      <c r="U186" s="45">
        <v>13287834</v>
      </c>
      <c r="V186" s="35"/>
      <c r="W186" s="45">
        <v>0</v>
      </c>
    </row>
    <row r="187" spans="1:23" s="49" customFormat="1" ht="12.75" hidden="1" customHeight="1">
      <c r="A187" s="44" t="s">
        <v>218</v>
      </c>
      <c r="C187" s="44" t="s">
        <v>27</v>
      </c>
      <c r="D187" s="3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4">
        <f t="shared" si="6"/>
        <v>0</v>
      </c>
      <c r="T187" s="45"/>
      <c r="U187" s="45"/>
      <c r="V187" s="35"/>
      <c r="W187" s="45"/>
    </row>
    <row r="188" spans="1:23" s="49" customFormat="1" ht="12.75" customHeight="1">
      <c r="A188" s="44" t="s">
        <v>219</v>
      </c>
      <c r="C188" s="44" t="s">
        <v>199</v>
      </c>
      <c r="D188" s="35"/>
      <c r="E188" s="45">
        <v>334118</v>
      </c>
      <c r="F188" s="45"/>
      <c r="G188" s="45">
        <v>667084</v>
      </c>
      <c r="H188" s="45"/>
      <c r="I188" s="45">
        <v>0</v>
      </c>
      <c r="J188" s="45"/>
      <c r="K188" s="45">
        <v>920549</v>
      </c>
      <c r="L188" s="45"/>
      <c r="M188" s="45">
        <v>600130</v>
      </c>
      <c r="N188" s="45"/>
      <c r="O188" s="45">
        <v>0</v>
      </c>
      <c r="P188" s="45"/>
      <c r="Q188" s="45">
        <v>87810</v>
      </c>
      <c r="R188" s="45"/>
      <c r="S188" s="44">
        <f t="shared" si="6"/>
        <v>248287</v>
      </c>
      <c r="T188" s="45"/>
      <c r="U188" s="45">
        <v>2857978</v>
      </c>
      <c r="V188" s="35"/>
      <c r="W188" s="45">
        <v>0</v>
      </c>
    </row>
    <row r="189" spans="1:23" s="49" customFormat="1" ht="12.75" customHeight="1">
      <c r="A189" s="44" t="s">
        <v>220</v>
      </c>
      <c r="C189" s="44" t="s">
        <v>66</v>
      </c>
      <c r="D189" s="35"/>
      <c r="E189" s="45">
        <v>412939</v>
      </c>
      <c r="F189" s="45"/>
      <c r="G189" s="45">
        <v>4324535</v>
      </c>
      <c r="H189" s="45"/>
      <c r="I189" s="45">
        <v>235868</v>
      </c>
      <c r="J189" s="45"/>
      <c r="K189" s="45">
        <v>0</v>
      </c>
      <c r="L189" s="45"/>
      <c r="M189" s="45">
        <v>668446</v>
      </c>
      <c r="N189" s="45"/>
      <c r="O189" s="45">
        <v>0</v>
      </c>
      <c r="P189" s="45"/>
      <c r="Q189" s="45">
        <v>51813</v>
      </c>
      <c r="R189" s="45"/>
      <c r="S189" s="44">
        <f t="shared" si="6"/>
        <v>399378</v>
      </c>
      <c r="T189" s="45"/>
      <c r="U189" s="45">
        <v>6092979</v>
      </c>
      <c r="V189" s="35"/>
      <c r="W189" s="45">
        <v>0</v>
      </c>
    </row>
    <row r="190" spans="1:23" s="49" customFormat="1" ht="12.75" customHeight="1">
      <c r="A190" s="44" t="s">
        <v>221</v>
      </c>
      <c r="C190" s="44" t="s">
        <v>27</v>
      </c>
      <c r="D190" s="35"/>
      <c r="E190" s="45">
        <v>4022105</v>
      </c>
      <c r="F190" s="45"/>
      <c r="G190" s="45">
        <v>8506159</v>
      </c>
      <c r="H190" s="45"/>
      <c r="I190" s="45">
        <v>40172</v>
      </c>
      <c r="J190" s="45"/>
      <c r="K190" s="45">
        <v>81839</v>
      </c>
      <c r="L190" s="45"/>
      <c r="M190" s="45">
        <v>3692774</v>
      </c>
      <c r="N190" s="45"/>
      <c r="O190" s="45">
        <v>0</v>
      </c>
      <c r="P190" s="45"/>
      <c r="Q190" s="45">
        <v>3062054</v>
      </c>
      <c r="R190" s="45"/>
      <c r="S190" s="44">
        <f t="shared" si="6"/>
        <v>638455</v>
      </c>
      <c r="T190" s="45"/>
      <c r="U190" s="45">
        <v>20043558</v>
      </c>
      <c r="V190" s="35"/>
      <c r="W190" s="45">
        <v>29730</v>
      </c>
    </row>
    <row r="191" spans="1:23" s="49" customFormat="1" ht="12.75" customHeight="1">
      <c r="A191" s="44" t="s">
        <v>222</v>
      </c>
      <c r="C191" s="44" t="s">
        <v>47</v>
      </c>
      <c r="D191" s="35"/>
      <c r="E191" s="45">
        <v>646080</v>
      </c>
      <c r="F191" s="45"/>
      <c r="G191" s="45">
        <v>2933309</v>
      </c>
      <c r="H191" s="45"/>
      <c r="I191" s="45">
        <v>117579</v>
      </c>
      <c r="J191" s="45"/>
      <c r="K191" s="45">
        <v>155629</v>
      </c>
      <c r="L191" s="45"/>
      <c r="M191" s="45">
        <v>1010179</v>
      </c>
      <c r="N191" s="45"/>
      <c r="O191" s="45">
        <v>307</v>
      </c>
      <c r="P191" s="45"/>
      <c r="Q191" s="45">
        <f>24316+26447</f>
        <v>50763</v>
      </c>
      <c r="R191" s="45"/>
      <c r="S191" s="44">
        <f t="shared" si="6"/>
        <v>241993</v>
      </c>
      <c r="T191" s="45"/>
      <c r="U191" s="45">
        <v>5155839</v>
      </c>
      <c r="V191" s="35"/>
      <c r="W191" s="45">
        <v>3087</v>
      </c>
    </row>
    <row r="192" spans="1:23" s="49" customFormat="1" ht="12.75" customHeight="1">
      <c r="A192" s="44" t="s">
        <v>223</v>
      </c>
      <c r="C192" s="44" t="s">
        <v>94</v>
      </c>
      <c r="D192" s="35"/>
      <c r="E192" s="45">
        <v>677855</v>
      </c>
      <c r="F192" s="45"/>
      <c r="G192" s="45">
        <v>0</v>
      </c>
      <c r="H192" s="45"/>
      <c r="I192" s="45">
        <v>0</v>
      </c>
      <c r="J192" s="45"/>
      <c r="K192" s="45">
        <v>70779</v>
      </c>
      <c r="L192" s="45"/>
      <c r="M192" s="45">
        <v>396459</v>
      </c>
      <c r="N192" s="45"/>
      <c r="O192" s="45">
        <v>1647</v>
      </c>
      <c r="P192" s="45"/>
      <c r="Q192" s="45">
        <v>18323</v>
      </c>
      <c r="R192" s="45"/>
      <c r="S192" s="44">
        <f t="shared" si="6"/>
        <v>866712</v>
      </c>
      <c r="T192" s="45"/>
      <c r="U192" s="45">
        <v>2031775</v>
      </c>
      <c r="V192" s="35"/>
      <c r="W192" s="45">
        <f>10094+3442943</f>
        <v>3453037</v>
      </c>
    </row>
    <row r="193" spans="1:24" s="49" customFormat="1" ht="12.75" customHeight="1">
      <c r="A193" s="44" t="s">
        <v>76</v>
      </c>
      <c r="C193" s="44" t="s">
        <v>132</v>
      </c>
      <c r="D193" s="35"/>
      <c r="E193" s="45">
        <v>1678729</v>
      </c>
      <c r="F193" s="45"/>
      <c r="G193" s="45">
        <v>6823309</v>
      </c>
      <c r="H193" s="45"/>
      <c r="I193" s="45">
        <f>1868+3761605</f>
        <v>3763473</v>
      </c>
      <c r="J193" s="45"/>
      <c r="K193" s="45">
        <v>397771</v>
      </c>
      <c r="L193" s="45"/>
      <c r="M193" s="45">
        <v>1828850</v>
      </c>
      <c r="N193" s="45"/>
      <c r="O193" s="45">
        <v>0</v>
      </c>
      <c r="P193" s="45"/>
      <c r="Q193" s="45">
        <f>477837+1104232</f>
        <v>1582069</v>
      </c>
      <c r="R193" s="45"/>
      <c r="S193" s="44">
        <f t="shared" si="6"/>
        <v>1767099</v>
      </c>
      <c r="T193" s="45"/>
      <c r="U193" s="45">
        <v>17841300</v>
      </c>
      <c r="V193" s="35"/>
      <c r="W193" s="45">
        <v>900</v>
      </c>
    </row>
    <row r="194" spans="1:24" s="49" customFormat="1" ht="12.75" customHeight="1">
      <c r="A194" s="44" t="s">
        <v>224</v>
      </c>
      <c r="C194" s="44" t="s">
        <v>27</v>
      </c>
      <c r="D194" s="35"/>
      <c r="E194" s="45">
        <v>6074332</v>
      </c>
      <c r="F194" s="45"/>
      <c r="G194" s="45">
        <v>0</v>
      </c>
      <c r="H194" s="45"/>
      <c r="I194" s="45">
        <v>0</v>
      </c>
      <c r="J194" s="45"/>
      <c r="K194" s="45">
        <v>670476</v>
      </c>
      <c r="L194" s="45"/>
      <c r="M194" s="45">
        <v>1207084</v>
      </c>
      <c r="N194" s="45"/>
      <c r="O194" s="45">
        <v>0</v>
      </c>
      <c r="P194" s="45"/>
      <c r="Q194" s="45">
        <v>384817</v>
      </c>
      <c r="R194" s="45"/>
      <c r="S194" s="44">
        <f t="shared" si="6"/>
        <v>237210</v>
      </c>
      <c r="T194" s="45"/>
      <c r="U194" s="45">
        <v>8573919</v>
      </c>
      <c r="V194" s="35"/>
      <c r="W194" s="45">
        <f>94779+130433</f>
        <v>225212</v>
      </c>
    </row>
    <row r="195" spans="1:24" s="49" customFormat="1" ht="12.75" customHeight="1">
      <c r="A195" s="44" t="s">
        <v>471</v>
      </c>
      <c r="C195" s="44"/>
      <c r="D195" s="3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4"/>
      <c r="T195" s="45"/>
      <c r="U195" s="45"/>
      <c r="V195" s="35"/>
      <c r="W195" s="48" t="s">
        <v>484</v>
      </c>
    </row>
    <row r="196" spans="1:24" s="49" customFormat="1" ht="12.75" customHeight="1">
      <c r="A196" s="44" t="s">
        <v>225</v>
      </c>
      <c r="C196" s="44" t="s">
        <v>27</v>
      </c>
      <c r="D196" s="35"/>
      <c r="E196" s="94">
        <v>7342340</v>
      </c>
      <c r="F196" s="94"/>
      <c r="G196" s="94">
        <v>20840303</v>
      </c>
      <c r="H196" s="94"/>
      <c r="I196" s="94">
        <v>55599</v>
      </c>
      <c r="J196" s="94"/>
      <c r="K196" s="94">
        <v>4359309</v>
      </c>
      <c r="L196" s="94"/>
      <c r="M196" s="94">
        <v>3564423</v>
      </c>
      <c r="N196" s="94"/>
      <c r="O196" s="94">
        <v>2295</v>
      </c>
      <c r="P196" s="94"/>
      <c r="Q196" s="94">
        <f>764096+647687</f>
        <v>1411783</v>
      </c>
      <c r="R196" s="94"/>
      <c r="S196" s="46">
        <f t="shared" si="6"/>
        <v>591461</v>
      </c>
      <c r="T196" s="94"/>
      <c r="U196" s="94">
        <v>38167513</v>
      </c>
      <c r="V196" s="64"/>
      <c r="W196" s="94">
        <v>90000</v>
      </c>
      <c r="X196" s="46"/>
    </row>
    <row r="197" spans="1:24" s="49" customFormat="1" ht="12.75" customHeight="1">
      <c r="A197" s="44" t="s">
        <v>226</v>
      </c>
      <c r="C197" s="44" t="s">
        <v>45</v>
      </c>
      <c r="D197" s="35"/>
      <c r="E197" s="45">
        <v>12898910</v>
      </c>
      <c r="F197" s="45"/>
      <c r="G197" s="45">
        <v>0</v>
      </c>
      <c r="H197" s="45"/>
      <c r="I197" s="45">
        <v>0</v>
      </c>
      <c r="J197" s="45"/>
      <c r="K197" s="45">
        <v>436312</v>
      </c>
      <c r="L197" s="45"/>
      <c r="M197" s="45">
        <v>1605879</v>
      </c>
      <c r="N197" s="45"/>
      <c r="O197" s="45">
        <v>0</v>
      </c>
      <c r="P197" s="45"/>
      <c r="Q197" s="45">
        <v>288905</v>
      </c>
      <c r="R197" s="45"/>
      <c r="S197" s="44">
        <f t="shared" si="6"/>
        <v>981726</v>
      </c>
      <c r="T197" s="45"/>
      <c r="U197" s="45">
        <v>16211732</v>
      </c>
      <c r="V197" s="35"/>
      <c r="W197" s="45">
        <v>0</v>
      </c>
    </row>
    <row r="198" spans="1:24" s="46" customFormat="1" ht="12.75" customHeight="1">
      <c r="A198" s="46" t="s">
        <v>227</v>
      </c>
      <c r="C198" s="46" t="s">
        <v>17</v>
      </c>
      <c r="D198" s="64"/>
      <c r="E198" s="45">
        <v>372752</v>
      </c>
      <c r="F198" s="45"/>
      <c r="G198" s="45">
        <v>1600339</v>
      </c>
      <c r="H198" s="45"/>
      <c r="I198" s="45">
        <v>0</v>
      </c>
      <c r="J198" s="45"/>
      <c r="K198" s="45">
        <v>309507</v>
      </c>
      <c r="L198" s="45"/>
      <c r="M198" s="45">
        <v>485316</v>
      </c>
      <c r="N198" s="45"/>
      <c r="O198" s="45">
        <v>0</v>
      </c>
      <c r="P198" s="45"/>
      <c r="Q198" s="45">
        <v>189595</v>
      </c>
      <c r="R198" s="45"/>
      <c r="S198" s="44">
        <f t="shared" si="6"/>
        <v>187797</v>
      </c>
      <c r="T198" s="45"/>
      <c r="U198" s="45">
        <v>3145306</v>
      </c>
      <c r="V198" s="35"/>
      <c r="W198" s="45">
        <v>0</v>
      </c>
    </row>
    <row r="199" spans="1:24" s="49" customFormat="1" ht="12.75" customHeight="1">
      <c r="A199" s="44" t="s">
        <v>228</v>
      </c>
      <c r="C199" s="44" t="s">
        <v>153</v>
      </c>
      <c r="D199" s="35"/>
      <c r="E199" s="45">
        <v>690354</v>
      </c>
      <c r="F199" s="45"/>
      <c r="G199" s="45">
        <v>1368763</v>
      </c>
      <c r="H199" s="45"/>
      <c r="I199" s="45">
        <v>0</v>
      </c>
      <c r="J199" s="45"/>
      <c r="K199" s="45">
        <v>348300</v>
      </c>
      <c r="L199" s="45"/>
      <c r="M199" s="45">
        <v>824302</v>
      </c>
      <c r="N199" s="45"/>
      <c r="O199" s="45">
        <v>0</v>
      </c>
      <c r="P199" s="45"/>
      <c r="Q199" s="45">
        <v>203075</v>
      </c>
      <c r="R199" s="45"/>
      <c r="S199" s="44">
        <f t="shared" si="6"/>
        <v>228470</v>
      </c>
      <c r="T199" s="45"/>
      <c r="U199" s="45">
        <v>3663264</v>
      </c>
      <c r="V199" s="35"/>
      <c r="W199" s="45">
        <v>164033</v>
      </c>
    </row>
    <row r="200" spans="1:24" s="49" customFormat="1" ht="12.75" customHeight="1">
      <c r="A200" s="44" t="s">
        <v>229</v>
      </c>
      <c r="C200" s="44" t="s">
        <v>228</v>
      </c>
      <c r="D200" s="35"/>
      <c r="E200" s="45">
        <v>1634536</v>
      </c>
      <c r="F200" s="45"/>
      <c r="G200" s="45">
        <v>0</v>
      </c>
      <c r="H200" s="45"/>
      <c r="I200" s="45">
        <v>0</v>
      </c>
      <c r="J200" s="45"/>
      <c r="K200" s="45">
        <v>1426919</v>
      </c>
      <c r="L200" s="45"/>
      <c r="M200" s="45">
        <v>1423303</v>
      </c>
      <c r="N200" s="45"/>
      <c r="O200" s="45">
        <v>235731</v>
      </c>
      <c r="P200" s="45"/>
      <c r="Q200" s="45">
        <v>132500</v>
      </c>
      <c r="R200" s="45"/>
      <c r="S200" s="44">
        <f t="shared" si="6"/>
        <v>610220</v>
      </c>
      <c r="T200" s="45"/>
      <c r="U200" s="45">
        <v>5463209</v>
      </c>
      <c r="V200" s="35"/>
      <c r="W200" s="45">
        <v>9843478</v>
      </c>
    </row>
    <row r="201" spans="1:24" s="46" customFormat="1" ht="12.75" customHeight="1">
      <c r="A201" s="44" t="s">
        <v>230</v>
      </c>
      <c r="B201" s="49"/>
      <c r="C201" s="44" t="s">
        <v>45</v>
      </c>
      <c r="D201" s="35"/>
      <c r="E201" s="45">
        <v>635668</v>
      </c>
      <c r="F201" s="45"/>
      <c r="G201" s="45">
        <v>1556953</v>
      </c>
      <c r="H201" s="45"/>
      <c r="I201" s="45">
        <v>0</v>
      </c>
      <c r="J201" s="45"/>
      <c r="K201" s="45">
        <v>217036</v>
      </c>
      <c r="L201" s="45"/>
      <c r="M201" s="45">
        <v>286546</v>
      </c>
      <c r="N201" s="45"/>
      <c r="O201" s="45">
        <v>0</v>
      </c>
      <c r="P201" s="45"/>
      <c r="Q201" s="45">
        <v>68302</v>
      </c>
      <c r="R201" s="45"/>
      <c r="S201" s="44">
        <f t="shared" si="6"/>
        <v>130801</v>
      </c>
      <c r="T201" s="45"/>
      <c r="U201" s="45">
        <v>2895306</v>
      </c>
      <c r="V201" s="35"/>
      <c r="W201" s="45">
        <v>27720</v>
      </c>
    </row>
    <row r="202" spans="1:24" s="49" customFormat="1" ht="12.75" customHeight="1">
      <c r="A202" s="44" t="s">
        <v>231</v>
      </c>
      <c r="C202" s="44" t="s">
        <v>27</v>
      </c>
      <c r="D202" s="35"/>
      <c r="E202" s="45">
        <v>935798</v>
      </c>
      <c r="F202" s="45"/>
      <c r="G202" s="45">
        <v>28507041</v>
      </c>
      <c r="H202" s="45"/>
      <c r="I202" s="45">
        <v>0</v>
      </c>
      <c r="J202" s="45"/>
      <c r="K202" s="45">
        <v>949375</v>
      </c>
      <c r="L202" s="45"/>
      <c r="M202" s="45">
        <v>2046294</v>
      </c>
      <c r="N202" s="45"/>
      <c r="O202" s="45">
        <v>0</v>
      </c>
      <c r="P202" s="45"/>
      <c r="Q202" s="45">
        <f>549644+401852</f>
        <v>951496</v>
      </c>
      <c r="R202" s="45"/>
      <c r="S202" s="44">
        <f t="shared" si="6"/>
        <v>3100011</v>
      </c>
      <c r="T202" s="45"/>
      <c r="U202" s="45">
        <v>36490015</v>
      </c>
      <c r="V202" s="35"/>
      <c r="W202" s="45">
        <v>14175</v>
      </c>
    </row>
    <row r="203" spans="1:24" s="49" customFormat="1" ht="12.75" customHeight="1">
      <c r="A203" s="44" t="s">
        <v>232</v>
      </c>
      <c r="C203" s="44" t="s">
        <v>27</v>
      </c>
      <c r="D203" s="35"/>
      <c r="E203" s="45">
        <v>4263726</v>
      </c>
      <c r="F203" s="45"/>
      <c r="G203" s="45">
        <v>8463897</v>
      </c>
      <c r="H203" s="45"/>
      <c r="I203" s="45">
        <v>0</v>
      </c>
      <c r="J203" s="45"/>
      <c r="K203" s="45">
        <v>851420</v>
      </c>
      <c r="L203" s="45"/>
      <c r="M203" s="45">
        <v>2091655</v>
      </c>
      <c r="N203" s="45"/>
      <c r="O203" s="45">
        <v>0</v>
      </c>
      <c r="P203" s="45"/>
      <c r="Q203" s="45">
        <f>449376+615955</f>
        <v>1065331</v>
      </c>
      <c r="R203" s="45"/>
      <c r="S203" s="44">
        <f>U203-E203-G203-K203-M203-O203-Q203-I203</f>
        <v>995835</v>
      </c>
      <c r="T203" s="45"/>
      <c r="U203" s="45">
        <v>17731864</v>
      </c>
      <c r="V203" s="35"/>
      <c r="W203" s="45">
        <v>0</v>
      </c>
    </row>
    <row r="204" spans="1:24" s="49" customFormat="1" ht="12.75" customHeight="1">
      <c r="A204" s="44" t="s">
        <v>233</v>
      </c>
      <c r="C204" s="44" t="s">
        <v>111</v>
      </c>
      <c r="D204" s="35"/>
      <c r="E204" s="45">
        <v>725270</v>
      </c>
      <c r="F204" s="45"/>
      <c r="G204" s="45">
        <v>6486131</v>
      </c>
      <c r="H204" s="45"/>
      <c r="I204" s="45">
        <v>0</v>
      </c>
      <c r="J204" s="45"/>
      <c r="K204" s="45">
        <v>980683</v>
      </c>
      <c r="L204" s="45"/>
      <c r="M204" s="45">
        <v>450441</v>
      </c>
      <c r="N204" s="45"/>
      <c r="O204" s="45">
        <v>26796</v>
      </c>
      <c r="P204" s="45"/>
      <c r="Q204" s="45">
        <v>332711</v>
      </c>
      <c r="R204" s="45"/>
      <c r="S204" s="44">
        <f t="shared" si="6"/>
        <v>900518</v>
      </c>
      <c r="T204" s="45"/>
      <c r="U204" s="45">
        <v>9902550</v>
      </c>
      <c r="V204" s="35"/>
      <c r="W204" s="45">
        <f>535000+13955</f>
        <v>548955</v>
      </c>
    </row>
    <row r="205" spans="1:24" s="49" customFormat="1" ht="12.75" customHeight="1">
      <c r="A205" s="44" t="s">
        <v>234</v>
      </c>
      <c r="C205" s="44" t="s">
        <v>45</v>
      </c>
      <c r="D205" s="35"/>
      <c r="E205" s="45">
        <v>1619032</v>
      </c>
      <c r="F205" s="45"/>
      <c r="G205" s="45">
        <v>14461358</v>
      </c>
      <c r="H205" s="45"/>
      <c r="I205" s="45">
        <v>0</v>
      </c>
      <c r="J205" s="45"/>
      <c r="K205" s="45">
        <v>261639</v>
      </c>
      <c r="L205" s="45"/>
      <c r="M205" s="45">
        <v>1789469</v>
      </c>
      <c r="N205" s="45"/>
      <c r="O205" s="45">
        <v>0</v>
      </c>
      <c r="P205" s="45"/>
      <c r="Q205" s="45">
        <f>341056+382588</f>
        <v>723644</v>
      </c>
      <c r="R205" s="45"/>
      <c r="S205" s="44">
        <f t="shared" si="6"/>
        <v>387959</v>
      </c>
      <c r="T205" s="45"/>
      <c r="U205" s="45">
        <v>19243101</v>
      </c>
      <c r="V205" s="35"/>
      <c r="W205" s="45">
        <f>24599+15437</f>
        <v>40036</v>
      </c>
    </row>
    <row r="206" spans="1:24" s="49" customFormat="1" ht="12.75" customHeight="1">
      <c r="A206" s="44" t="s">
        <v>235</v>
      </c>
      <c r="C206" s="44" t="s">
        <v>183</v>
      </c>
      <c r="D206" s="35"/>
      <c r="E206" s="45">
        <v>0</v>
      </c>
      <c r="F206" s="45"/>
      <c r="G206" s="45">
        <v>26135617</v>
      </c>
      <c r="H206" s="45"/>
      <c r="I206" s="45">
        <f>314259+4790129</f>
        <v>5104388</v>
      </c>
      <c r="J206" s="45"/>
      <c r="K206" s="45">
        <v>1130405</v>
      </c>
      <c r="L206" s="45"/>
      <c r="M206" s="45">
        <v>208714</v>
      </c>
      <c r="N206" s="45"/>
      <c r="O206" s="45">
        <v>0</v>
      </c>
      <c r="P206" s="45"/>
      <c r="Q206" s="45">
        <f>3262441+648130</f>
        <v>3910571</v>
      </c>
      <c r="R206" s="45"/>
      <c r="S206" s="44">
        <f t="shared" si="6"/>
        <v>1666844</v>
      </c>
      <c r="T206" s="45"/>
      <c r="U206" s="45">
        <v>38156539</v>
      </c>
      <c r="V206" s="35"/>
      <c r="W206" s="45">
        <v>5520</v>
      </c>
    </row>
    <row r="207" spans="1:24" s="49" customFormat="1" ht="12.75" customHeight="1">
      <c r="A207" s="44" t="s">
        <v>236</v>
      </c>
      <c r="C207" s="44" t="s">
        <v>45</v>
      </c>
      <c r="D207" s="35"/>
      <c r="E207" s="45">
        <v>12894955</v>
      </c>
      <c r="F207" s="45"/>
      <c r="G207" s="45">
        <v>0</v>
      </c>
      <c r="H207" s="45"/>
      <c r="I207" s="45">
        <v>0</v>
      </c>
      <c r="J207" s="45"/>
      <c r="K207" s="45">
        <v>161908</v>
      </c>
      <c r="L207" s="45"/>
      <c r="M207" s="45">
        <v>639280</v>
      </c>
      <c r="N207" s="45"/>
      <c r="O207" s="45">
        <v>0</v>
      </c>
      <c r="P207" s="45"/>
      <c r="Q207" s="45">
        <v>42453</v>
      </c>
      <c r="R207" s="45"/>
      <c r="S207" s="44">
        <f t="shared" si="6"/>
        <v>692383</v>
      </c>
      <c r="T207" s="45"/>
      <c r="U207" s="45">
        <v>14430979</v>
      </c>
      <c r="V207" s="35"/>
      <c r="W207" s="45">
        <v>10915</v>
      </c>
    </row>
    <row r="208" spans="1:24" s="49" customFormat="1" ht="12.75" customHeight="1">
      <c r="A208" s="44" t="s">
        <v>237</v>
      </c>
      <c r="C208" s="44" t="s">
        <v>33</v>
      </c>
      <c r="D208" s="35"/>
      <c r="E208" s="45">
        <v>481808</v>
      </c>
      <c r="F208" s="45"/>
      <c r="G208" s="45">
        <v>0</v>
      </c>
      <c r="H208" s="45"/>
      <c r="I208" s="45">
        <v>0</v>
      </c>
      <c r="J208" s="45"/>
      <c r="K208" s="45">
        <v>0</v>
      </c>
      <c r="L208" s="45"/>
      <c r="M208" s="45">
        <v>870282</v>
      </c>
      <c r="N208" s="45"/>
      <c r="O208" s="45">
        <v>0</v>
      </c>
      <c r="P208" s="45"/>
      <c r="Q208" s="45">
        <f>7001+109467</f>
        <v>116468</v>
      </c>
      <c r="R208" s="45"/>
      <c r="S208" s="44">
        <f t="shared" si="6"/>
        <v>235637</v>
      </c>
      <c r="T208" s="45"/>
      <c r="U208" s="45">
        <v>1704195</v>
      </c>
      <c r="V208" s="35"/>
      <c r="W208" s="45">
        <v>0</v>
      </c>
    </row>
    <row r="209" spans="1:23" s="49" customFormat="1" ht="12.75" customHeight="1">
      <c r="A209" s="44" t="s">
        <v>238</v>
      </c>
      <c r="C209" s="44" t="s">
        <v>239</v>
      </c>
      <c r="D209" s="35"/>
      <c r="E209" s="45">
        <v>1178153</v>
      </c>
      <c r="F209" s="45"/>
      <c r="G209" s="45">
        <v>1970771</v>
      </c>
      <c r="H209" s="45"/>
      <c r="I209" s="45">
        <v>0</v>
      </c>
      <c r="J209" s="45"/>
      <c r="K209" s="45">
        <v>373076</v>
      </c>
      <c r="L209" s="45"/>
      <c r="M209" s="45">
        <v>519164</v>
      </c>
      <c r="N209" s="45"/>
      <c r="O209" s="45">
        <v>0</v>
      </c>
      <c r="P209" s="45"/>
      <c r="Q209" s="45">
        <f>85574+18985</f>
        <v>104559</v>
      </c>
      <c r="R209" s="45"/>
      <c r="S209" s="44">
        <f t="shared" si="6"/>
        <v>360638</v>
      </c>
      <c r="T209" s="45"/>
      <c r="U209" s="45">
        <v>4506361</v>
      </c>
      <c r="V209" s="35"/>
      <c r="W209" s="45">
        <v>0</v>
      </c>
    </row>
    <row r="210" spans="1:23" s="49" customFormat="1" ht="12.75" customHeight="1">
      <c r="A210" s="44" t="s">
        <v>486</v>
      </c>
      <c r="C210" s="44" t="s">
        <v>249</v>
      </c>
      <c r="D210" s="35"/>
      <c r="E210" s="45">
        <v>1193514</v>
      </c>
      <c r="F210" s="45"/>
      <c r="G210" s="45">
        <v>7654593</v>
      </c>
      <c r="H210" s="45"/>
      <c r="I210" s="45">
        <v>0</v>
      </c>
      <c r="J210" s="45"/>
      <c r="K210" s="45">
        <v>107288</v>
      </c>
      <c r="L210" s="45"/>
      <c r="M210" s="45">
        <v>2089432</v>
      </c>
      <c r="N210" s="45"/>
      <c r="O210" s="45">
        <v>0</v>
      </c>
      <c r="P210" s="45"/>
      <c r="Q210" s="45">
        <v>326745</v>
      </c>
      <c r="R210" s="45"/>
      <c r="S210" s="44">
        <f t="shared" si="6"/>
        <v>833848</v>
      </c>
      <c r="T210" s="45"/>
      <c r="U210" s="45">
        <v>12205420</v>
      </c>
      <c r="V210" s="35"/>
      <c r="W210" s="45">
        <v>14901</v>
      </c>
    </row>
    <row r="211" spans="1:23" s="49" customFormat="1" ht="12.75" customHeight="1">
      <c r="A211" s="44" t="s">
        <v>240</v>
      </c>
      <c r="C211" s="44" t="s">
        <v>13</v>
      </c>
      <c r="D211" s="35"/>
      <c r="E211" s="45">
        <v>4913598</v>
      </c>
      <c r="F211" s="45"/>
      <c r="G211" s="45">
        <v>8275870</v>
      </c>
      <c r="H211" s="45"/>
      <c r="I211" s="45">
        <v>0</v>
      </c>
      <c r="J211" s="45"/>
      <c r="K211" s="45">
        <v>354959</v>
      </c>
      <c r="L211" s="45"/>
      <c r="M211" s="45">
        <v>3899525</v>
      </c>
      <c r="N211" s="45"/>
      <c r="O211" s="45">
        <v>0</v>
      </c>
      <c r="P211" s="45"/>
      <c r="Q211" s="45">
        <v>397724</v>
      </c>
      <c r="R211" s="45"/>
      <c r="S211" s="44">
        <f t="shared" si="6"/>
        <v>1602157</v>
      </c>
      <c r="T211" s="45"/>
      <c r="U211" s="45">
        <v>19443833</v>
      </c>
      <c r="V211" s="35"/>
      <c r="W211" s="45">
        <v>0</v>
      </c>
    </row>
    <row r="212" spans="1:23" s="130" customFormat="1" ht="12.75" hidden="1" customHeight="1">
      <c r="A212" s="121" t="s">
        <v>241</v>
      </c>
      <c r="C212" s="121" t="s">
        <v>22</v>
      </c>
      <c r="D212" s="126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1">
        <f t="shared" si="6"/>
        <v>0</v>
      </c>
      <c r="T212" s="127"/>
      <c r="U212" s="127"/>
      <c r="V212" s="126"/>
      <c r="W212" s="127"/>
    </row>
    <row r="213" spans="1:23" s="49" customFormat="1" ht="12.75" customHeight="1">
      <c r="A213" s="44" t="s">
        <v>242</v>
      </c>
      <c r="C213" s="44" t="s">
        <v>27</v>
      </c>
      <c r="D213" s="35"/>
      <c r="E213" s="45">
        <v>511110</v>
      </c>
      <c r="F213" s="45"/>
      <c r="G213" s="45">
        <v>24657454</v>
      </c>
      <c r="H213" s="45"/>
      <c r="I213" s="45">
        <v>2236940</v>
      </c>
      <c r="J213" s="45"/>
      <c r="K213" s="45">
        <v>182975</v>
      </c>
      <c r="L213" s="45"/>
      <c r="M213" s="45">
        <v>1671421</v>
      </c>
      <c r="N213" s="45"/>
      <c r="O213" s="45">
        <v>0</v>
      </c>
      <c r="P213" s="45"/>
      <c r="Q213" s="45">
        <v>1433613</v>
      </c>
      <c r="R213" s="45"/>
      <c r="S213" s="44">
        <f t="shared" si="6"/>
        <v>1151804</v>
      </c>
      <c r="T213" s="45"/>
      <c r="U213" s="45">
        <v>31845317</v>
      </c>
      <c r="V213" s="35"/>
      <c r="W213" s="45">
        <v>33950</v>
      </c>
    </row>
    <row r="214" spans="1:23" s="49" customFormat="1" ht="12.75" customHeight="1">
      <c r="A214" s="44" t="s">
        <v>243</v>
      </c>
      <c r="C214" s="44" t="s">
        <v>163</v>
      </c>
      <c r="D214" s="35"/>
      <c r="E214" s="45">
        <v>1082695</v>
      </c>
      <c r="F214" s="45"/>
      <c r="G214" s="45">
        <v>1407851</v>
      </c>
      <c r="H214" s="45"/>
      <c r="I214" s="45">
        <v>0</v>
      </c>
      <c r="J214" s="45"/>
      <c r="K214" s="45">
        <v>455425</v>
      </c>
      <c r="L214" s="45"/>
      <c r="M214" s="45">
        <v>2194751</v>
      </c>
      <c r="N214" s="45"/>
      <c r="O214" s="45">
        <v>0</v>
      </c>
      <c r="P214" s="45"/>
      <c r="Q214" s="45">
        <v>166488</v>
      </c>
      <c r="R214" s="45"/>
      <c r="S214" s="44">
        <f>U214-E214-G214-K214-M214-O214-Q214-I214</f>
        <v>1212004</v>
      </c>
      <c r="T214" s="45"/>
      <c r="U214" s="45">
        <v>6519214</v>
      </c>
      <c r="V214" s="35"/>
      <c r="W214" s="45">
        <v>4890000</v>
      </c>
    </row>
    <row r="215" spans="1:23" s="49" customFormat="1" ht="12.75" customHeight="1">
      <c r="A215" s="44" t="s">
        <v>244</v>
      </c>
      <c r="C215" s="44" t="s">
        <v>13</v>
      </c>
      <c r="D215" s="35"/>
      <c r="E215" s="45">
        <v>926452</v>
      </c>
      <c r="F215" s="45"/>
      <c r="G215" s="45">
        <v>7873334</v>
      </c>
      <c r="H215" s="45"/>
      <c r="I215" s="45">
        <v>135412</v>
      </c>
      <c r="J215" s="45"/>
      <c r="K215" s="45">
        <v>1451224</v>
      </c>
      <c r="L215" s="45"/>
      <c r="M215" s="45">
        <v>1790220</v>
      </c>
      <c r="N215" s="45"/>
      <c r="O215" s="45">
        <v>14804</v>
      </c>
      <c r="P215" s="45"/>
      <c r="Q215" s="45">
        <v>369771</v>
      </c>
      <c r="R215" s="45"/>
      <c r="S215" s="44">
        <f t="shared" ref="S215:S242" si="7">U215-E215-G215-K215-M215-O215-Q215-I215</f>
        <v>191217</v>
      </c>
      <c r="T215" s="45"/>
      <c r="U215" s="45">
        <v>12752434</v>
      </c>
      <c r="V215" s="35"/>
      <c r="W215" s="45">
        <v>0</v>
      </c>
    </row>
    <row r="216" spans="1:23" s="46" customFormat="1" ht="12.75" customHeight="1">
      <c r="A216" s="44" t="s">
        <v>245</v>
      </c>
      <c r="B216" s="49"/>
      <c r="C216" s="44" t="s">
        <v>110</v>
      </c>
      <c r="D216" s="35"/>
      <c r="E216" s="45">
        <v>0</v>
      </c>
      <c r="F216" s="45"/>
      <c r="G216" s="45">
        <v>7082522</v>
      </c>
      <c r="H216" s="45"/>
      <c r="I216" s="45">
        <v>934379</v>
      </c>
      <c r="J216" s="45"/>
      <c r="K216" s="45">
        <v>597965</v>
      </c>
      <c r="L216" s="45"/>
      <c r="M216" s="45">
        <v>1637316</v>
      </c>
      <c r="N216" s="45"/>
      <c r="O216" s="45">
        <v>0</v>
      </c>
      <c r="P216" s="45"/>
      <c r="Q216" s="45">
        <v>311265</v>
      </c>
      <c r="R216" s="45"/>
      <c r="S216" s="44">
        <f t="shared" si="7"/>
        <v>860376</v>
      </c>
      <c r="T216" s="45"/>
      <c r="U216" s="45">
        <v>11423823</v>
      </c>
      <c r="V216" s="35"/>
      <c r="W216" s="45">
        <v>0</v>
      </c>
    </row>
    <row r="217" spans="1:23" s="49" customFormat="1" ht="12.75" customHeight="1">
      <c r="A217" s="44" t="s">
        <v>246</v>
      </c>
      <c r="C217" s="44" t="s">
        <v>209</v>
      </c>
      <c r="D217" s="35"/>
      <c r="E217" s="45">
        <v>2706351</v>
      </c>
      <c r="F217" s="45"/>
      <c r="G217" s="45">
        <v>0</v>
      </c>
      <c r="H217" s="45"/>
      <c r="I217" s="45">
        <v>0</v>
      </c>
      <c r="J217" s="45"/>
      <c r="K217" s="45">
        <v>1282659</v>
      </c>
      <c r="L217" s="45"/>
      <c r="M217" s="45">
        <v>1450825</v>
      </c>
      <c r="N217" s="45"/>
      <c r="O217" s="45">
        <v>3058</v>
      </c>
      <c r="P217" s="45"/>
      <c r="Q217" s="45">
        <f>17366+34895</f>
        <v>52261</v>
      </c>
      <c r="R217" s="45"/>
      <c r="S217" s="44">
        <f t="shared" si="7"/>
        <v>612743</v>
      </c>
      <c r="T217" s="45"/>
      <c r="U217" s="45">
        <v>6107897</v>
      </c>
      <c r="V217" s="35"/>
      <c r="W217" s="45">
        <v>0</v>
      </c>
    </row>
    <row r="218" spans="1:23" s="49" customFormat="1" ht="12.75" customHeight="1">
      <c r="A218" s="44" t="s">
        <v>247</v>
      </c>
      <c r="C218" s="44" t="s">
        <v>163</v>
      </c>
      <c r="D218" s="35"/>
      <c r="E218" s="45">
        <v>18078000</v>
      </c>
      <c r="F218" s="45"/>
      <c r="G218" s="45">
        <v>154475000</v>
      </c>
      <c r="H218" s="45"/>
      <c r="I218" s="45">
        <v>0</v>
      </c>
      <c r="J218" s="45"/>
      <c r="K218" s="45">
        <v>19665000</v>
      </c>
      <c r="L218" s="45"/>
      <c r="M218" s="45">
        <v>23347000</v>
      </c>
      <c r="N218" s="45"/>
      <c r="O218" s="45">
        <v>0</v>
      </c>
      <c r="P218" s="45"/>
      <c r="Q218" s="45">
        <f>5989000+2500000</f>
        <v>8489000</v>
      </c>
      <c r="R218" s="45"/>
      <c r="S218" s="44">
        <f t="shared" si="7"/>
        <v>4498000</v>
      </c>
      <c r="T218" s="45"/>
      <c r="U218" s="45">
        <v>228552000</v>
      </c>
      <c r="V218" s="35"/>
      <c r="W218" s="45">
        <f>2247000+10000</f>
        <v>2257000</v>
      </c>
    </row>
    <row r="219" spans="1:23" s="49" customFormat="1" ht="12.75" customHeight="1">
      <c r="A219" s="44" t="s">
        <v>248</v>
      </c>
      <c r="C219" s="44" t="s">
        <v>249</v>
      </c>
      <c r="D219" s="35"/>
      <c r="E219" s="45">
        <v>139834</v>
      </c>
      <c r="F219" s="45"/>
      <c r="G219" s="45">
        <v>2862583</v>
      </c>
      <c r="H219" s="45"/>
      <c r="I219" s="45">
        <v>0</v>
      </c>
      <c r="J219" s="45"/>
      <c r="K219" s="45">
        <v>30500</v>
      </c>
      <c r="L219" s="45"/>
      <c r="M219" s="45">
        <v>248141</v>
      </c>
      <c r="N219" s="45"/>
      <c r="O219" s="45">
        <v>0</v>
      </c>
      <c r="P219" s="45"/>
      <c r="Q219" s="45">
        <f>21626+34909</f>
        <v>56535</v>
      </c>
      <c r="R219" s="45"/>
      <c r="S219" s="44">
        <f t="shared" si="7"/>
        <v>54916</v>
      </c>
      <c r="T219" s="45"/>
      <c r="U219" s="45">
        <v>3392509</v>
      </c>
      <c r="V219" s="35"/>
      <c r="W219" s="45">
        <v>0</v>
      </c>
    </row>
    <row r="220" spans="1:23" s="49" customFormat="1" ht="12.75" customHeight="1">
      <c r="A220" s="44" t="s">
        <v>250</v>
      </c>
      <c r="C220" s="44" t="s">
        <v>103</v>
      </c>
      <c r="D220" s="35"/>
      <c r="E220" s="45">
        <v>527426</v>
      </c>
      <c r="F220" s="45"/>
      <c r="G220" s="45">
        <v>1501954</v>
      </c>
      <c r="H220" s="45"/>
      <c r="I220" s="45">
        <v>0</v>
      </c>
      <c r="J220" s="45"/>
      <c r="K220" s="45">
        <v>1524</v>
      </c>
      <c r="L220" s="45"/>
      <c r="M220" s="45">
        <v>419020</v>
      </c>
      <c r="N220" s="45"/>
      <c r="O220" s="45">
        <v>89842</v>
      </c>
      <c r="P220" s="45"/>
      <c r="Q220" s="45">
        <f>202248+107835</f>
        <v>310083</v>
      </c>
      <c r="R220" s="45"/>
      <c r="S220" s="44">
        <f t="shared" si="7"/>
        <v>294096</v>
      </c>
      <c r="T220" s="45"/>
      <c r="U220" s="45">
        <v>3143945</v>
      </c>
      <c r="V220" s="35"/>
      <c r="W220" s="45">
        <v>12713</v>
      </c>
    </row>
    <row r="221" spans="1:23" s="49" customFormat="1" ht="12.75" customHeight="1">
      <c r="A221" s="44" t="s">
        <v>251</v>
      </c>
      <c r="C221" s="44" t="s">
        <v>66</v>
      </c>
      <c r="D221" s="35"/>
      <c r="E221" s="45">
        <v>6677635</v>
      </c>
      <c r="F221" s="45"/>
      <c r="G221" s="45">
        <v>0</v>
      </c>
      <c r="H221" s="45"/>
      <c r="I221" s="45">
        <v>0</v>
      </c>
      <c r="J221" s="45"/>
      <c r="K221" s="45">
        <v>303980</v>
      </c>
      <c r="L221" s="45"/>
      <c r="M221" s="45">
        <v>1347783</v>
      </c>
      <c r="N221" s="45"/>
      <c r="O221" s="45">
        <v>19664</v>
      </c>
      <c r="P221" s="45"/>
      <c r="Q221" s="45">
        <v>549451</v>
      </c>
      <c r="R221" s="45"/>
      <c r="S221" s="44">
        <f t="shared" si="7"/>
        <v>305939</v>
      </c>
      <c r="T221" s="45"/>
      <c r="U221" s="45">
        <v>9204452</v>
      </c>
      <c r="V221" s="35"/>
      <c r="W221" s="45">
        <f>11657+20000</f>
        <v>31657</v>
      </c>
    </row>
    <row r="222" spans="1:23" s="49" customFormat="1" ht="12.75" customHeight="1">
      <c r="A222" s="44" t="s">
        <v>252</v>
      </c>
      <c r="C222" s="44" t="s">
        <v>209</v>
      </c>
      <c r="D222" s="35"/>
      <c r="E222" s="45">
        <v>15080926</v>
      </c>
      <c r="F222" s="45"/>
      <c r="G222" s="45">
        <v>0</v>
      </c>
      <c r="H222" s="45"/>
      <c r="I222" s="45">
        <v>0</v>
      </c>
      <c r="J222" s="45"/>
      <c r="K222" s="45">
        <v>1881484</v>
      </c>
      <c r="L222" s="45"/>
      <c r="M222" s="45">
        <v>1998450</v>
      </c>
      <c r="N222" s="45"/>
      <c r="O222" s="45">
        <v>11425</v>
      </c>
      <c r="P222" s="45"/>
      <c r="Q222" s="45">
        <v>98132</v>
      </c>
      <c r="R222" s="45"/>
      <c r="S222" s="44">
        <f t="shared" si="7"/>
        <v>2423859</v>
      </c>
      <c r="T222" s="45"/>
      <c r="U222" s="45">
        <v>21494276</v>
      </c>
      <c r="V222" s="35"/>
      <c r="W222" s="45">
        <f>204302+101900</f>
        <v>306202</v>
      </c>
    </row>
    <row r="223" spans="1:23" s="49" customFormat="1" ht="12.75" customHeight="1">
      <c r="A223" s="44" t="s">
        <v>253</v>
      </c>
      <c r="C223" s="44" t="s">
        <v>13</v>
      </c>
      <c r="D223" s="35"/>
      <c r="E223" s="45">
        <v>0</v>
      </c>
      <c r="F223" s="45"/>
      <c r="G223" s="45">
        <v>14746375</v>
      </c>
      <c r="H223" s="45"/>
      <c r="I223" s="45">
        <v>123456</v>
      </c>
      <c r="J223" s="45"/>
      <c r="K223" s="45">
        <v>1249342</v>
      </c>
      <c r="L223" s="45"/>
      <c r="M223" s="45">
        <v>866191</v>
      </c>
      <c r="N223" s="45"/>
      <c r="O223" s="45">
        <v>0</v>
      </c>
      <c r="P223" s="45"/>
      <c r="Q223" s="45">
        <f>319895+113805</f>
        <v>433700</v>
      </c>
      <c r="R223" s="45"/>
      <c r="S223" s="44">
        <f>U223-E223-G223-K223-M223-O223-Q223-I223</f>
        <v>1248128</v>
      </c>
      <c r="T223" s="45"/>
      <c r="U223" s="45">
        <v>18667192</v>
      </c>
      <c r="V223" s="35"/>
      <c r="W223" s="45">
        <v>0</v>
      </c>
    </row>
    <row r="224" spans="1:23" s="49" customFormat="1" ht="12.75" customHeight="1">
      <c r="A224" s="44" t="s">
        <v>254</v>
      </c>
      <c r="C224" s="44" t="s">
        <v>89</v>
      </c>
      <c r="D224" s="35"/>
      <c r="E224" s="45">
        <v>297216</v>
      </c>
      <c r="F224" s="45"/>
      <c r="G224" s="45">
        <v>1011049</v>
      </c>
      <c r="H224" s="45"/>
      <c r="I224" s="45">
        <v>0</v>
      </c>
      <c r="J224" s="45"/>
      <c r="K224" s="45">
        <v>30884</v>
      </c>
      <c r="L224" s="45"/>
      <c r="M224" s="45">
        <v>320218</v>
      </c>
      <c r="N224" s="45"/>
      <c r="O224" s="45">
        <v>0</v>
      </c>
      <c r="P224" s="45"/>
      <c r="Q224" s="45">
        <f>39353+13764</f>
        <v>53117</v>
      </c>
      <c r="R224" s="45"/>
      <c r="S224" s="44">
        <f t="shared" si="7"/>
        <v>44657</v>
      </c>
      <c r="T224" s="45"/>
      <c r="U224" s="45">
        <v>1757141</v>
      </c>
      <c r="V224" s="35"/>
      <c r="W224" s="45">
        <v>0</v>
      </c>
    </row>
    <row r="225" spans="1:23" s="49" customFormat="1" ht="12.75" customHeight="1">
      <c r="A225" s="44" t="s">
        <v>159</v>
      </c>
      <c r="C225" s="44" t="s">
        <v>66</v>
      </c>
      <c r="D225" s="35"/>
      <c r="E225" s="45">
        <v>770604</v>
      </c>
      <c r="F225" s="45"/>
      <c r="G225" s="45">
        <v>0</v>
      </c>
      <c r="H225" s="45"/>
      <c r="I225" s="45">
        <v>0</v>
      </c>
      <c r="J225" s="45"/>
      <c r="K225" s="45">
        <v>125142</v>
      </c>
      <c r="L225" s="45"/>
      <c r="M225" s="45">
        <v>190035</v>
      </c>
      <c r="N225" s="45"/>
      <c r="O225" s="45">
        <v>0</v>
      </c>
      <c r="P225" s="45"/>
      <c r="Q225" s="45">
        <v>32523</v>
      </c>
      <c r="R225" s="45"/>
      <c r="S225" s="44">
        <f>U225-E225-G225-K225-M225-O225-Q225-I225</f>
        <v>15176</v>
      </c>
      <c r="T225" s="45"/>
      <c r="U225" s="45">
        <v>1133480</v>
      </c>
      <c r="V225" s="35"/>
      <c r="W225" s="45">
        <v>4250</v>
      </c>
    </row>
    <row r="226" spans="1:23" s="49" customFormat="1" ht="12.75" customHeight="1">
      <c r="A226" s="44" t="s">
        <v>255</v>
      </c>
      <c r="C226" s="44" t="s">
        <v>27</v>
      </c>
      <c r="D226" s="35"/>
      <c r="E226" s="45">
        <f>8080627+2590278</f>
        <v>10670905</v>
      </c>
      <c r="F226" s="45"/>
      <c r="G226" s="45">
        <v>0</v>
      </c>
      <c r="H226" s="45"/>
      <c r="I226" s="45">
        <v>0</v>
      </c>
      <c r="J226" s="45"/>
      <c r="K226" s="45">
        <v>387208</v>
      </c>
      <c r="L226" s="45"/>
      <c r="M226" s="45">
        <v>1360022</v>
      </c>
      <c r="N226" s="45"/>
      <c r="O226" s="45">
        <v>19118</v>
      </c>
      <c r="P226" s="45"/>
      <c r="Q226" s="45">
        <v>420590</v>
      </c>
      <c r="R226" s="45"/>
      <c r="S226" s="44">
        <f t="shared" si="7"/>
        <v>134185</v>
      </c>
      <c r="T226" s="45"/>
      <c r="U226" s="45">
        <v>12992028</v>
      </c>
      <c r="V226" s="35"/>
      <c r="W226" s="45">
        <v>6091</v>
      </c>
    </row>
    <row r="227" spans="1:23" s="44" customFormat="1" ht="12.75" customHeight="1">
      <c r="A227" s="44" t="s">
        <v>256</v>
      </c>
      <c r="C227" s="44" t="s">
        <v>43</v>
      </c>
      <c r="D227" s="35"/>
      <c r="E227" s="45">
        <v>8144832</v>
      </c>
      <c r="F227" s="45"/>
      <c r="G227" s="45">
        <v>13332028</v>
      </c>
      <c r="H227" s="45"/>
      <c r="I227" s="45">
        <v>4257540</v>
      </c>
      <c r="J227" s="45"/>
      <c r="K227" s="45">
        <v>1582583</v>
      </c>
      <c r="L227" s="45"/>
      <c r="M227" s="45">
        <v>3258423</v>
      </c>
      <c r="N227" s="45"/>
      <c r="O227" s="45">
        <v>0</v>
      </c>
      <c r="P227" s="45"/>
      <c r="Q227" s="45">
        <f>336954+862566</f>
        <v>1199520</v>
      </c>
      <c r="R227" s="45"/>
      <c r="S227" s="44">
        <f>U227-E227-G227-K227-M227-O227-Q227-I227</f>
        <v>3004789</v>
      </c>
      <c r="T227" s="45"/>
      <c r="U227" s="45">
        <v>34779715</v>
      </c>
      <c r="V227" s="35"/>
      <c r="W227" s="45">
        <v>25031</v>
      </c>
    </row>
    <row r="228" spans="1:23" s="49" customFormat="1" ht="12.75" customHeight="1">
      <c r="A228" s="44" t="s">
        <v>257</v>
      </c>
      <c r="B228" s="44"/>
      <c r="C228" s="44" t="s">
        <v>258</v>
      </c>
      <c r="D228" s="44"/>
      <c r="E228" s="45">
        <v>391809</v>
      </c>
      <c r="F228" s="45"/>
      <c r="G228" s="45">
        <v>2043800</v>
      </c>
      <c r="H228" s="45"/>
      <c r="I228" s="45">
        <v>0</v>
      </c>
      <c r="J228" s="45"/>
      <c r="K228" s="45">
        <v>28316</v>
      </c>
      <c r="L228" s="45"/>
      <c r="M228" s="45">
        <v>691615</v>
      </c>
      <c r="N228" s="45"/>
      <c r="O228" s="45">
        <v>0</v>
      </c>
      <c r="P228" s="45"/>
      <c r="Q228" s="45">
        <f>87832+489481</f>
        <v>577313</v>
      </c>
      <c r="R228" s="45"/>
      <c r="S228" s="44">
        <f>U228-E228-G228-K228-M228-O228-Q228-I228</f>
        <v>67494</v>
      </c>
      <c r="T228" s="45"/>
      <c r="U228" s="45">
        <v>3800347</v>
      </c>
      <c r="V228" s="35"/>
      <c r="W228" s="45">
        <v>63373</v>
      </c>
    </row>
    <row r="229" spans="1:23" s="49" customFormat="1" ht="12.75" customHeight="1">
      <c r="A229" s="44" t="s">
        <v>259</v>
      </c>
      <c r="C229" s="44" t="s">
        <v>260</v>
      </c>
      <c r="D229" s="35"/>
      <c r="E229" s="45">
        <v>434269</v>
      </c>
      <c r="F229" s="45"/>
      <c r="G229" s="45">
        <v>2768576</v>
      </c>
      <c r="H229" s="45"/>
      <c r="I229" s="45">
        <v>0</v>
      </c>
      <c r="J229" s="45"/>
      <c r="K229" s="45">
        <v>713553</v>
      </c>
      <c r="L229" s="45"/>
      <c r="M229" s="45">
        <v>904501</v>
      </c>
      <c r="N229" s="45"/>
      <c r="O229" s="45">
        <v>0</v>
      </c>
      <c r="P229" s="45"/>
      <c r="Q229" s="45">
        <v>698317</v>
      </c>
      <c r="R229" s="45"/>
      <c r="S229" s="44">
        <f t="shared" si="7"/>
        <v>237679</v>
      </c>
      <c r="T229" s="45"/>
      <c r="U229" s="45">
        <v>5756895</v>
      </c>
      <c r="V229" s="35"/>
      <c r="W229" s="45">
        <v>0</v>
      </c>
    </row>
    <row r="230" spans="1:23" s="49" customFormat="1" ht="12.75" customHeight="1">
      <c r="A230" s="44" t="s">
        <v>261</v>
      </c>
      <c r="C230" s="44" t="s">
        <v>66</v>
      </c>
      <c r="D230" s="35"/>
      <c r="E230" s="45">
        <v>2097501</v>
      </c>
      <c r="F230" s="45"/>
      <c r="G230" s="45">
        <v>11905601</v>
      </c>
      <c r="H230" s="45"/>
      <c r="I230" s="45">
        <v>0</v>
      </c>
      <c r="J230" s="45"/>
      <c r="K230" s="45">
        <v>3161709</v>
      </c>
      <c r="L230" s="45"/>
      <c r="M230" s="45">
        <v>1885744</v>
      </c>
      <c r="N230" s="45"/>
      <c r="O230" s="45">
        <v>0</v>
      </c>
      <c r="P230" s="45"/>
      <c r="Q230" s="45">
        <f>1334212+157043</f>
        <v>1491255</v>
      </c>
      <c r="R230" s="45"/>
      <c r="S230" s="44">
        <f t="shared" si="7"/>
        <v>1347629</v>
      </c>
      <c r="T230" s="45"/>
      <c r="U230" s="45">
        <v>21889439</v>
      </c>
      <c r="V230" s="35"/>
      <c r="W230" s="45">
        <v>0</v>
      </c>
    </row>
    <row r="231" spans="1:23" s="49" customFormat="1" ht="12.75" hidden="1" customHeight="1">
      <c r="A231" s="44" t="s">
        <v>262</v>
      </c>
      <c r="C231" s="44" t="s">
        <v>132</v>
      </c>
      <c r="D231" s="3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4">
        <f t="shared" si="7"/>
        <v>0</v>
      </c>
      <c r="T231" s="45"/>
      <c r="U231" s="45"/>
      <c r="V231" s="35"/>
      <c r="W231" s="45"/>
    </row>
    <row r="232" spans="1:23" s="49" customFormat="1" ht="12.75" customHeight="1">
      <c r="A232" s="44" t="s">
        <v>263</v>
      </c>
      <c r="C232" s="44" t="s">
        <v>53</v>
      </c>
      <c r="D232" s="35"/>
      <c r="E232" s="45">
        <v>1110570</v>
      </c>
      <c r="F232" s="45"/>
      <c r="G232" s="45">
        <v>0</v>
      </c>
      <c r="H232" s="45"/>
      <c r="I232" s="45">
        <v>0</v>
      </c>
      <c r="J232" s="45"/>
      <c r="K232" s="45">
        <v>311651</v>
      </c>
      <c r="L232" s="45"/>
      <c r="M232" s="45">
        <v>2168346</v>
      </c>
      <c r="N232" s="45"/>
      <c r="O232" s="45">
        <v>0</v>
      </c>
      <c r="P232" s="45"/>
      <c r="Q232" s="45">
        <f>585298+9019</f>
        <v>594317</v>
      </c>
      <c r="R232" s="45"/>
      <c r="S232" s="44">
        <f t="shared" si="7"/>
        <v>416203</v>
      </c>
      <c r="T232" s="45"/>
      <c r="U232" s="45">
        <v>4601087</v>
      </c>
      <c r="V232" s="35"/>
      <c r="W232" s="45">
        <v>3400000</v>
      </c>
    </row>
    <row r="233" spans="1:23" s="49" customFormat="1" ht="12.75" customHeight="1">
      <c r="A233" s="44" t="s">
        <v>264</v>
      </c>
      <c r="C233" s="44" t="s">
        <v>239</v>
      </c>
      <c r="D233" s="35"/>
      <c r="E233" s="45">
        <v>375494</v>
      </c>
      <c r="F233" s="45"/>
      <c r="G233" s="45">
        <v>2343504</v>
      </c>
      <c r="H233" s="45"/>
      <c r="I233" s="45">
        <v>66801</v>
      </c>
      <c r="J233" s="45"/>
      <c r="K233" s="45">
        <v>389578</v>
      </c>
      <c r="L233" s="45"/>
      <c r="M233" s="45">
        <v>814564</v>
      </c>
      <c r="N233" s="45"/>
      <c r="O233" s="45">
        <v>0</v>
      </c>
      <c r="P233" s="45"/>
      <c r="Q233" s="45">
        <f>84803+23522</f>
        <v>108325</v>
      </c>
      <c r="R233" s="45"/>
      <c r="S233" s="44">
        <f t="shared" si="7"/>
        <v>1220563</v>
      </c>
      <c r="T233" s="45"/>
      <c r="U233" s="45">
        <v>5318829</v>
      </c>
      <c r="V233" s="35"/>
      <c r="W233" s="45">
        <v>0</v>
      </c>
    </row>
    <row r="234" spans="1:23" s="49" customFormat="1" ht="12.75" customHeight="1">
      <c r="A234" s="44" t="s">
        <v>111</v>
      </c>
      <c r="C234" s="44" t="s">
        <v>80</v>
      </c>
      <c r="D234" s="35"/>
      <c r="E234" s="45">
        <v>0</v>
      </c>
      <c r="F234" s="45"/>
      <c r="G234" s="45">
        <v>18013849</v>
      </c>
      <c r="H234" s="45"/>
      <c r="I234" s="45">
        <v>0</v>
      </c>
      <c r="J234" s="45"/>
      <c r="K234" s="45">
        <v>2212497</v>
      </c>
      <c r="L234" s="45"/>
      <c r="M234" s="45">
        <v>2548929</v>
      </c>
      <c r="N234" s="45"/>
      <c r="O234" s="45">
        <v>0</v>
      </c>
      <c r="P234" s="45"/>
      <c r="Q234" s="45">
        <f>1052421+2399442</f>
        <v>3451863</v>
      </c>
      <c r="R234" s="45"/>
      <c r="S234" s="44">
        <f t="shared" si="7"/>
        <v>3854047</v>
      </c>
      <c r="T234" s="45"/>
      <c r="U234" s="45">
        <v>30081185</v>
      </c>
      <c r="V234" s="35"/>
      <c r="W234" s="45">
        <v>223500</v>
      </c>
    </row>
    <row r="235" spans="1:23" s="49" customFormat="1" ht="12.75" customHeight="1">
      <c r="A235" s="44" t="s">
        <v>265</v>
      </c>
      <c r="C235" s="44" t="s">
        <v>27</v>
      </c>
      <c r="D235" s="35"/>
      <c r="E235" s="45">
        <v>876275</v>
      </c>
      <c r="F235" s="45"/>
      <c r="G235" s="45">
        <v>11934424</v>
      </c>
      <c r="H235" s="45"/>
      <c r="I235" s="45">
        <v>252865</v>
      </c>
      <c r="J235" s="45"/>
      <c r="K235" s="45">
        <v>505637</v>
      </c>
      <c r="L235" s="45"/>
      <c r="M235" s="45">
        <v>1423340</v>
      </c>
      <c r="N235" s="45"/>
      <c r="O235" s="45">
        <v>0</v>
      </c>
      <c r="P235" s="45"/>
      <c r="Q235" s="45">
        <f>220184+331388</f>
        <v>551572</v>
      </c>
      <c r="R235" s="45"/>
      <c r="S235" s="44">
        <f t="shared" si="7"/>
        <v>130639</v>
      </c>
      <c r="T235" s="45"/>
      <c r="U235" s="45">
        <v>15674752</v>
      </c>
      <c r="V235" s="35"/>
      <c r="W235" s="45">
        <v>30469</v>
      </c>
    </row>
    <row r="236" spans="1:23" s="49" customFormat="1" ht="12.75" customHeight="1">
      <c r="A236" s="44" t="s">
        <v>40</v>
      </c>
      <c r="C236" s="47" t="s">
        <v>451</v>
      </c>
      <c r="D236" s="35"/>
      <c r="E236" s="45">
        <v>412825</v>
      </c>
      <c r="F236" s="45"/>
      <c r="G236" s="45">
        <v>3558736</v>
      </c>
      <c r="H236" s="45"/>
      <c r="I236" s="45">
        <v>0</v>
      </c>
      <c r="J236" s="45"/>
      <c r="K236" s="45">
        <v>973371</v>
      </c>
      <c r="L236" s="45"/>
      <c r="M236" s="45">
        <v>1027387</v>
      </c>
      <c r="N236" s="45"/>
      <c r="O236" s="45">
        <v>0</v>
      </c>
      <c r="P236" s="45"/>
      <c r="Q236" s="45">
        <v>623990</v>
      </c>
      <c r="R236" s="45"/>
      <c r="S236" s="44">
        <f t="shared" si="7"/>
        <v>273715</v>
      </c>
      <c r="T236" s="45"/>
      <c r="U236" s="45">
        <v>6870024</v>
      </c>
      <c r="V236" s="35"/>
      <c r="W236" s="45">
        <v>610000</v>
      </c>
    </row>
    <row r="237" spans="1:23" s="49" customFormat="1" ht="12.75" customHeight="1">
      <c r="A237" s="44" t="s">
        <v>266</v>
      </c>
      <c r="C237" s="44" t="s">
        <v>267</v>
      </c>
      <c r="D237" s="35"/>
      <c r="E237" s="45">
        <v>2278921</v>
      </c>
      <c r="F237" s="45"/>
      <c r="G237" s="45">
        <v>0</v>
      </c>
      <c r="H237" s="45"/>
      <c r="I237" s="45">
        <v>0</v>
      </c>
      <c r="J237" s="45"/>
      <c r="K237" s="45">
        <v>459744</v>
      </c>
      <c r="L237" s="45"/>
      <c r="M237" s="45">
        <v>620029</v>
      </c>
      <c r="N237" s="45"/>
      <c r="O237" s="45">
        <v>0</v>
      </c>
      <c r="P237" s="45"/>
      <c r="Q237" s="45">
        <f>12163+34418</f>
        <v>46581</v>
      </c>
      <c r="R237" s="45"/>
      <c r="S237" s="44">
        <f t="shared" si="7"/>
        <v>185544</v>
      </c>
      <c r="T237" s="45"/>
      <c r="U237" s="45">
        <v>3590819</v>
      </c>
      <c r="V237" s="35"/>
      <c r="W237" s="45">
        <v>100297</v>
      </c>
    </row>
    <row r="238" spans="1:23" s="49" customFormat="1" ht="12.75" customHeight="1">
      <c r="A238" s="44" t="s">
        <v>268</v>
      </c>
      <c r="C238" s="44" t="s">
        <v>269</v>
      </c>
      <c r="D238" s="35"/>
      <c r="E238" s="45">
        <v>1753446</v>
      </c>
      <c r="F238" s="45"/>
      <c r="G238" s="45">
        <v>0</v>
      </c>
      <c r="H238" s="45"/>
      <c r="I238" s="45">
        <v>0</v>
      </c>
      <c r="J238" s="45"/>
      <c r="K238" s="45">
        <v>0</v>
      </c>
      <c r="L238" s="45"/>
      <c r="M238" s="45">
        <v>300303</v>
      </c>
      <c r="N238" s="45"/>
      <c r="O238" s="45">
        <v>0</v>
      </c>
      <c r="P238" s="45"/>
      <c r="Q238" s="45">
        <f>185816+3622</f>
        <v>189438</v>
      </c>
      <c r="R238" s="45"/>
      <c r="S238" s="44">
        <f t="shared" si="7"/>
        <v>64035</v>
      </c>
      <c r="T238" s="45"/>
      <c r="U238" s="45">
        <v>2307222</v>
      </c>
      <c r="V238" s="35"/>
      <c r="W238" s="45">
        <v>0</v>
      </c>
    </row>
    <row r="239" spans="1:23" s="49" customFormat="1" ht="12.75" hidden="1" customHeight="1">
      <c r="A239" s="44" t="s">
        <v>270</v>
      </c>
      <c r="C239" s="44" t="s">
        <v>136</v>
      </c>
      <c r="D239" s="3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4">
        <f>U239-E239-G239-K239-M239-O239-Q239-I239</f>
        <v>0</v>
      </c>
      <c r="T239" s="45"/>
      <c r="U239" s="45"/>
      <c r="V239" s="35"/>
      <c r="W239" s="45"/>
    </row>
    <row r="240" spans="1:23" s="49" customFormat="1" ht="12.75" customHeight="1">
      <c r="A240" s="44" t="s">
        <v>271</v>
      </c>
      <c r="C240" s="44" t="s">
        <v>66</v>
      </c>
      <c r="D240" s="35"/>
      <c r="E240" s="45">
        <v>6103242</v>
      </c>
      <c r="F240" s="45"/>
      <c r="G240" s="45">
        <v>0</v>
      </c>
      <c r="H240" s="45"/>
      <c r="I240" s="45">
        <v>0</v>
      </c>
      <c r="J240" s="45"/>
      <c r="K240" s="45">
        <v>334141</v>
      </c>
      <c r="L240" s="45"/>
      <c r="M240" s="45">
        <v>666905</v>
      </c>
      <c r="N240" s="45"/>
      <c r="O240" s="45">
        <v>0</v>
      </c>
      <c r="P240" s="45"/>
      <c r="Q240" s="45">
        <f>227288+107563</f>
        <v>334851</v>
      </c>
      <c r="R240" s="45"/>
      <c r="S240" s="44">
        <f t="shared" si="7"/>
        <v>284485</v>
      </c>
      <c r="T240" s="45"/>
      <c r="U240" s="45">
        <v>7723624</v>
      </c>
      <c r="V240" s="35"/>
      <c r="W240" s="45">
        <v>0</v>
      </c>
    </row>
    <row r="241" spans="1:23" s="49" customFormat="1" ht="12.75" customHeight="1">
      <c r="A241" s="44" t="s">
        <v>272</v>
      </c>
      <c r="C241" s="44" t="s">
        <v>43</v>
      </c>
      <c r="D241" s="35"/>
      <c r="E241" s="45">
        <v>3028754</v>
      </c>
      <c r="F241" s="45"/>
      <c r="G241" s="45">
        <v>18799543</v>
      </c>
      <c r="H241" s="45"/>
      <c r="I241" s="45">
        <v>0</v>
      </c>
      <c r="J241" s="45"/>
      <c r="K241" s="45">
        <v>547743</v>
      </c>
      <c r="L241" s="45"/>
      <c r="M241" s="45">
        <v>5556335</v>
      </c>
      <c r="N241" s="45"/>
      <c r="O241" s="45">
        <v>0</v>
      </c>
      <c r="P241" s="45"/>
      <c r="Q241" s="45">
        <f>766468+470287</f>
        <v>1236755</v>
      </c>
      <c r="R241" s="45"/>
      <c r="S241" s="44">
        <f t="shared" si="7"/>
        <v>3623587</v>
      </c>
      <c r="T241" s="45"/>
      <c r="U241" s="45">
        <v>32792717</v>
      </c>
      <c r="V241" s="35"/>
      <c r="W241" s="45">
        <v>7836</v>
      </c>
    </row>
    <row r="242" spans="1:23" s="49" customFormat="1" ht="12.75" customHeight="1">
      <c r="A242" s="44" t="s">
        <v>273</v>
      </c>
      <c r="C242" s="44" t="s">
        <v>27</v>
      </c>
      <c r="D242" s="35"/>
      <c r="E242" s="45">
        <v>9558358</v>
      </c>
      <c r="F242" s="45"/>
      <c r="G242" s="45">
        <v>12707112</v>
      </c>
      <c r="H242" s="45"/>
      <c r="I242" s="45">
        <v>548983</v>
      </c>
      <c r="J242" s="45"/>
      <c r="K242" s="45">
        <v>13714</v>
      </c>
      <c r="L242" s="45"/>
      <c r="M242" s="45">
        <v>3908136</v>
      </c>
      <c r="N242" s="45"/>
      <c r="O242" s="45">
        <v>0</v>
      </c>
      <c r="P242" s="45"/>
      <c r="Q242" s="45">
        <f>227903+1055290</f>
        <v>1283193</v>
      </c>
      <c r="R242" s="45"/>
      <c r="S242" s="44">
        <f t="shared" si="7"/>
        <v>2458848</v>
      </c>
      <c r="T242" s="45"/>
      <c r="U242" s="45">
        <v>30478344</v>
      </c>
      <c r="V242" s="35"/>
      <c r="W242" s="45">
        <v>12201</v>
      </c>
    </row>
    <row r="243" spans="1:23" s="49" customFormat="1" ht="12.75" customHeight="1">
      <c r="A243" s="44" t="s">
        <v>274</v>
      </c>
      <c r="C243" s="44" t="s">
        <v>43</v>
      </c>
      <c r="D243" s="35"/>
      <c r="E243" s="45">
        <v>473678</v>
      </c>
      <c r="F243" s="45"/>
      <c r="G243" s="45">
        <v>14620565</v>
      </c>
      <c r="H243" s="45"/>
      <c r="I243" s="45">
        <v>0</v>
      </c>
      <c r="J243" s="45"/>
      <c r="K243" s="45">
        <v>233849</v>
      </c>
      <c r="L243" s="45"/>
      <c r="M243" s="45">
        <v>1691827</v>
      </c>
      <c r="N243" s="45"/>
      <c r="O243" s="45">
        <v>10800</v>
      </c>
      <c r="P243" s="45"/>
      <c r="Q243" s="45">
        <f>319480+353129</f>
        <v>672609</v>
      </c>
      <c r="R243" s="45"/>
      <c r="S243" s="44">
        <f t="shared" ref="S243:S255" si="8">U243-E243-G243-K243-M243-O243-Q243-I243</f>
        <v>671300</v>
      </c>
      <c r="T243" s="45"/>
      <c r="U243" s="45">
        <v>18374628</v>
      </c>
      <c r="V243" s="35"/>
      <c r="W243" s="45">
        <v>0</v>
      </c>
    </row>
    <row r="244" spans="1:23" s="49" customFormat="1" ht="12.75" customHeight="1">
      <c r="A244" s="44" t="s">
        <v>275</v>
      </c>
      <c r="C244" s="44" t="s">
        <v>92</v>
      </c>
      <c r="D244" s="35"/>
      <c r="E244" s="45">
        <v>1743972</v>
      </c>
      <c r="F244" s="45"/>
      <c r="G244" s="45">
        <v>7455209</v>
      </c>
      <c r="H244" s="45"/>
      <c r="I244" s="45">
        <f>192438+2294115</f>
        <v>2486553</v>
      </c>
      <c r="J244" s="45"/>
      <c r="K244" s="45">
        <v>304419</v>
      </c>
      <c r="L244" s="45"/>
      <c r="M244" s="45">
        <v>248038</v>
      </c>
      <c r="N244" s="45"/>
      <c r="O244" s="45">
        <v>0</v>
      </c>
      <c r="P244" s="45"/>
      <c r="Q244" s="45">
        <f>167778+372098</f>
        <v>539876</v>
      </c>
      <c r="R244" s="45"/>
      <c r="S244" s="44">
        <f t="shared" si="8"/>
        <v>445823</v>
      </c>
      <c r="T244" s="45"/>
      <c r="U244" s="45">
        <v>13223890</v>
      </c>
      <c r="V244" s="35"/>
      <c r="W244" s="45">
        <v>0</v>
      </c>
    </row>
    <row r="245" spans="1:23" s="46" customFormat="1" ht="12.75" customHeight="1">
      <c r="A245" s="44" t="s">
        <v>276</v>
      </c>
      <c r="B245" s="49"/>
      <c r="C245" s="44" t="s">
        <v>38</v>
      </c>
      <c r="D245" s="35"/>
      <c r="E245" s="45">
        <v>0</v>
      </c>
      <c r="F245" s="45"/>
      <c r="G245" s="45">
        <v>1814300</v>
      </c>
      <c r="H245" s="45"/>
      <c r="I245" s="45">
        <v>306129</v>
      </c>
      <c r="J245" s="45"/>
      <c r="K245" s="45">
        <v>423414</v>
      </c>
      <c r="L245" s="45"/>
      <c r="M245" s="45">
        <v>568820</v>
      </c>
      <c r="N245" s="45"/>
      <c r="O245" s="45">
        <v>0</v>
      </c>
      <c r="P245" s="45"/>
      <c r="Q245" s="45">
        <f>46627+73986</f>
        <v>120613</v>
      </c>
      <c r="R245" s="45"/>
      <c r="S245" s="44">
        <f t="shared" si="8"/>
        <v>148162</v>
      </c>
      <c r="T245" s="45"/>
      <c r="U245" s="45">
        <v>3381438</v>
      </c>
      <c r="V245" s="35"/>
      <c r="W245" s="45">
        <v>0</v>
      </c>
    </row>
    <row r="246" spans="1:23" s="49" customFormat="1" ht="12.75" customHeight="1">
      <c r="A246" s="44" t="s">
        <v>277</v>
      </c>
      <c r="C246" s="44" t="s">
        <v>92</v>
      </c>
      <c r="D246" s="35"/>
      <c r="E246" s="45">
        <v>1697747</v>
      </c>
      <c r="F246" s="45"/>
      <c r="G246" s="45">
        <v>14836082</v>
      </c>
      <c r="H246" s="45"/>
      <c r="I246" s="45">
        <v>0</v>
      </c>
      <c r="J246" s="45"/>
      <c r="K246" s="45">
        <v>1216730</v>
      </c>
      <c r="L246" s="45"/>
      <c r="M246" s="45">
        <v>3853120</v>
      </c>
      <c r="N246" s="45"/>
      <c r="O246" s="45">
        <v>0</v>
      </c>
      <c r="P246" s="45"/>
      <c r="Q246" s="45">
        <f>2015284+259563</f>
        <v>2274847</v>
      </c>
      <c r="R246" s="45"/>
      <c r="S246" s="44">
        <f t="shared" si="8"/>
        <v>655713</v>
      </c>
      <c r="T246" s="45"/>
      <c r="U246" s="45">
        <v>24534239</v>
      </c>
      <c r="V246" s="35"/>
      <c r="W246" s="45">
        <v>71594</v>
      </c>
    </row>
    <row r="247" spans="1:23" s="49" customFormat="1" ht="12.75" customHeight="1">
      <c r="A247" s="44" t="s">
        <v>278</v>
      </c>
      <c r="C247" s="44" t="s">
        <v>92</v>
      </c>
      <c r="D247" s="35"/>
      <c r="E247" s="45">
        <v>616745</v>
      </c>
      <c r="F247" s="45"/>
      <c r="G247" s="45">
        <v>3467074</v>
      </c>
      <c r="H247" s="45"/>
      <c r="I247" s="45">
        <f>48431+105326</f>
        <v>153757</v>
      </c>
      <c r="J247" s="45"/>
      <c r="K247" s="45">
        <v>32688</v>
      </c>
      <c r="L247" s="45"/>
      <c r="M247" s="45">
        <v>942069</v>
      </c>
      <c r="N247" s="45"/>
      <c r="O247" s="45">
        <v>0</v>
      </c>
      <c r="P247" s="45"/>
      <c r="Q247" s="45">
        <f>845134+115395</f>
        <v>960529</v>
      </c>
      <c r="R247" s="45"/>
      <c r="S247" s="44">
        <f t="shared" si="8"/>
        <v>202331</v>
      </c>
      <c r="T247" s="45"/>
      <c r="U247" s="45">
        <v>6375193</v>
      </c>
      <c r="V247" s="35"/>
      <c r="W247" s="45">
        <f>13218+60250</f>
        <v>73468</v>
      </c>
    </row>
    <row r="248" spans="1:23" s="49" customFormat="1" ht="12.75" customHeight="1">
      <c r="A248" s="44" t="s">
        <v>279</v>
      </c>
      <c r="C248" s="44" t="s">
        <v>92</v>
      </c>
      <c r="D248" s="35"/>
      <c r="E248" s="45">
        <v>2488929</v>
      </c>
      <c r="F248" s="45"/>
      <c r="G248" s="45">
        <v>2368452</v>
      </c>
      <c r="H248" s="45"/>
      <c r="I248" s="45">
        <v>121262</v>
      </c>
      <c r="J248" s="45"/>
      <c r="K248" s="45">
        <v>365610</v>
      </c>
      <c r="L248" s="45"/>
      <c r="M248" s="45">
        <v>2344204</v>
      </c>
      <c r="N248" s="45"/>
      <c r="O248" s="45">
        <v>0</v>
      </c>
      <c r="P248" s="45"/>
      <c r="Q248" s="45">
        <f>93869+210285</f>
        <v>304154</v>
      </c>
      <c r="R248" s="45"/>
      <c r="S248" s="44">
        <f t="shared" si="8"/>
        <v>299681</v>
      </c>
      <c r="T248" s="45"/>
      <c r="U248" s="45">
        <v>8292292</v>
      </c>
      <c r="V248" s="35"/>
      <c r="W248" s="45">
        <v>4340</v>
      </c>
    </row>
    <row r="249" spans="1:23" s="49" customFormat="1" ht="12.75" customHeight="1">
      <c r="A249" s="44" t="s">
        <v>280</v>
      </c>
      <c r="C249" s="44" t="s">
        <v>281</v>
      </c>
      <c r="D249" s="35"/>
      <c r="E249" s="45">
        <v>537964</v>
      </c>
      <c r="F249" s="45"/>
      <c r="G249" s="45">
        <v>6647497</v>
      </c>
      <c r="H249" s="45"/>
      <c r="I249" s="45">
        <v>0</v>
      </c>
      <c r="J249" s="45"/>
      <c r="K249" s="45">
        <v>1361570</v>
      </c>
      <c r="L249" s="45"/>
      <c r="M249" s="45">
        <v>1541468</v>
      </c>
      <c r="N249" s="45"/>
      <c r="O249" s="45">
        <v>136601</v>
      </c>
      <c r="P249" s="45"/>
      <c r="Q249" s="45">
        <f>825125+32356</f>
        <v>857481</v>
      </c>
      <c r="R249" s="45"/>
      <c r="S249" s="44">
        <f t="shared" si="8"/>
        <v>354076</v>
      </c>
      <c r="T249" s="45"/>
      <c r="U249" s="45">
        <v>11436657</v>
      </c>
      <c r="V249" s="35"/>
      <c r="W249" s="45">
        <v>0</v>
      </c>
    </row>
    <row r="250" spans="1:23" s="49" customFormat="1" ht="12.75" customHeight="1">
      <c r="A250" s="44" t="s">
        <v>282</v>
      </c>
      <c r="C250" s="44" t="s">
        <v>199</v>
      </c>
      <c r="D250" s="35"/>
      <c r="E250" s="45">
        <v>11984936</v>
      </c>
      <c r="F250" s="45"/>
      <c r="G250" s="45">
        <v>0</v>
      </c>
      <c r="H250" s="45"/>
      <c r="I250" s="45">
        <v>0</v>
      </c>
      <c r="J250" s="45"/>
      <c r="K250" s="45">
        <v>1275498</v>
      </c>
      <c r="L250" s="45"/>
      <c r="M250" s="45">
        <v>1796969</v>
      </c>
      <c r="N250" s="45"/>
      <c r="O250" s="45">
        <v>0</v>
      </c>
      <c r="P250" s="45"/>
      <c r="Q250" s="45">
        <v>349205</v>
      </c>
      <c r="R250" s="45"/>
      <c r="S250" s="44">
        <f t="shared" si="8"/>
        <v>2595837</v>
      </c>
      <c r="T250" s="45"/>
      <c r="U250" s="45">
        <v>18002445</v>
      </c>
      <c r="V250" s="35"/>
      <c r="W250" s="45">
        <v>0</v>
      </c>
    </row>
    <row r="251" spans="1:23" s="49" customFormat="1" ht="12.75" customHeight="1">
      <c r="A251" s="44" t="s">
        <v>283</v>
      </c>
      <c r="C251" s="44" t="s">
        <v>43</v>
      </c>
      <c r="D251" s="35"/>
      <c r="E251" s="45">
        <v>2369312</v>
      </c>
      <c r="F251" s="45"/>
      <c r="G251" s="45">
        <v>13009413</v>
      </c>
      <c r="H251" s="45"/>
      <c r="I251" s="45">
        <v>187267</v>
      </c>
      <c r="J251" s="45"/>
      <c r="K251" s="45">
        <v>2427690</v>
      </c>
      <c r="L251" s="45"/>
      <c r="M251" s="45">
        <v>1863777</v>
      </c>
      <c r="N251" s="45"/>
      <c r="O251" s="45">
        <v>20946</v>
      </c>
      <c r="P251" s="45"/>
      <c r="Q251" s="45">
        <f>283767+192166</f>
        <v>475933</v>
      </c>
      <c r="R251" s="45"/>
      <c r="S251" s="44">
        <f t="shared" si="8"/>
        <v>921248</v>
      </c>
      <c r="T251" s="45"/>
      <c r="U251" s="45">
        <v>21275586</v>
      </c>
      <c r="V251" s="35"/>
      <c r="W251" s="45">
        <v>223618</v>
      </c>
    </row>
    <row r="252" spans="1:23" s="49" customFormat="1" ht="12.75" customHeight="1">
      <c r="A252" s="44" t="s">
        <v>284</v>
      </c>
      <c r="C252" s="44" t="s">
        <v>45</v>
      </c>
      <c r="D252" s="35"/>
      <c r="E252" s="45">
        <v>7190591</v>
      </c>
      <c r="F252" s="45"/>
      <c r="G252" s="45">
        <v>0</v>
      </c>
      <c r="H252" s="45"/>
      <c r="I252" s="45">
        <v>0</v>
      </c>
      <c r="J252" s="45"/>
      <c r="K252" s="45">
        <v>133511</v>
      </c>
      <c r="L252" s="45"/>
      <c r="M252" s="45">
        <v>1658563</v>
      </c>
      <c r="N252" s="45"/>
      <c r="O252" s="45">
        <v>0</v>
      </c>
      <c r="P252" s="45"/>
      <c r="Q252" s="45">
        <v>128742</v>
      </c>
      <c r="R252" s="45"/>
      <c r="S252" s="44">
        <f t="shared" si="8"/>
        <v>438663</v>
      </c>
      <c r="T252" s="45"/>
      <c r="U252" s="45">
        <v>9550070</v>
      </c>
      <c r="V252" s="35"/>
      <c r="W252" s="45">
        <v>0</v>
      </c>
    </row>
    <row r="253" spans="1:23" s="49" customFormat="1" ht="12.75" customHeight="1">
      <c r="A253" s="44" t="s">
        <v>285</v>
      </c>
      <c r="C253" s="44" t="s">
        <v>30</v>
      </c>
      <c r="D253" s="35"/>
      <c r="E253" s="45">
        <v>2272837</v>
      </c>
      <c r="F253" s="45"/>
      <c r="G253" s="45">
        <v>8973379</v>
      </c>
      <c r="H253" s="45"/>
      <c r="I253" s="45">
        <v>1814131</v>
      </c>
      <c r="J253" s="45"/>
      <c r="K253" s="45">
        <v>1702649</v>
      </c>
      <c r="L253" s="45"/>
      <c r="M253" s="45">
        <v>210938</v>
      </c>
      <c r="N253" s="45"/>
      <c r="O253" s="45">
        <v>0</v>
      </c>
      <c r="P253" s="45"/>
      <c r="Q253" s="45">
        <v>1299478</v>
      </c>
      <c r="R253" s="45"/>
      <c r="S253" s="44">
        <f t="shared" si="8"/>
        <v>389565</v>
      </c>
      <c r="T253" s="45"/>
      <c r="U253" s="45">
        <v>16662977</v>
      </c>
      <c r="V253" s="35"/>
      <c r="W253" s="45">
        <v>0</v>
      </c>
    </row>
    <row r="254" spans="1:23" s="49" customFormat="1" ht="12.75" customHeight="1">
      <c r="A254" s="44" t="s">
        <v>286</v>
      </c>
      <c r="C254" s="44" t="s">
        <v>61</v>
      </c>
      <c r="D254" s="35"/>
      <c r="E254" s="45">
        <v>0</v>
      </c>
      <c r="F254" s="45"/>
      <c r="G254" s="45">
        <v>24420082</v>
      </c>
      <c r="H254" s="45"/>
      <c r="I254" s="45">
        <v>0</v>
      </c>
      <c r="J254" s="45"/>
      <c r="K254" s="45">
        <v>5938537</v>
      </c>
      <c r="L254" s="45"/>
      <c r="M254" s="45">
        <v>4836072</v>
      </c>
      <c r="N254" s="45"/>
      <c r="O254" s="45">
        <v>0</v>
      </c>
      <c r="P254" s="45"/>
      <c r="Q254" s="45">
        <f>410784+658659</f>
        <v>1069443</v>
      </c>
      <c r="R254" s="45"/>
      <c r="S254" s="44">
        <f t="shared" si="8"/>
        <v>4060534</v>
      </c>
      <c r="T254" s="45"/>
      <c r="U254" s="45">
        <v>40324668</v>
      </c>
      <c r="V254" s="35"/>
      <c r="W254" s="45">
        <f>1242629+87960+266318</f>
        <v>1596907</v>
      </c>
    </row>
    <row r="255" spans="1:23" s="44" customFormat="1" ht="12.75" customHeight="1">
      <c r="A255" s="44" t="s">
        <v>287</v>
      </c>
      <c r="B255" s="49"/>
      <c r="C255" s="44" t="s">
        <v>288</v>
      </c>
      <c r="D255" s="35"/>
      <c r="E255" s="45">
        <v>575272</v>
      </c>
      <c r="F255" s="45"/>
      <c r="G255" s="45">
        <v>8093277</v>
      </c>
      <c r="H255" s="45"/>
      <c r="I255" s="45">
        <v>0</v>
      </c>
      <c r="J255" s="45"/>
      <c r="K255" s="45">
        <v>719595</v>
      </c>
      <c r="L255" s="45"/>
      <c r="M255" s="45">
        <v>2417560</v>
      </c>
      <c r="N255" s="45"/>
      <c r="O255" s="45">
        <v>0</v>
      </c>
      <c r="P255" s="45"/>
      <c r="Q255" s="45">
        <f>337936+121998</f>
        <v>459934</v>
      </c>
      <c r="R255" s="45"/>
      <c r="S255" s="44">
        <f t="shared" si="8"/>
        <v>306024</v>
      </c>
      <c r="T255" s="45"/>
      <c r="U255" s="45">
        <v>12571662</v>
      </c>
      <c r="V255" s="35"/>
      <c r="W255" s="45">
        <v>819551</v>
      </c>
    </row>
    <row r="256" spans="1:23" s="49" customFormat="1" ht="12.75" customHeight="1">
      <c r="A256" s="44" t="s">
        <v>471</v>
      </c>
      <c r="C256" s="44"/>
      <c r="D256" s="35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5"/>
      <c r="R256" s="44"/>
      <c r="S256" s="44"/>
      <c r="T256" s="45"/>
      <c r="U256" s="48"/>
    </row>
    <row r="257" spans="1:22" s="47" customFormat="1" ht="12.75" customHeight="1">
      <c r="A257" s="49"/>
      <c r="B257" s="51"/>
      <c r="C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4"/>
      <c r="T257" s="49"/>
      <c r="U257" s="48"/>
    </row>
    <row r="258" spans="1:22" s="49" customFormat="1" ht="12.75" customHeight="1">
      <c r="D258" s="47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8"/>
    </row>
    <row r="259" spans="1:22" s="49" customFormat="1" ht="12.75" customHeight="1"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8"/>
    </row>
    <row r="260" spans="1:22" s="49" customFormat="1" ht="12.75" customHeight="1"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8"/>
    </row>
    <row r="261" spans="1:22" s="49" customFormat="1" ht="12.75" customHeight="1"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8"/>
    </row>
    <row r="262" spans="1:22" s="49" customFormat="1" ht="12.75" customHeight="1">
      <c r="D262" s="47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8"/>
    </row>
    <row r="263" spans="1:22" s="49" customFormat="1" ht="12.75" customHeight="1">
      <c r="D263" s="47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8"/>
    </row>
    <row r="264" spans="1:22" s="49" customFormat="1" ht="12.75" customHeight="1">
      <c r="D264" s="47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8"/>
    </row>
    <row r="265" spans="1:22" s="49" customFormat="1" ht="12.75" customHeight="1">
      <c r="D265" s="47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8"/>
    </row>
    <row r="266" spans="1:22" s="49" customFormat="1" ht="12.75" customHeight="1">
      <c r="D266" s="47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8"/>
    </row>
    <row r="267" spans="1:22" s="49" customFormat="1" ht="12.75" customHeight="1">
      <c r="D267" s="47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8"/>
    </row>
    <row r="268" spans="1:22" s="49" customFormat="1" ht="12.75" customHeight="1">
      <c r="D268" s="47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8"/>
    </row>
    <row r="269" spans="1:22" s="49" customFormat="1" ht="12.75" customHeight="1">
      <c r="D269" s="47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8"/>
    </row>
    <row r="270" spans="1:22" s="49" customFormat="1" ht="12.75" customHeight="1">
      <c r="D270" s="47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8"/>
      <c r="V270" s="47"/>
    </row>
    <row r="271" spans="1:22" s="49" customFormat="1" ht="12.75" customHeight="1">
      <c r="D271" s="47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8"/>
      <c r="V271" s="47"/>
    </row>
    <row r="272" spans="1:22" s="49" customFormat="1" ht="12.75" customHeight="1">
      <c r="D272" s="47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8"/>
      <c r="V272" s="47"/>
    </row>
    <row r="273" spans="4:22" s="49" customFormat="1" ht="12.75" customHeight="1">
      <c r="D273" s="47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8"/>
      <c r="V273" s="47"/>
    </row>
    <row r="274" spans="4:22" s="49" customFormat="1" ht="12.75" customHeight="1">
      <c r="D274" s="47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8"/>
      <c r="V274" s="47"/>
    </row>
    <row r="275" spans="4:22" s="49" customFormat="1" ht="12.75" customHeight="1">
      <c r="D275" s="47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8"/>
      <c r="V275" s="47"/>
    </row>
    <row r="276" spans="4:22" s="49" customFormat="1" ht="12.75" customHeight="1">
      <c r="D276" s="47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8"/>
      <c r="V276" s="47"/>
    </row>
    <row r="277" spans="4:22" s="49" customFormat="1" ht="12.75" customHeight="1">
      <c r="D277" s="47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8"/>
      <c r="V277" s="47"/>
    </row>
    <row r="278" spans="4:22" s="49" customFormat="1" ht="12.75" customHeight="1">
      <c r="D278" s="47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8"/>
      <c r="V278" s="47"/>
    </row>
    <row r="279" spans="4:22" s="49" customFormat="1" ht="12.75" customHeight="1">
      <c r="D279" s="47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8"/>
      <c r="V279" s="47"/>
    </row>
    <row r="280" spans="4:22" s="49" customFormat="1" ht="12.75" customHeight="1">
      <c r="D280" s="47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8"/>
      <c r="V280" s="47"/>
    </row>
    <row r="281" spans="4:22" s="49" customFormat="1" ht="12.75" customHeight="1">
      <c r="D281" s="47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8"/>
      <c r="V281" s="47"/>
    </row>
    <row r="282" spans="4:22" s="49" customFormat="1" ht="12.75" customHeight="1">
      <c r="D282" s="47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8"/>
      <c r="V282" s="47"/>
    </row>
    <row r="283" spans="4:22" s="49" customFormat="1" ht="12.75" customHeight="1">
      <c r="D283" s="47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8"/>
      <c r="V283" s="47"/>
    </row>
    <row r="284" spans="4:22" s="49" customFormat="1" ht="12.75" customHeight="1">
      <c r="D284" s="47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8"/>
      <c r="V284" s="47"/>
    </row>
    <row r="285" spans="4:22" s="49" customFormat="1" ht="12.75" customHeight="1">
      <c r="D285" s="47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8"/>
      <c r="V285" s="47"/>
    </row>
    <row r="286" spans="4:22" s="49" customFormat="1" ht="12.75" customHeight="1">
      <c r="D286" s="47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8"/>
      <c r="V286" s="47"/>
    </row>
    <row r="287" spans="4:22" s="49" customFormat="1" ht="12.75" customHeight="1">
      <c r="D287" s="47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8"/>
      <c r="V287" s="47"/>
    </row>
    <row r="288" spans="4:22" s="49" customFormat="1" ht="12.75" customHeight="1">
      <c r="D288" s="47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8"/>
      <c r="V288" s="47"/>
    </row>
    <row r="289" spans="4:22" s="49" customFormat="1" ht="12.75" customHeight="1">
      <c r="D289" s="47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8"/>
      <c r="V289" s="47"/>
    </row>
    <row r="290" spans="4:22" s="49" customFormat="1" ht="12.75" customHeight="1">
      <c r="D290" s="47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8"/>
      <c r="V290" s="47"/>
    </row>
    <row r="291" spans="4:22" s="49" customFormat="1" ht="12.75" customHeight="1">
      <c r="D291" s="47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8"/>
      <c r="V291" s="47"/>
    </row>
    <row r="292" spans="4:22" s="49" customFormat="1" ht="12.75" customHeight="1">
      <c r="D292" s="47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8"/>
      <c r="V292" s="47"/>
    </row>
    <row r="293" spans="4:22" s="49" customFormat="1" ht="12.75" customHeight="1">
      <c r="D293" s="47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8"/>
      <c r="V293" s="47"/>
    </row>
    <row r="294" spans="4:22" s="49" customFormat="1" ht="12.75" customHeight="1">
      <c r="D294" s="47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8"/>
      <c r="V294" s="47"/>
    </row>
    <row r="295" spans="4:22" s="49" customFormat="1" ht="12.75" customHeight="1">
      <c r="D295" s="47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8"/>
      <c r="V295" s="47"/>
    </row>
    <row r="296" spans="4:22" s="49" customFormat="1" ht="12.75" customHeight="1">
      <c r="D296" s="47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8"/>
      <c r="V296" s="47"/>
    </row>
    <row r="297" spans="4:22" s="49" customFormat="1" ht="12.75" customHeight="1">
      <c r="D297" s="47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8"/>
      <c r="V297" s="47"/>
    </row>
    <row r="298" spans="4:22" s="49" customFormat="1" ht="12.75" customHeight="1">
      <c r="D298" s="47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8"/>
      <c r="V298" s="47"/>
    </row>
    <row r="299" spans="4:22" s="49" customFormat="1" ht="12.75" customHeight="1">
      <c r="D299" s="47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8"/>
      <c r="V299" s="47"/>
    </row>
    <row r="300" spans="4:22" s="49" customFormat="1" ht="12.75" customHeight="1">
      <c r="D300" s="47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8"/>
      <c r="V300" s="47"/>
    </row>
    <row r="301" spans="4:22" s="49" customFormat="1" ht="12.75" customHeight="1">
      <c r="D301" s="47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8"/>
      <c r="V301" s="47"/>
    </row>
    <row r="302" spans="4:22" s="49" customFormat="1" ht="12.75" customHeight="1">
      <c r="D302" s="47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8"/>
      <c r="V302" s="47"/>
    </row>
    <row r="303" spans="4:22" s="49" customFormat="1" ht="12.75" customHeight="1">
      <c r="D303" s="47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8"/>
      <c r="V303" s="47"/>
    </row>
    <row r="304" spans="4:22" s="49" customFormat="1" ht="12.75" customHeight="1">
      <c r="D304" s="47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8"/>
      <c r="V304" s="47"/>
    </row>
    <row r="305" spans="4:22" s="49" customFormat="1" ht="12.75" customHeight="1">
      <c r="D305" s="47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8"/>
      <c r="V305" s="47"/>
    </row>
    <row r="306" spans="4:22" s="49" customFormat="1" ht="12.75" customHeight="1">
      <c r="D306" s="47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8"/>
      <c r="V306" s="47"/>
    </row>
    <row r="307" spans="4:22" s="49" customFormat="1" ht="12.75" customHeight="1">
      <c r="D307" s="47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8"/>
      <c r="V307" s="47"/>
    </row>
    <row r="308" spans="4:22" s="49" customFormat="1" ht="12.75" customHeight="1">
      <c r="D308" s="47"/>
      <c r="S308" s="44"/>
      <c r="U308" s="48"/>
      <c r="V308" s="47"/>
    </row>
    <row r="309" spans="4:22" s="49" customFormat="1" ht="12.75" customHeight="1">
      <c r="D309" s="47"/>
      <c r="S309" s="44"/>
      <c r="U309" s="48"/>
      <c r="V309" s="47"/>
    </row>
    <row r="310" spans="4:22" s="49" customFormat="1" ht="12.75" customHeight="1">
      <c r="D310" s="47"/>
      <c r="S310" s="44"/>
      <c r="U310" s="48"/>
      <c r="V310" s="47"/>
    </row>
    <row r="311" spans="4:22" s="49" customFormat="1" ht="12.75" customHeight="1">
      <c r="D311" s="47"/>
      <c r="S311" s="44"/>
      <c r="U311" s="48"/>
      <c r="V311" s="47"/>
    </row>
    <row r="312" spans="4:22" s="49" customFormat="1" ht="12.75" customHeight="1">
      <c r="D312" s="47"/>
      <c r="S312" s="44"/>
      <c r="U312" s="48"/>
      <c r="V312" s="47"/>
    </row>
    <row r="313" spans="4:22" s="49" customFormat="1" ht="12.75" customHeight="1">
      <c r="D313" s="47"/>
      <c r="S313" s="44"/>
      <c r="U313" s="48"/>
      <c r="V313" s="47"/>
    </row>
    <row r="314" spans="4:22" s="49" customFormat="1" ht="12.75" customHeight="1">
      <c r="D314" s="47"/>
      <c r="S314" s="44"/>
      <c r="U314" s="48"/>
      <c r="V314" s="47"/>
    </row>
    <row r="315" spans="4:22" s="49" customFormat="1" ht="12.75" customHeight="1">
      <c r="D315" s="47"/>
      <c r="S315" s="44"/>
      <c r="U315" s="48"/>
      <c r="V315" s="47"/>
    </row>
    <row r="316" spans="4:22" s="49" customFormat="1" ht="12.75" customHeight="1">
      <c r="D316" s="47"/>
      <c r="S316" s="44"/>
      <c r="U316" s="48"/>
      <c r="V316" s="47"/>
    </row>
    <row r="317" spans="4:22" s="49" customFormat="1" ht="12.75" customHeight="1">
      <c r="D317" s="47"/>
      <c r="S317" s="44"/>
      <c r="U317" s="48"/>
      <c r="V317" s="47"/>
    </row>
    <row r="318" spans="4:22" s="49" customFormat="1" ht="12.75" customHeight="1">
      <c r="D318" s="47"/>
      <c r="S318" s="44"/>
      <c r="U318" s="48"/>
      <c r="V318" s="47"/>
    </row>
    <row r="319" spans="4:22" s="49" customFormat="1" ht="12.75" customHeight="1">
      <c r="D319" s="47"/>
      <c r="S319" s="44"/>
      <c r="U319" s="48"/>
      <c r="V319" s="47"/>
    </row>
    <row r="320" spans="4:22" s="49" customFormat="1" ht="12.75" customHeight="1">
      <c r="D320" s="47"/>
      <c r="S320" s="44"/>
      <c r="U320" s="48"/>
      <c r="V320" s="47"/>
    </row>
    <row r="321" spans="1:22" s="49" customFormat="1" ht="12.75" customHeight="1">
      <c r="D321" s="47"/>
      <c r="S321" s="44"/>
      <c r="U321" s="48"/>
      <c r="V321" s="47"/>
    </row>
    <row r="322" spans="1:22" s="49" customFormat="1" ht="12.75" customHeight="1">
      <c r="D322" s="47"/>
      <c r="S322" s="44"/>
      <c r="U322" s="48"/>
      <c r="V322" s="47"/>
    </row>
    <row r="323" spans="1:22" s="49" customFormat="1" ht="12.75" customHeight="1">
      <c r="D323" s="47"/>
      <c r="S323" s="44"/>
      <c r="U323" s="48"/>
      <c r="V323" s="47"/>
    </row>
    <row r="324" spans="1:22" s="49" customFormat="1" ht="12.75" customHeight="1">
      <c r="D324" s="47"/>
      <c r="S324" s="44"/>
      <c r="U324" s="48"/>
      <c r="V324" s="47"/>
    </row>
    <row r="325" spans="1:22" s="49" customFormat="1" ht="12.75" customHeight="1">
      <c r="D325" s="47"/>
      <c r="S325" s="44"/>
      <c r="U325" s="48"/>
      <c r="V325" s="47"/>
    </row>
    <row r="326" spans="1:22" s="47" customFormat="1" ht="12.75" customHeight="1">
      <c r="A326" s="49"/>
      <c r="C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4"/>
      <c r="T326" s="49"/>
      <c r="U326" s="48"/>
    </row>
    <row r="327" spans="1:22" s="47" customFormat="1" ht="12.75" customHeight="1">
      <c r="A327" s="49"/>
      <c r="C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4"/>
      <c r="T327" s="49"/>
      <c r="U327" s="48"/>
    </row>
    <row r="328" spans="1:22" s="47" customFormat="1" ht="12.75" customHeight="1">
      <c r="A328" s="49"/>
      <c r="C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4"/>
      <c r="T328" s="49"/>
      <c r="U328" s="48"/>
    </row>
    <row r="329" spans="1:22" s="47" customFormat="1" ht="12.75" customHeight="1">
      <c r="A329" s="49"/>
      <c r="B329" s="51"/>
      <c r="C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4"/>
      <c r="T329" s="49"/>
      <c r="U329" s="48"/>
    </row>
    <row r="330" spans="1:22" s="47" customFormat="1" ht="12.75" customHeight="1">
      <c r="A330" s="49"/>
      <c r="B330" s="51"/>
      <c r="C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4"/>
      <c r="T330" s="49"/>
      <c r="U330" s="48"/>
    </row>
    <row r="331" spans="1:22" s="47" customFormat="1" ht="12.75" customHeight="1">
      <c r="A331" s="49"/>
      <c r="B331" s="51"/>
      <c r="C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4"/>
      <c r="T331" s="49"/>
      <c r="U331" s="48"/>
    </row>
    <row r="332" spans="1:22" s="47" customFormat="1" ht="12.75" customHeight="1">
      <c r="A332" s="49"/>
      <c r="B332" s="51"/>
      <c r="C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4"/>
      <c r="T332" s="49"/>
      <c r="U332" s="48"/>
    </row>
    <row r="333" spans="1:22" s="47" customFormat="1" ht="12.75" customHeight="1">
      <c r="A333" s="49"/>
      <c r="B333" s="51"/>
      <c r="C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4"/>
      <c r="T333" s="49"/>
      <c r="U333" s="48"/>
    </row>
    <row r="334" spans="1:22" s="47" customFormat="1" ht="12.75" customHeight="1">
      <c r="A334" s="49"/>
      <c r="B334" s="51"/>
      <c r="C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4"/>
      <c r="T334" s="49"/>
      <c r="U334" s="48"/>
    </row>
    <row r="335" spans="1:22" s="47" customFormat="1" ht="12.75" customHeight="1">
      <c r="A335" s="49"/>
      <c r="B335" s="51"/>
      <c r="C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4"/>
      <c r="T335" s="49"/>
      <c r="U335" s="48"/>
    </row>
  </sheetData>
  <phoneticPr fontId="4" type="noConversion"/>
  <pageMargins left="0.75" right="0.75" top="0.5" bottom="0.8" header="0" footer="0.25"/>
  <pageSetup scale="83" firstPageNumber="44" pageOrder="overThenDown" orientation="portrait" useFirstPageNumber="1" r:id="rId1"/>
  <headerFooter alignWithMargins="0">
    <oddFooter>&amp;C&amp;"Times New Roman,Regular"&amp;11&amp;P</oddFooter>
  </headerFooter>
  <rowBreaks count="3" manualBreakCount="3">
    <brk id="69" max="22" man="1"/>
    <brk id="130" max="22" man="1"/>
    <brk id="195" max="22" man="1"/>
  </rowBreaks>
  <colBreaks count="1" manualBreakCount="1">
    <brk id="12" min="9" max="256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S656"/>
  <sheetViews>
    <sheetView view="pageBreakPreview" zoomScale="75" zoomScaleNormal="150" zoomScaleSheetLayoutView="7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C6" sqref="C6"/>
    </sheetView>
  </sheetViews>
  <sheetFormatPr defaultColWidth="0" defaultRowHeight="12.75" customHeight="1"/>
  <cols>
    <col min="1" max="1" width="14.88671875" style="11" customWidth="1"/>
    <col min="2" max="2" width="1.5546875" customWidth="1"/>
    <col min="3" max="3" width="10.5546875" style="11" customWidth="1"/>
    <col min="4" max="4" width="1.5546875" style="10" customWidth="1"/>
    <col min="5" max="5" width="11.6640625" style="17" customWidth="1"/>
    <col min="6" max="6" width="1.5546875" style="17" customWidth="1"/>
    <col min="7" max="7" width="11.6640625" style="17" customWidth="1"/>
    <col min="8" max="8" width="1.5546875" style="17" customWidth="1"/>
    <col min="9" max="9" width="11.6640625" style="17" customWidth="1"/>
    <col min="10" max="10" width="1.5546875" style="17" customWidth="1"/>
    <col min="11" max="11" width="11.6640625" style="17" customWidth="1"/>
    <col min="12" max="12" width="1.5546875" style="17" customWidth="1"/>
    <col min="13" max="13" width="11.6640625" style="17" customWidth="1"/>
    <col min="14" max="14" width="1.5546875" style="17" customWidth="1"/>
    <col min="15" max="15" width="11.6640625" style="17" customWidth="1"/>
    <col min="16" max="16" width="0.5546875" style="17" customWidth="1"/>
    <col min="17" max="17" width="11.44140625" style="17" customWidth="1"/>
    <col min="18" max="18" width="1.44140625" style="17" customWidth="1"/>
    <col min="19" max="19" width="10.44140625" style="17" customWidth="1"/>
    <col min="20" max="20" width="1.33203125" style="17" customWidth="1"/>
    <col min="21" max="21" width="10.88671875" style="17" customWidth="1"/>
    <col min="22" max="22" width="1.44140625" style="17" customWidth="1"/>
    <col min="23" max="23" width="11" style="17" customWidth="1"/>
    <col min="24" max="24" width="1.33203125" style="17" customWidth="1"/>
    <col min="25" max="25" width="11.44140625" style="17" customWidth="1"/>
    <col min="26" max="26" width="1.44140625" customWidth="1"/>
    <col min="27" max="27" width="11" customWidth="1"/>
    <col min="28" max="28" width="1.44140625" customWidth="1"/>
    <col min="29" max="29" width="12" style="17" customWidth="1"/>
    <col min="30" max="30" width="1" style="17" customWidth="1"/>
    <col min="31" max="31" width="9.6640625" style="17" customWidth="1"/>
    <col min="32" max="32" width="1.33203125" style="17" customWidth="1"/>
    <col min="33" max="33" width="11.88671875" style="17" customWidth="1"/>
    <col min="34" max="34" width="3.33203125" style="17" customWidth="1"/>
    <col min="35" max="35" width="12.6640625" style="17" customWidth="1"/>
    <col min="36" max="36" width="1.109375" style="17" customWidth="1"/>
    <col min="37" max="37" width="12.88671875" style="17" customWidth="1"/>
    <col min="38" max="38" width="1.6640625" style="17" customWidth="1"/>
    <col min="39" max="42" width="11.6640625" style="17" customWidth="1"/>
    <col min="43" max="43" width="1.6640625" style="17" customWidth="1"/>
    <col min="44" max="44" width="9.33203125" style="10" hidden="1" customWidth="1"/>
    <col min="45" max="16384" width="0" style="10" hidden="1"/>
  </cols>
  <sheetData>
    <row r="1" spans="1:45" s="9" customFormat="1" ht="12.75" customHeight="1">
      <c r="A1" s="23" t="s">
        <v>388</v>
      </c>
      <c r="C1" s="24"/>
      <c r="D1" s="10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7"/>
      <c r="AS1" s="27"/>
    </row>
    <row r="2" spans="1:45" s="9" customFormat="1" ht="12.75" customHeight="1">
      <c r="A2" s="23" t="s">
        <v>501</v>
      </c>
      <c r="C2" s="24"/>
      <c r="D2" s="10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7"/>
      <c r="AS2" s="27"/>
    </row>
    <row r="3" spans="1:45" ht="12.75" customHeight="1">
      <c r="A3" s="24" t="s">
        <v>289</v>
      </c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9"/>
      <c r="AS3" s="19"/>
    </row>
    <row r="4" spans="1:45" ht="12.75" customHeight="1">
      <c r="A4" s="24" t="s">
        <v>484</v>
      </c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9"/>
      <c r="AS4" s="19"/>
    </row>
    <row r="6" spans="1:45" s="12" customFormat="1" ht="12.75" customHeight="1">
      <c r="A6" s="25"/>
      <c r="C6" s="25"/>
      <c r="E6" s="25"/>
      <c r="F6" s="25"/>
      <c r="G6" s="25" t="s">
        <v>396</v>
      </c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AC6" s="25" t="s">
        <v>417</v>
      </c>
      <c r="AD6" s="25"/>
      <c r="AE6" s="25"/>
      <c r="AF6" s="25"/>
      <c r="AG6" s="25"/>
      <c r="AH6" s="25"/>
      <c r="AI6" s="25" t="s">
        <v>325</v>
      </c>
      <c r="AJ6" s="25"/>
      <c r="AK6" s="25" t="s">
        <v>454</v>
      </c>
      <c r="AL6" s="25"/>
      <c r="AM6" s="25"/>
      <c r="AN6" s="25"/>
      <c r="AO6" s="25"/>
      <c r="AP6" s="25"/>
      <c r="AQ6" s="25"/>
      <c r="AR6" s="15"/>
      <c r="AS6" s="15"/>
    </row>
    <row r="7" spans="1:45" s="30" customFormat="1" ht="12.75" customHeight="1">
      <c r="A7" s="26"/>
      <c r="C7" s="26"/>
      <c r="D7" s="25"/>
      <c r="E7" s="25" t="s">
        <v>296</v>
      </c>
      <c r="F7" s="25"/>
      <c r="G7" s="30" t="s">
        <v>422</v>
      </c>
      <c r="H7" s="25"/>
      <c r="I7" s="25" t="s">
        <v>333</v>
      </c>
      <c r="J7" s="25"/>
      <c r="K7" s="25"/>
      <c r="L7" s="25"/>
      <c r="M7" s="25"/>
      <c r="N7" s="25"/>
      <c r="O7" s="25" t="s">
        <v>306</v>
      </c>
      <c r="P7" s="25"/>
      <c r="Q7" s="25" t="s">
        <v>334</v>
      </c>
      <c r="R7" s="25"/>
      <c r="S7" s="25" t="s">
        <v>4</v>
      </c>
      <c r="T7" s="25"/>
      <c r="U7" s="25" t="s">
        <v>327</v>
      </c>
      <c r="V7" s="25"/>
      <c r="W7" s="25"/>
      <c r="X7" s="25"/>
      <c r="Y7" s="25" t="s">
        <v>344</v>
      </c>
      <c r="AA7" s="30" t="s">
        <v>294</v>
      </c>
      <c r="AC7" s="25" t="s">
        <v>418</v>
      </c>
      <c r="AD7" s="25"/>
      <c r="AE7" s="25" t="s">
        <v>447</v>
      </c>
      <c r="AF7" s="25"/>
      <c r="AG7" s="25" t="s">
        <v>432</v>
      </c>
      <c r="AH7" s="25"/>
      <c r="AI7" s="25" t="s">
        <v>452</v>
      </c>
      <c r="AJ7" s="25"/>
      <c r="AK7" s="25" t="s">
        <v>455</v>
      </c>
      <c r="AL7" s="25"/>
      <c r="AM7" s="25" t="s">
        <v>428</v>
      </c>
      <c r="AN7" s="25"/>
      <c r="AO7" s="25"/>
      <c r="AP7" s="25"/>
      <c r="AQ7" s="25"/>
      <c r="AR7" s="25"/>
      <c r="AS7" s="25"/>
    </row>
    <row r="8" spans="1:45" s="98" customFormat="1" ht="12.75" customHeight="1">
      <c r="A8" s="99" t="s">
        <v>8</v>
      </c>
      <c r="C8" s="99" t="s">
        <v>9</v>
      </c>
      <c r="D8" s="26"/>
      <c r="E8" s="100" t="s">
        <v>314</v>
      </c>
      <c r="F8" s="26"/>
      <c r="G8" s="100" t="s">
        <v>293</v>
      </c>
      <c r="H8" s="26"/>
      <c r="I8" s="100" t="s">
        <v>335</v>
      </c>
      <c r="J8" s="26"/>
      <c r="K8" s="100" t="s">
        <v>309</v>
      </c>
      <c r="L8" s="26"/>
      <c r="M8" s="100" t="s">
        <v>312</v>
      </c>
      <c r="N8" s="26"/>
      <c r="O8" s="100" t="s">
        <v>336</v>
      </c>
      <c r="P8" s="26"/>
      <c r="Q8" s="100" t="s">
        <v>337</v>
      </c>
      <c r="R8" s="26"/>
      <c r="S8" s="100" t="s">
        <v>338</v>
      </c>
      <c r="T8" s="26"/>
      <c r="U8" s="100" t="s">
        <v>331</v>
      </c>
      <c r="V8" s="26"/>
      <c r="W8" s="100" t="s">
        <v>339</v>
      </c>
      <c r="X8" s="26"/>
      <c r="Y8" s="100" t="s">
        <v>340</v>
      </c>
      <c r="AA8" s="99" t="s">
        <v>337</v>
      </c>
      <c r="AC8" s="99" t="s">
        <v>337</v>
      </c>
      <c r="AD8" s="26"/>
      <c r="AE8" s="99" t="s">
        <v>443</v>
      </c>
      <c r="AF8" s="26"/>
      <c r="AG8" s="99" t="s">
        <v>433</v>
      </c>
      <c r="AH8" s="26"/>
      <c r="AI8" s="99" t="s">
        <v>453</v>
      </c>
      <c r="AJ8" s="26"/>
      <c r="AK8" s="99" t="s">
        <v>431</v>
      </c>
      <c r="AL8" s="26"/>
      <c r="AM8" s="101" t="s">
        <v>429</v>
      </c>
      <c r="AN8" s="26"/>
      <c r="AO8" s="26"/>
      <c r="AP8" s="26"/>
      <c r="AQ8" s="26"/>
      <c r="AR8" s="26"/>
      <c r="AS8" s="26"/>
    </row>
    <row r="9" spans="1:45" s="98" customFormat="1" ht="12.75" customHeight="1">
      <c r="A9" s="26"/>
      <c r="C9" s="26"/>
      <c r="D9" s="26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26"/>
      <c r="AS9" s="26"/>
    </row>
    <row r="10" spans="1:45" s="46" customFormat="1" ht="12.75" customHeight="1">
      <c r="A10" s="64" t="s">
        <v>12</v>
      </c>
      <c r="C10" s="64" t="s">
        <v>13</v>
      </c>
      <c r="E10" s="94">
        <v>19468343</v>
      </c>
      <c r="F10" s="94"/>
      <c r="G10" s="94">
        <v>99003591</v>
      </c>
      <c r="H10" s="94"/>
      <c r="I10" s="94">
        <v>1735784</v>
      </c>
      <c r="J10" s="94"/>
      <c r="K10" s="94">
        <v>7893820</v>
      </c>
      <c r="L10" s="94"/>
      <c r="M10" s="94">
        <v>0</v>
      </c>
      <c r="N10" s="94"/>
      <c r="O10" s="94">
        <v>3698102</v>
      </c>
      <c r="P10" s="94"/>
      <c r="Q10" s="94">
        <v>22902853</v>
      </c>
      <c r="R10" s="94"/>
      <c r="S10" s="94">
        <v>0</v>
      </c>
      <c r="T10" s="94"/>
      <c r="U10" s="94">
        <v>0</v>
      </c>
      <c r="V10" s="94"/>
      <c r="W10" s="94">
        <v>71325</v>
      </c>
      <c r="X10" s="94"/>
      <c r="Y10" s="94">
        <v>27874</v>
      </c>
      <c r="AA10" s="46">
        <v>0</v>
      </c>
      <c r="AC10" s="94">
        <f t="shared" ref="AC10:AC72" si="0">SUM(E10:AA10)</f>
        <v>154801692</v>
      </c>
      <c r="AD10" s="94"/>
      <c r="AE10" s="68">
        <v>0</v>
      </c>
      <c r="AF10" s="68"/>
      <c r="AG10" s="94">
        <v>3070050</v>
      </c>
      <c r="AH10" s="94"/>
      <c r="AI10" s="94">
        <v>13612405</v>
      </c>
      <c r="AJ10" s="94"/>
      <c r="AK10" s="68">
        <v>0</v>
      </c>
      <c r="AL10" s="94"/>
      <c r="AM10" s="94">
        <f>+'Gen rev'!U10-'Gen exp'!AC10-AG10+'Gen rev'!W10+AI10+AK10-'Gen Bal'!S10-'Gen exp'!AE10</f>
        <v>0</v>
      </c>
      <c r="AN10" s="94"/>
      <c r="AO10" s="94"/>
      <c r="AP10" s="94"/>
      <c r="AQ10" s="94"/>
      <c r="AR10" s="90"/>
      <c r="AS10" s="64"/>
    </row>
    <row r="11" spans="1:45" s="148" customFormat="1" ht="12.75" customHeight="1">
      <c r="A11" s="147" t="s">
        <v>14</v>
      </c>
      <c r="C11" s="147" t="s">
        <v>15</v>
      </c>
      <c r="E11" s="45">
        <v>2449634</v>
      </c>
      <c r="F11" s="45"/>
      <c r="G11" s="45">
        <v>6839482</v>
      </c>
      <c r="H11" s="45"/>
      <c r="I11" s="45">
        <v>119034</v>
      </c>
      <c r="J11" s="45"/>
      <c r="K11" s="45">
        <v>570327</v>
      </c>
      <c r="L11" s="45"/>
      <c r="M11" s="45">
        <v>26862</v>
      </c>
      <c r="N11" s="45"/>
      <c r="O11" s="45">
        <v>707879</v>
      </c>
      <c r="P11" s="45"/>
      <c r="Q11" s="45">
        <v>0</v>
      </c>
      <c r="R11" s="45"/>
      <c r="S11" s="45">
        <v>0</v>
      </c>
      <c r="T11" s="45"/>
      <c r="U11" s="45">
        <v>0</v>
      </c>
      <c r="V11" s="45"/>
      <c r="W11" s="45"/>
      <c r="X11" s="45"/>
      <c r="Y11" s="45">
        <v>0</v>
      </c>
      <c r="Z11" s="44"/>
      <c r="AA11" s="45">
        <v>56634</v>
      </c>
      <c r="AB11" s="44"/>
      <c r="AC11" s="45">
        <f t="shared" si="0"/>
        <v>10769852</v>
      </c>
      <c r="AD11" s="45"/>
      <c r="AE11" s="48">
        <v>0</v>
      </c>
      <c r="AF11" s="48"/>
      <c r="AG11" s="45">
        <v>724524</v>
      </c>
      <c r="AH11" s="45"/>
      <c r="AI11" s="45">
        <v>2887838</v>
      </c>
      <c r="AJ11" s="45"/>
      <c r="AK11" s="45">
        <v>0</v>
      </c>
      <c r="AL11" s="45"/>
      <c r="AM11" s="45">
        <f>+'Gen rev'!U11-'Gen exp'!AC11-AG11+'Gen rev'!W11+AI11+AK11-'Gen Bal'!S11-'Gen exp'!AE11</f>
        <v>0</v>
      </c>
      <c r="AN11" s="149"/>
      <c r="AO11" s="149"/>
      <c r="AP11" s="149"/>
      <c r="AQ11" s="149"/>
      <c r="AR11" s="150"/>
      <c r="AS11" s="147"/>
    </row>
    <row r="12" spans="1:45" s="49" customFormat="1" ht="12.75" customHeight="1">
      <c r="A12" s="28" t="s">
        <v>16</v>
      </c>
      <c r="C12" s="28" t="s">
        <v>17</v>
      </c>
      <c r="E12" s="45">
        <v>926727</v>
      </c>
      <c r="F12" s="45"/>
      <c r="G12" s="45">
        <v>3418938</v>
      </c>
      <c r="H12" s="45"/>
      <c r="I12" s="45">
        <v>242607</v>
      </c>
      <c r="J12" s="45"/>
      <c r="K12" s="45">
        <v>71533</v>
      </c>
      <c r="L12" s="45"/>
      <c r="M12" s="45">
        <v>0</v>
      </c>
      <c r="N12" s="45"/>
      <c r="O12" s="45">
        <v>0</v>
      </c>
      <c r="P12" s="45"/>
      <c r="Q12" s="45">
        <v>0</v>
      </c>
      <c r="R12" s="45"/>
      <c r="S12" s="45">
        <v>29507</v>
      </c>
      <c r="T12" s="45"/>
      <c r="U12" s="45">
        <v>0</v>
      </c>
      <c r="V12" s="45"/>
      <c r="W12" s="45">
        <v>0</v>
      </c>
      <c r="X12" s="45"/>
      <c r="Y12" s="45">
        <v>0</v>
      </c>
      <c r="Z12" s="44"/>
      <c r="AA12" s="45">
        <v>0</v>
      </c>
      <c r="AB12" s="44"/>
      <c r="AC12" s="45">
        <f t="shared" si="0"/>
        <v>4689312</v>
      </c>
      <c r="AD12" s="45"/>
      <c r="AE12" s="48">
        <v>0</v>
      </c>
      <c r="AF12" s="48"/>
      <c r="AG12" s="45">
        <v>585000</v>
      </c>
      <c r="AH12" s="45"/>
      <c r="AI12" s="45">
        <v>2250603</v>
      </c>
      <c r="AJ12" s="45"/>
      <c r="AK12" s="45">
        <v>0</v>
      </c>
      <c r="AL12" s="45"/>
      <c r="AM12" s="45">
        <f>+'Gen rev'!U12-'Gen exp'!AC12-AG12+'Gen rev'!W12+AI12+AK12-'Gen Bal'!S12-'Gen exp'!AE12</f>
        <v>0</v>
      </c>
      <c r="AN12" s="45"/>
      <c r="AO12" s="45"/>
      <c r="AP12" s="45"/>
      <c r="AQ12" s="45"/>
      <c r="AR12" s="52"/>
      <c r="AS12" s="50"/>
    </row>
    <row r="13" spans="1:45" s="49" customFormat="1" ht="12.75" customHeight="1">
      <c r="A13" s="28" t="s">
        <v>18</v>
      </c>
      <c r="C13" s="28" t="s">
        <v>18</v>
      </c>
      <c r="E13" s="45">
        <v>4755490</v>
      </c>
      <c r="F13" s="45"/>
      <c r="G13" s="45">
        <v>6093551</v>
      </c>
      <c r="H13" s="45"/>
      <c r="I13" s="45">
        <v>182382</v>
      </c>
      <c r="J13" s="45"/>
      <c r="K13" s="45">
        <v>304456</v>
      </c>
      <c r="L13" s="45"/>
      <c r="M13" s="45">
        <v>0</v>
      </c>
      <c r="N13" s="45"/>
      <c r="O13" s="45">
        <v>0</v>
      </c>
      <c r="P13" s="45"/>
      <c r="Q13" s="45">
        <v>0</v>
      </c>
      <c r="R13" s="45"/>
      <c r="S13" s="45">
        <v>268649</v>
      </c>
      <c r="T13" s="45"/>
      <c r="U13" s="45">
        <v>0</v>
      </c>
      <c r="V13" s="45"/>
      <c r="W13" s="45">
        <v>0</v>
      </c>
      <c r="X13" s="45"/>
      <c r="Y13" s="45">
        <v>0</v>
      </c>
      <c r="Z13" s="44"/>
      <c r="AA13" s="45">
        <v>0</v>
      </c>
      <c r="AB13" s="44"/>
      <c r="AC13" s="45">
        <f t="shared" si="0"/>
        <v>11604528</v>
      </c>
      <c r="AD13" s="45"/>
      <c r="AE13" s="48">
        <v>0</v>
      </c>
      <c r="AF13" s="48"/>
      <c r="AG13" s="45">
        <v>466645</v>
      </c>
      <c r="AH13" s="45"/>
      <c r="AI13" s="45">
        <v>2807891</v>
      </c>
      <c r="AJ13" s="45"/>
      <c r="AK13" s="45">
        <v>0</v>
      </c>
      <c r="AL13" s="45"/>
      <c r="AM13" s="45">
        <f>+'Gen rev'!U13-'Gen exp'!AC13-AG13+'Gen rev'!W13+AI13+AK13-'Gen Bal'!S13-'Gen exp'!AE13</f>
        <v>0</v>
      </c>
      <c r="AN13" s="45"/>
      <c r="AO13" s="45"/>
      <c r="AP13" s="45"/>
      <c r="AQ13" s="45"/>
      <c r="AR13" s="52"/>
      <c r="AS13" s="50"/>
    </row>
    <row r="14" spans="1:45" s="49" customFormat="1" ht="12.75" customHeight="1">
      <c r="A14" s="28" t="s">
        <v>19</v>
      </c>
      <c r="C14" s="28" t="s">
        <v>19</v>
      </c>
      <c r="E14" s="45">
        <f>2998770+981509</f>
        <v>3980279</v>
      </c>
      <c r="F14" s="45"/>
      <c r="G14" s="45">
        <f>3201269+2434684</f>
        <v>5635953</v>
      </c>
      <c r="H14" s="45"/>
      <c r="I14" s="45">
        <v>58946</v>
      </c>
      <c r="J14" s="45"/>
      <c r="K14" s="45">
        <f>233401+5674</f>
        <v>239075</v>
      </c>
      <c r="L14" s="45"/>
      <c r="M14" s="45">
        <v>4083</v>
      </c>
      <c r="N14" s="45"/>
      <c r="O14" s="45">
        <v>22000</v>
      </c>
      <c r="P14" s="45"/>
      <c r="Q14" s="45">
        <v>0</v>
      </c>
      <c r="R14" s="45"/>
      <c r="S14" s="45">
        <v>0</v>
      </c>
      <c r="T14" s="45"/>
      <c r="U14" s="45">
        <v>0</v>
      </c>
      <c r="V14" s="45"/>
      <c r="W14" s="45">
        <v>102228</v>
      </c>
      <c r="X14" s="45"/>
      <c r="Y14" s="45">
        <v>3087</v>
      </c>
      <c r="Z14" s="44"/>
      <c r="AA14" s="45">
        <v>0</v>
      </c>
      <c r="AB14" s="44"/>
      <c r="AC14" s="45">
        <f t="shared" si="0"/>
        <v>10045651</v>
      </c>
      <c r="AD14" s="45"/>
      <c r="AE14" s="48">
        <v>0</v>
      </c>
      <c r="AF14" s="48"/>
      <c r="AG14" s="45">
        <v>501100</v>
      </c>
      <c r="AH14" s="45"/>
      <c r="AI14" s="45">
        <v>757618</v>
      </c>
      <c r="AJ14" s="45"/>
      <c r="AK14" s="45">
        <v>-6124</v>
      </c>
      <c r="AL14" s="45"/>
      <c r="AM14" s="45">
        <f>+'Gen rev'!U14-'Gen exp'!AC14-AG14+'Gen rev'!W14+AI14+AK14-'Gen Bal'!S14-'Gen exp'!AE14</f>
        <v>0</v>
      </c>
      <c r="AN14" s="45"/>
      <c r="AO14" s="45"/>
      <c r="AP14" s="45"/>
      <c r="AQ14" s="45"/>
      <c r="AR14" s="52"/>
      <c r="AS14" s="50"/>
    </row>
    <row r="15" spans="1:45" s="49" customFormat="1" ht="12.75" customHeight="1">
      <c r="A15" s="28" t="s">
        <v>20</v>
      </c>
      <c r="C15" s="28" t="s">
        <v>20</v>
      </c>
      <c r="E15" s="45">
        <v>4254158</v>
      </c>
      <c r="F15" s="45"/>
      <c r="G15" s="45">
        <f>3086199+2330662</f>
        <v>5416861</v>
      </c>
      <c r="H15" s="45"/>
      <c r="I15" s="45">
        <v>480540</v>
      </c>
      <c r="J15" s="45"/>
      <c r="K15" s="45">
        <v>0</v>
      </c>
      <c r="L15" s="45"/>
      <c r="M15" s="45">
        <v>452830</v>
      </c>
      <c r="N15" s="45"/>
      <c r="O15" s="45">
        <v>0</v>
      </c>
      <c r="P15" s="45"/>
      <c r="Q15" s="45">
        <v>0</v>
      </c>
      <c r="R15" s="45"/>
      <c r="S15" s="45">
        <v>0</v>
      </c>
      <c r="T15" s="45"/>
      <c r="U15" s="45">
        <v>0</v>
      </c>
      <c r="V15" s="45"/>
      <c r="W15" s="45">
        <v>0</v>
      </c>
      <c r="X15" s="45"/>
      <c r="Y15" s="45">
        <v>0</v>
      </c>
      <c r="Z15" s="44"/>
      <c r="AA15" s="45">
        <v>0</v>
      </c>
      <c r="AB15" s="44"/>
      <c r="AC15" s="45">
        <f t="shared" si="0"/>
        <v>10604389</v>
      </c>
      <c r="AD15" s="45"/>
      <c r="AE15" s="48">
        <v>0</v>
      </c>
      <c r="AF15" s="48"/>
      <c r="AG15" s="45">
        <v>394900</v>
      </c>
      <c r="AH15" s="45"/>
      <c r="AI15" s="45">
        <v>1475060</v>
      </c>
      <c r="AJ15" s="45"/>
      <c r="AK15" s="45">
        <v>0</v>
      </c>
      <c r="AL15" s="45"/>
      <c r="AM15" s="45">
        <f>+'Gen rev'!U15-'Gen exp'!AC15-AG15+'Gen rev'!W15+AI15+AK15-'Gen Bal'!S15-'Gen exp'!AE15</f>
        <v>0</v>
      </c>
      <c r="AN15" s="45"/>
      <c r="AO15" s="45"/>
      <c r="AP15" s="45"/>
      <c r="AQ15" s="45"/>
      <c r="AR15" s="52"/>
      <c r="AS15" s="50"/>
    </row>
    <row r="16" spans="1:45" s="49" customFormat="1" ht="12.75" customHeight="1">
      <c r="A16" s="28" t="s">
        <v>21</v>
      </c>
      <c r="C16" s="28" t="s">
        <v>22</v>
      </c>
      <c r="E16" s="45">
        <v>2448373</v>
      </c>
      <c r="F16" s="45"/>
      <c r="G16" s="45">
        <v>5706425</v>
      </c>
      <c r="H16" s="45"/>
      <c r="I16" s="45">
        <v>1029812</v>
      </c>
      <c r="J16" s="45"/>
      <c r="K16" s="45">
        <v>0</v>
      </c>
      <c r="L16" s="45"/>
      <c r="M16" s="45">
        <v>2060325</v>
      </c>
      <c r="N16" s="45"/>
      <c r="O16" s="45">
        <v>0</v>
      </c>
      <c r="P16" s="45"/>
      <c r="Q16" s="45">
        <v>0</v>
      </c>
      <c r="R16" s="45"/>
      <c r="S16" s="45">
        <v>0</v>
      </c>
      <c r="T16" s="45"/>
      <c r="U16" s="45">
        <v>0</v>
      </c>
      <c r="V16" s="45"/>
      <c r="W16" s="45">
        <v>2582</v>
      </c>
      <c r="X16" s="45"/>
      <c r="Y16" s="45">
        <v>1462</v>
      </c>
      <c r="Z16" s="44"/>
      <c r="AA16" s="45">
        <v>0</v>
      </c>
      <c r="AB16" s="44"/>
      <c r="AC16" s="45">
        <f t="shared" si="0"/>
        <v>11248979</v>
      </c>
      <c r="AD16" s="45"/>
      <c r="AE16" s="48">
        <v>0</v>
      </c>
      <c r="AF16" s="48"/>
      <c r="AG16" s="45">
        <v>2828000</v>
      </c>
      <c r="AH16" s="45"/>
      <c r="AI16" s="45">
        <v>6958961</v>
      </c>
      <c r="AJ16" s="45"/>
      <c r="AK16" s="45">
        <v>0</v>
      </c>
      <c r="AL16" s="45"/>
      <c r="AM16" s="45">
        <f>+'Gen rev'!U16-'Gen exp'!AC16-AG16+'Gen rev'!W16+AI16+AK16-'Gen Bal'!S16-'Gen exp'!AE16</f>
        <v>0</v>
      </c>
      <c r="AN16" s="45"/>
      <c r="AO16" s="45"/>
      <c r="AP16" s="45"/>
      <c r="AQ16" s="45"/>
      <c r="AR16" s="52"/>
      <c r="AS16" s="50"/>
    </row>
    <row r="17" spans="1:45" s="49" customFormat="1" ht="12.75" customHeight="1">
      <c r="A17" s="28" t="s">
        <v>23</v>
      </c>
      <c r="C17" s="28" t="s">
        <v>17</v>
      </c>
      <c r="E17" s="45">
        <v>2342189</v>
      </c>
      <c r="F17" s="45"/>
      <c r="G17" s="45">
        <v>0</v>
      </c>
      <c r="H17" s="45"/>
      <c r="I17" s="45">
        <v>978473</v>
      </c>
      <c r="J17" s="45"/>
      <c r="K17" s="45">
        <v>0</v>
      </c>
      <c r="L17" s="45"/>
      <c r="M17" s="45">
        <v>0</v>
      </c>
      <c r="N17" s="45"/>
      <c r="O17" s="45">
        <v>0</v>
      </c>
      <c r="P17" s="45"/>
      <c r="Q17" s="45">
        <v>2441</v>
      </c>
      <c r="R17" s="45"/>
      <c r="S17" s="45">
        <v>0</v>
      </c>
      <c r="T17" s="45"/>
      <c r="U17" s="45">
        <v>0</v>
      </c>
      <c r="V17" s="45"/>
      <c r="W17" s="45">
        <v>0</v>
      </c>
      <c r="X17" s="45"/>
      <c r="Y17" s="45">
        <v>0</v>
      </c>
      <c r="Z17" s="44"/>
      <c r="AA17" s="45">
        <v>0</v>
      </c>
      <c r="AB17" s="44"/>
      <c r="AC17" s="45">
        <f t="shared" si="0"/>
        <v>3323103</v>
      </c>
      <c r="AD17" s="45"/>
      <c r="AE17" s="48">
        <v>0</v>
      </c>
      <c r="AF17" s="48"/>
      <c r="AG17" s="45">
        <v>8848052</v>
      </c>
      <c r="AH17" s="45"/>
      <c r="AI17" s="45">
        <v>6766945</v>
      </c>
      <c r="AJ17" s="45"/>
      <c r="AK17" s="45">
        <v>0</v>
      </c>
      <c r="AL17" s="45"/>
      <c r="AM17" s="45">
        <f>+'Gen rev'!U17-'Gen exp'!AC17-AG17+'Gen rev'!W17+AI17+AK17-'Gen Bal'!S17-'Gen exp'!AE17</f>
        <v>0</v>
      </c>
      <c r="AN17" s="44"/>
      <c r="AO17" s="44"/>
      <c r="AP17" s="44"/>
      <c r="AQ17" s="44"/>
    </row>
    <row r="18" spans="1:45" s="49" customFormat="1" ht="12.75" customHeight="1">
      <c r="A18" s="28" t="s">
        <v>24</v>
      </c>
      <c r="C18" s="28" t="s">
        <v>17</v>
      </c>
      <c r="E18" s="45">
        <v>2453817</v>
      </c>
      <c r="F18" s="45"/>
      <c r="G18" s="45">
        <v>5699159</v>
      </c>
      <c r="H18" s="45"/>
      <c r="I18" s="45">
        <v>319130</v>
      </c>
      <c r="J18" s="45"/>
      <c r="K18" s="45">
        <v>85425</v>
      </c>
      <c r="L18" s="45"/>
      <c r="M18" s="45">
        <v>3458658</v>
      </c>
      <c r="N18" s="45"/>
      <c r="O18" s="45">
        <v>615976</v>
      </c>
      <c r="P18" s="45"/>
      <c r="Q18" s="45">
        <v>0</v>
      </c>
      <c r="R18" s="45"/>
      <c r="S18" s="45">
        <v>0</v>
      </c>
      <c r="T18" s="45"/>
      <c r="U18" s="45">
        <v>0</v>
      </c>
      <c r="V18" s="45"/>
      <c r="W18" s="45">
        <v>0</v>
      </c>
      <c r="X18" s="45"/>
      <c r="Y18" s="45">
        <v>0</v>
      </c>
      <c r="Z18" s="44"/>
      <c r="AA18" s="45">
        <v>0</v>
      </c>
      <c r="AB18" s="44"/>
      <c r="AC18" s="45">
        <f t="shared" si="0"/>
        <v>12632165</v>
      </c>
      <c r="AD18" s="45"/>
      <c r="AE18" s="48">
        <v>0</v>
      </c>
      <c r="AF18" s="48"/>
      <c r="AG18" s="45">
        <v>1127194</v>
      </c>
      <c r="AH18" s="45"/>
      <c r="AI18" s="45">
        <v>2478244</v>
      </c>
      <c r="AJ18" s="45"/>
      <c r="AK18" s="45">
        <v>0</v>
      </c>
      <c r="AL18" s="45"/>
      <c r="AM18" s="45">
        <f>+'Gen rev'!U18-'Gen exp'!AC18-AG18+'Gen rev'!W18+AI18+AK18-'Gen Bal'!S18-'Gen exp'!AE18</f>
        <v>0</v>
      </c>
      <c r="AN18" s="44"/>
      <c r="AO18" s="44"/>
      <c r="AP18" s="44"/>
      <c r="AQ18" s="44"/>
    </row>
    <row r="19" spans="1:45" s="49" customFormat="1" ht="12.75" customHeight="1">
      <c r="A19" s="28" t="s">
        <v>25</v>
      </c>
      <c r="C19" s="28" t="s">
        <v>13</v>
      </c>
      <c r="E19" s="45">
        <v>4086202</v>
      </c>
      <c r="F19" s="45"/>
      <c r="G19" s="45">
        <v>10021141</v>
      </c>
      <c r="H19" s="45"/>
      <c r="I19" s="45">
        <v>1026672</v>
      </c>
      <c r="J19" s="45"/>
      <c r="K19" s="45">
        <v>0</v>
      </c>
      <c r="L19" s="45"/>
      <c r="M19" s="45">
        <v>163334</v>
      </c>
      <c r="N19" s="45"/>
      <c r="O19" s="45">
        <v>902256</v>
      </c>
      <c r="P19" s="45"/>
      <c r="Q19" s="45">
        <v>0</v>
      </c>
      <c r="R19" s="45"/>
      <c r="S19" s="45">
        <v>535550</v>
      </c>
      <c r="T19" s="45"/>
      <c r="U19" s="45">
        <v>0</v>
      </c>
      <c r="V19" s="45"/>
      <c r="W19" s="45">
        <v>28217</v>
      </c>
      <c r="X19" s="45"/>
      <c r="Y19" s="45">
        <v>5309</v>
      </c>
      <c r="Z19" s="44"/>
      <c r="AA19" s="45">
        <v>0</v>
      </c>
      <c r="AB19" s="44"/>
      <c r="AC19" s="45">
        <f t="shared" si="0"/>
        <v>16768681</v>
      </c>
      <c r="AD19" s="45"/>
      <c r="AE19" s="48">
        <v>0</v>
      </c>
      <c r="AF19" s="48"/>
      <c r="AG19" s="45">
        <v>1947558</v>
      </c>
      <c r="AH19" s="45"/>
      <c r="AI19" s="45">
        <v>3985694</v>
      </c>
      <c r="AJ19" s="45"/>
      <c r="AK19" s="45">
        <v>0</v>
      </c>
      <c r="AL19" s="45"/>
      <c r="AM19" s="45">
        <f>+'Gen rev'!U19-'Gen exp'!AC19-AG19+'Gen rev'!W19+AI19+AK19-'Gen Bal'!S19-'Gen exp'!AE19</f>
        <v>0</v>
      </c>
      <c r="AN19" s="44"/>
      <c r="AO19" s="44"/>
      <c r="AP19" s="44"/>
      <c r="AQ19" s="44"/>
    </row>
    <row r="20" spans="1:45" s="49" customFormat="1" ht="12.75" customHeight="1">
      <c r="A20" s="28" t="s">
        <v>26</v>
      </c>
      <c r="C20" s="28" t="s">
        <v>27</v>
      </c>
      <c r="E20" s="45">
        <v>2931810</v>
      </c>
      <c r="F20" s="45"/>
      <c r="G20" s="45">
        <v>4972915</v>
      </c>
      <c r="H20" s="45"/>
      <c r="I20" s="45">
        <v>820519</v>
      </c>
      <c r="J20" s="45"/>
      <c r="K20" s="45">
        <v>231708</v>
      </c>
      <c r="L20" s="45"/>
      <c r="M20" s="45">
        <v>213935</v>
      </c>
      <c r="N20" s="45"/>
      <c r="O20" s="45">
        <v>0</v>
      </c>
      <c r="P20" s="45"/>
      <c r="Q20" s="45">
        <v>1781742</v>
      </c>
      <c r="R20" s="45"/>
      <c r="S20" s="45">
        <v>0</v>
      </c>
      <c r="T20" s="45"/>
      <c r="U20" s="45">
        <v>0</v>
      </c>
      <c r="V20" s="45"/>
      <c r="W20" s="45">
        <v>0</v>
      </c>
      <c r="X20" s="45"/>
      <c r="Y20" s="45">
        <v>0</v>
      </c>
      <c r="Z20" s="44"/>
      <c r="AA20" s="45">
        <v>0</v>
      </c>
      <c r="AB20" s="44"/>
      <c r="AC20" s="45">
        <f t="shared" si="0"/>
        <v>10952629</v>
      </c>
      <c r="AD20" s="45"/>
      <c r="AE20" s="48">
        <v>2683690</v>
      </c>
      <c r="AF20" s="48"/>
      <c r="AG20" s="45">
        <v>12557850</v>
      </c>
      <c r="AH20" s="45"/>
      <c r="AI20" s="45">
        <v>17524698</v>
      </c>
      <c r="AJ20" s="45"/>
      <c r="AK20" s="45">
        <v>0</v>
      </c>
      <c r="AL20" s="45"/>
      <c r="AM20" s="45">
        <f>+'Gen rev'!U20-'Gen exp'!AC20-AG20+'Gen rev'!W20+AI20+AK20-'Gen Bal'!S20-'Gen exp'!AE20</f>
        <v>0</v>
      </c>
      <c r="AN20" s="44"/>
      <c r="AO20" s="44"/>
      <c r="AP20" s="44"/>
      <c r="AQ20" s="44"/>
    </row>
    <row r="21" spans="1:45" s="49" customFormat="1" ht="12.75" customHeight="1">
      <c r="A21" s="28" t="s">
        <v>28</v>
      </c>
      <c r="C21" s="28" t="s">
        <v>27</v>
      </c>
      <c r="E21" s="45">
        <v>4011132</v>
      </c>
      <c r="F21" s="45"/>
      <c r="G21" s="45">
        <f>7366330+5648187</f>
        <v>13014517</v>
      </c>
      <c r="H21" s="45"/>
      <c r="I21" s="45">
        <v>960151</v>
      </c>
      <c r="J21" s="45"/>
      <c r="K21" s="45">
        <v>624426</v>
      </c>
      <c r="L21" s="45"/>
      <c r="M21" s="45">
        <v>0</v>
      </c>
      <c r="N21" s="45"/>
      <c r="O21" s="45">
        <v>2301474</v>
      </c>
      <c r="P21" s="45"/>
      <c r="Q21" s="45">
        <v>8122295</v>
      </c>
      <c r="R21" s="45"/>
      <c r="S21" s="45">
        <v>0</v>
      </c>
      <c r="T21" s="45"/>
      <c r="U21" s="45">
        <v>0</v>
      </c>
      <c r="V21" s="45"/>
      <c r="W21" s="45">
        <v>0</v>
      </c>
      <c r="X21" s="45"/>
      <c r="Y21" s="45">
        <v>0</v>
      </c>
      <c r="Z21" s="44"/>
      <c r="AA21" s="45">
        <v>0</v>
      </c>
      <c r="AB21" s="44"/>
      <c r="AC21" s="45">
        <f t="shared" si="0"/>
        <v>29033995</v>
      </c>
      <c r="AD21" s="45"/>
      <c r="AE21" s="48">
        <v>0</v>
      </c>
      <c r="AF21" s="48"/>
      <c r="AG21" s="45">
        <v>5036263</v>
      </c>
      <c r="AH21" s="45"/>
      <c r="AI21" s="45">
        <v>26452900</v>
      </c>
      <c r="AJ21" s="45"/>
      <c r="AK21" s="45">
        <v>0</v>
      </c>
      <c r="AL21" s="45"/>
      <c r="AM21" s="45">
        <f>+'Gen rev'!U21-'Gen exp'!AC21-AG21+'Gen rev'!W21+AI21+AK21-'Gen Bal'!S21-'Gen exp'!AE21</f>
        <v>0</v>
      </c>
      <c r="AN21" s="44"/>
      <c r="AO21" s="44"/>
      <c r="AP21" s="44"/>
      <c r="AQ21" s="44"/>
    </row>
    <row r="22" spans="1:45" s="49" customFormat="1" ht="12.75" customHeight="1">
      <c r="A22" s="44" t="s">
        <v>29</v>
      </c>
      <c r="C22" s="44" t="s">
        <v>30</v>
      </c>
      <c r="E22" s="45">
        <v>834321</v>
      </c>
      <c r="F22" s="45"/>
      <c r="G22" s="45">
        <v>0</v>
      </c>
      <c r="H22" s="45"/>
      <c r="I22" s="45">
        <v>482024</v>
      </c>
      <c r="J22" s="45"/>
      <c r="K22" s="45">
        <v>135629</v>
      </c>
      <c r="L22" s="45"/>
      <c r="M22" s="45">
        <v>0</v>
      </c>
      <c r="N22" s="45"/>
      <c r="O22" s="45">
        <v>1007870</v>
      </c>
      <c r="P22" s="45"/>
      <c r="Q22" s="45">
        <v>0</v>
      </c>
      <c r="R22" s="45"/>
      <c r="S22" s="45">
        <v>463557</v>
      </c>
      <c r="T22" s="45"/>
      <c r="U22" s="45">
        <v>0</v>
      </c>
      <c r="V22" s="45"/>
      <c r="W22" s="45">
        <v>0</v>
      </c>
      <c r="X22" s="45"/>
      <c r="Y22" s="45">
        <v>0</v>
      </c>
      <c r="Z22" s="44"/>
      <c r="AA22" s="45">
        <v>53966</v>
      </c>
      <c r="AB22" s="44"/>
      <c r="AC22" s="45">
        <f t="shared" si="0"/>
        <v>2977367</v>
      </c>
      <c r="AD22" s="45"/>
      <c r="AE22" s="48">
        <v>0</v>
      </c>
      <c r="AF22" s="48"/>
      <c r="AG22" s="45">
        <v>955668</v>
      </c>
      <c r="AH22" s="45"/>
      <c r="AI22" s="45">
        <v>2135623</v>
      </c>
      <c r="AJ22" s="45"/>
      <c r="AK22" s="45">
        <v>0</v>
      </c>
      <c r="AL22" s="45"/>
      <c r="AM22" s="45">
        <f>+'Gen rev'!U22-'Gen exp'!AC22-AG22+'Gen rev'!W22+AI22+AK22-'Gen Bal'!S22-'Gen exp'!AE22</f>
        <v>0</v>
      </c>
      <c r="AN22" s="45"/>
      <c r="AO22" s="45"/>
      <c r="AP22" s="45"/>
      <c r="AQ22" s="45"/>
      <c r="AR22" s="52"/>
      <c r="AS22" s="50"/>
    </row>
    <row r="23" spans="1:45" s="49" customFormat="1" ht="12.75" customHeight="1">
      <c r="A23" s="28" t="s">
        <v>31</v>
      </c>
      <c r="C23" s="28" t="s">
        <v>27</v>
      </c>
      <c r="E23" s="45">
        <v>4833025</v>
      </c>
      <c r="F23" s="45"/>
      <c r="G23" s="45">
        <v>4414249</v>
      </c>
      <c r="H23" s="45"/>
      <c r="I23" s="45">
        <v>439044</v>
      </c>
      <c r="J23" s="45"/>
      <c r="K23" s="45">
        <v>51170</v>
      </c>
      <c r="L23" s="45"/>
      <c r="M23" s="45">
        <v>1577052</v>
      </c>
      <c r="N23" s="45"/>
      <c r="O23" s="45">
        <v>189307</v>
      </c>
      <c r="P23" s="45"/>
      <c r="Q23" s="45">
        <v>0</v>
      </c>
      <c r="R23" s="45"/>
      <c r="S23" s="45">
        <v>0</v>
      </c>
      <c r="T23" s="45"/>
      <c r="U23" s="45">
        <v>0</v>
      </c>
      <c r="V23" s="45"/>
      <c r="W23" s="45">
        <v>11313</v>
      </c>
      <c r="X23" s="45"/>
      <c r="Y23" s="45">
        <v>8873</v>
      </c>
      <c r="Z23" s="44"/>
      <c r="AA23" s="45">
        <v>736909</v>
      </c>
      <c r="AB23" s="44"/>
      <c r="AC23" s="45">
        <f t="shared" si="0"/>
        <v>12260942</v>
      </c>
      <c r="AD23" s="45"/>
      <c r="AE23" s="48">
        <v>0</v>
      </c>
      <c r="AF23" s="48"/>
      <c r="AG23" s="45">
        <v>4559890</v>
      </c>
      <c r="AH23" s="45"/>
      <c r="AI23" s="45">
        <v>10392170</v>
      </c>
      <c r="AJ23" s="45"/>
      <c r="AK23" s="45">
        <v>0</v>
      </c>
      <c r="AL23" s="45"/>
      <c r="AM23" s="45">
        <f>+'Gen rev'!U23-'Gen exp'!AC23-AG23+'Gen rev'!W23+AI23+AK23-'Gen Bal'!S23-'Gen exp'!AE23</f>
        <v>0</v>
      </c>
      <c r="AN23" s="45"/>
      <c r="AO23" s="45"/>
      <c r="AP23" s="45"/>
      <c r="AQ23" s="45"/>
      <c r="AR23" s="52"/>
      <c r="AS23" s="50"/>
    </row>
    <row r="24" spans="1:45" s="49" customFormat="1" ht="12.75" customHeight="1">
      <c r="A24" s="28" t="s">
        <v>32</v>
      </c>
      <c r="C24" s="28" t="s">
        <v>27</v>
      </c>
      <c r="E24" s="45">
        <v>46398</v>
      </c>
      <c r="F24" s="45"/>
      <c r="G24" s="45">
        <v>6742185</v>
      </c>
      <c r="H24" s="45"/>
      <c r="I24" s="45">
        <v>357450</v>
      </c>
      <c r="J24" s="45"/>
      <c r="K24" s="45">
        <v>395020</v>
      </c>
      <c r="L24" s="45"/>
      <c r="M24" s="45">
        <v>27682</v>
      </c>
      <c r="N24" s="45"/>
      <c r="O24" s="45">
        <v>1384959</v>
      </c>
      <c r="P24" s="45"/>
      <c r="Q24" s="45">
        <v>3849275</v>
      </c>
      <c r="R24" s="45"/>
      <c r="S24" s="45">
        <v>0</v>
      </c>
      <c r="T24" s="45"/>
      <c r="U24" s="45">
        <v>0</v>
      </c>
      <c r="V24" s="45"/>
      <c r="W24" s="45">
        <v>0</v>
      </c>
      <c r="X24" s="45"/>
      <c r="Y24" s="45">
        <v>0</v>
      </c>
      <c r="Z24" s="44"/>
      <c r="AA24" s="45">
        <v>728050</v>
      </c>
      <c r="AB24" s="44"/>
      <c r="AC24" s="45">
        <f t="shared" ref="AC24:AC53" si="1">SUM(E24:AA24)</f>
        <v>13531019</v>
      </c>
      <c r="AD24" s="45"/>
      <c r="AE24" s="48">
        <v>0</v>
      </c>
      <c r="AF24" s="48"/>
      <c r="AG24" s="45">
        <v>2730000</v>
      </c>
      <c r="AH24" s="45"/>
      <c r="AI24" s="45">
        <v>5396968</v>
      </c>
      <c r="AJ24" s="45"/>
      <c r="AK24" s="45">
        <v>0</v>
      </c>
      <c r="AL24" s="45"/>
      <c r="AM24" s="45">
        <f>+'Gen rev'!U24-'Gen exp'!AC24-AG24+'Gen rev'!W24+AI24+AK24-'Gen Bal'!S24-'Gen exp'!AE24</f>
        <v>0</v>
      </c>
      <c r="AN24" s="44"/>
      <c r="AO24" s="44"/>
      <c r="AP24" s="44"/>
      <c r="AQ24" s="44"/>
    </row>
    <row r="25" spans="1:45" s="49" customFormat="1" ht="12.75" customHeight="1">
      <c r="A25" s="28" t="s">
        <v>34</v>
      </c>
      <c r="C25" s="28" t="s">
        <v>30</v>
      </c>
      <c r="E25" s="45">
        <v>392410</v>
      </c>
      <c r="F25" s="45"/>
      <c r="G25" s="45">
        <v>142537</v>
      </c>
      <c r="H25" s="45"/>
      <c r="I25" s="45">
        <v>40938</v>
      </c>
      <c r="J25" s="45"/>
      <c r="K25" s="45">
        <v>0</v>
      </c>
      <c r="L25" s="45"/>
      <c r="M25" s="45">
        <v>449</v>
      </c>
      <c r="N25" s="45"/>
      <c r="O25" s="45">
        <v>14978</v>
      </c>
      <c r="P25" s="45"/>
      <c r="Q25" s="45">
        <v>0</v>
      </c>
      <c r="R25" s="45"/>
      <c r="S25" s="45">
        <v>16284</v>
      </c>
      <c r="T25" s="45"/>
      <c r="U25" s="45">
        <v>0</v>
      </c>
      <c r="V25" s="45"/>
      <c r="W25" s="45">
        <v>0</v>
      </c>
      <c r="X25" s="45"/>
      <c r="Y25" s="45">
        <v>0</v>
      </c>
      <c r="Z25" s="44"/>
      <c r="AA25" s="45">
        <v>0</v>
      </c>
      <c r="AB25" s="44"/>
      <c r="AC25" s="45">
        <f t="shared" si="1"/>
        <v>607596</v>
      </c>
      <c r="AD25" s="45"/>
      <c r="AE25" s="48">
        <v>0</v>
      </c>
      <c r="AF25" s="48"/>
      <c r="AG25" s="45">
        <v>530000</v>
      </c>
      <c r="AH25" s="45"/>
      <c r="AI25" s="45">
        <v>700288</v>
      </c>
      <c r="AJ25" s="45"/>
      <c r="AK25" s="45">
        <v>0</v>
      </c>
      <c r="AL25" s="45"/>
      <c r="AM25" s="45">
        <f>+'Gen rev'!U25-'Gen exp'!AC25-AG25+'Gen rev'!W25+AI25+AK25-'Gen Bal'!S25-'Gen exp'!AE25</f>
        <v>0</v>
      </c>
      <c r="AN25" s="44"/>
      <c r="AO25" s="44"/>
      <c r="AP25" s="44"/>
      <c r="AQ25" s="44"/>
    </row>
    <row r="26" spans="1:45" s="49" customFormat="1" ht="12.75" customHeight="1">
      <c r="A26" s="28" t="s">
        <v>35</v>
      </c>
      <c r="C26" s="28" t="s">
        <v>36</v>
      </c>
      <c r="E26" s="45">
        <f>1599575+522119</f>
        <v>2121694</v>
      </c>
      <c r="F26" s="45"/>
      <c r="G26" s="45">
        <v>3633280</v>
      </c>
      <c r="H26" s="45"/>
      <c r="I26" s="45">
        <v>48060</v>
      </c>
      <c r="J26" s="45"/>
      <c r="K26" s="45">
        <v>20000</v>
      </c>
      <c r="L26" s="45"/>
      <c r="M26" s="45">
        <v>276505</v>
      </c>
      <c r="N26" s="45"/>
      <c r="O26" s="45">
        <v>0</v>
      </c>
      <c r="P26" s="45"/>
      <c r="Q26" s="45">
        <f>237435</f>
        <v>237435</v>
      </c>
      <c r="R26" s="45"/>
      <c r="S26" s="45">
        <v>392687</v>
      </c>
      <c r="T26" s="45"/>
      <c r="U26" s="45">
        <v>0</v>
      </c>
      <c r="V26" s="45"/>
      <c r="W26" s="45">
        <v>0</v>
      </c>
      <c r="X26" s="45"/>
      <c r="Y26" s="45">
        <v>0</v>
      </c>
      <c r="Z26" s="44"/>
      <c r="AA26" s="45">
        <v>0</v>
      </c>
      <c r="AB26" s="44"/>
      <c r="AC26" s="45">
        <f t="shared" si="1"/>
        <v>6729661</v>
      </c>
      <c r="AD26" s="45"/>
      <c r="AE26" s="48">
        <v>0</v>
      </c>
      <c r="AF26" s="48"/>
      <c r="AG26" s="45">
        <v>1129832</v>
      </c>
      <c r="AH26" s="45"/>
      <c r="AI26" s="45">
        <v>3578942</v>
      </c>
      <c r="AJ26" s="45"/>
      <c r="AK26" s="45">
        <v>0</v>
      </c>
      <c r="AL26" s="45"/>
      <c r="AM26" s="45">
        <f>+'Gen rev'!U26-'Gen exp'!AC26-AG26+'Gen rev'!W26+AI26+AK26-'Gen Bal'!S26-'Gen exp'!AE26</f>
        <v>0</v>
      </c>
      <c r="AN26" s="44"/>
      <c r="AO26" s="44"/>
      <c r="AP26" s="44"/>
      <c r="AQ26" s="44"/>
    </row>
    <row r="27" spans="1:45" s="49" customFormat="1" ht="12.75" customHeight="1">
      <c r="A27" s="28" t="s">
        <v>37</v>
      </c>
      <c r="C27" s="28" t="s">
        <v>38</v>
      </c>
      <c r="E27" s="45">
        <f>2041400+244509</f>
        <v>2285909</v>
      </c>
      <c r="F27" s="45"/>
      <c r="G27" s="45">
        <v>2144475</v>
      </c>
      <c r="H27" s="45"/>
      <c r="I27" s="45">
        <v>204535</v>
      </c>
      <c r="J27" s="45"/>
      <c r="K27" s="45">
        <v>0</v>
      </c>
      <c r="L27" s="45"/>
      <c r="M27" s="45">
        <v>0</v>
      </c>
      <c r="N27" s="45"/>
      <c r="O27" s="45">
        <v>0</v>
      </c>
      <c r="P27" s="45"/>
      <c r="Q27" s="45">
        <v>0</v>
      </c>
      <c r="R27" s="45"/>
      <c r="S27" s="45">
        <v>0</v>
      </c>
      <c r="T27" s="45"/>
      <c r="U27" s="45">
        <v>0</v>
      </c>
      <c r="V27" s="45"/>
      <c r="W27" s="45">
        <v>0</v>
      </c>
      <c r="X27" s="45"/>
      <c r="Y27" s="45">
        <v>0</v>
      </c>
      <c r="Z27" s="44"/>
      <c r="AA27" s="45">
        <v>0</v>
      </c>
      <c r="AB27" s="44"/>
      <c r="AC27" s="45">
        <f t="shared" si="1"/>
        <v>4634919</v>
      </c>
      <c r="AD27" s="45"/>
      <c r="AE27" s="48">
        <v>0</v>
      </c>
      <c r="AF27" s="48"/>
      <c r="AG27" s="45">
        <v>1082982</v>
      </c>
      <c r="AH27" s="45"/>
      <c r="AI27" s="45">
        <v>1979464</v>
      </c>
      <c r="AJ27" s="45"/>
      <c r="AK27" s="45">
        <v>0</v>
      </c>
      <c r="AL27" s="45"/>
      <c r="AM27" s="45">
        <f>+'Gen rev'!U27-'Gen exp'!AC27-AG27+'Gen rev'!W27+AI27+AK27-'Gen Bal'!S27-'Gen exp'!AE27</f>
        <v>0</v>
      </c>
      <c r="AN27" s="44"/>
      <c r="AO27" s="44"/>
      <c r="AP27" s="44"/>
      <c r="AQ27" s="44"/>
    </row>
    <row r="28" spans="1:45" s="49" customFormat="1" ht="12.75" customHeight="1">
      <c r="A28" s="28" t="s">
        <v>39</v>
      </c>
      <c r="C28" s="28" t="s">
        <v>40</v>
      </c>
      <c r="E28" s="45">
        <v>613932</v>
      </c>
      <c r="F28" s="45"/>
      <c r="G28" s="45">
        <f>952884+161989</f>
        <v>1114873</v>
      </c>
      <c r="H28" s="45"/>
      <c r="I28" s="45">
        <v>0</v>
      </c>
      <c r="J28" s="45"/>
      <c r="K28" s="45">
        <v>41242</v>
      </c>
      <c r="L28" s="45"/>
      <c r="M28" s="45">
        <v>63594</v>
      </c>
      <c r="N28" s="45"/>
      <c r="O28" s="45">
        <v>35079</v>
      </c>
      <c r="P28" s="45"/>
      <c r="Q28" s="45">
        <v>0</v>
      </c>
      <c r="R28" s="45"/>
      <c r="S28" s="45">
        <v>222381</v>
      </c>
      <c r="T28" s="45"/>
      <c r="U28" s="45">
        <v>0</v>
      </c>
      <c r="V28" s="45"/>
      <c r="W28" s="45">
        <v>108021</v>
      </c>
      <c r="X28" s="45"/>
      <c r="Y28" s="45">
        <v>60612</v>
      </c>
      <c r="Z28" s="44"/>
      <c r="AA28" s="45">
        <v>0</v>
      </c>
      <c r="AB28" s="44"/>
      <c r="AC28" s="45">
        <f t="shared" si="1"/>
        <v>2259734</v>
      </c>
      <c r="AD28" s="45"/>
      <c r="AE28" s="48">
        <v>0</v>
      </c>
      <c r="AF28" s="48"/>
      <c r="AG28" s="45">
        <v>145000</v>
      </c>
      <c r="AH28" s="45"/>
      <c r="AI28" s="45">
        <v>1665306</v>
      </c>
      <c r="AJ28" s="45"/>
      <c r="AK28" s="45">
        <v>0</v>
      </c>
      <c r="AL28" s="45"/>
      <c r="AM28" s="45">
        <f>+'Gen rev'!U28-'Gen exp'!AC28-AG28+'Gen rev'!W28+AI28+AK28-'Gen Bal'!S28-'Gen exp'!AE28</f>
        <v>0</v>
      </c>
      <c r="AN28" s="44"/>
      <c r="AO28" s="44"/>
      <c r="AP28" s="44"/>
      <c r="AQ28" s="44"/>
    </row>
    <row r="29" spans="1:45" s="49" customFormat="1" ht="12.75" customHeight="1">
      <c r="A29" s="28" t="s">
        <v>41</v>
      </c>
      <c r="C29" s="28" t="s">
        <v>27</v>
      </c>
      <c r="E29" s="45">
        <v>6055291</v>
      </c>
      <c r="F29" s="45"/>
      <c r="G29" s="45">
        <v>5010657</v>
      </c>
      <c r="H29" s="45"/>
      <c r="I29" s="45">
        <v>534163</v>
      </c>
      <c r="J29" s="45"/>
      <c r="K29" s="45">
        <v>0</v>
      </c>
      <c r="L29" s="45"/>
      <c r="M29" s="45">
        <v>0</v>
      </c>
      <c r="N29" s="45"/>
      <c r="O29" s="45">
        <v>480636</v>
      </c>
      <c r="P29" s="45"/>
      <c r="Q29" s="45">
        <v>1231232</v>
      </c>
      <c r="R29" s="45"/>
      <c r="S29" s="45">
        <v>0</v>
      </c>
      <c r="T29" s="45"/>
      <c r="U29" s="45">
        <v>0</v>
      </c>
      <c r="V29" s="45"/>
      <c r="W29" s="45">
        <v>0</v>
      </c>
      <c r="X29" s="45"/>
      <c r="Y29" s="45">
        <v>0</v>
      </c>
      <c r="Z29" s="44"/>
      <c r="AA29" s="45">
        <v>0</v>
      </c>
      <c r="AB29" s="44"/>
      <c r="AC29" s="45">
        <f t="shared" si="1"/>
        <v>13311979</v>
      </c>
      <c r="AD29" s="45"/>
      <c r="AE29" s="48">
        <v>0</v>
      </c>
      <c r="AF29" s="48"/>
      <c r="AG29" s="45">
        <v>2236000</v>
      </c>
      <c r="AH29" s="45"/>
      <c r="AI29" s="45">
        <v>2307765</v>
      </c>
      <c r="AJ29" s="45"/>
      <c r="AK29" s="45">
        <v>0</v>
      </c>
      <c r="AL29" s="45"/>
      <c r="AM29" s="45">
        <f>+'Gen rev'!U29-'Gen exp'!AC29-AG29+'Gen rev'!W29+AI29+AK29-'Gen Bal'!S29-'Gen exp'!AE29</f>
        <v>0</v>
      </c>
      <c r="AN29" s="44"/>
      <c r="AO29" s="44"/>
      <c r="AP29" s="44"/>
      <c r="AQ29" s="44"/>
    </row>
    <row r="30" spans="1:45" s="49" customFormat="1" ht="12.75" customHeight="1">
      <c r="A30" s="28" t="s">
        <v>42</v>
      </c>
      <c r="C30" s="28" t="s">
        <v>43</v>
      </c>
      <c r="E30" s="45">
        <v>3562733</v>
      </c>
      <c r="F30" s="45"/>
      <c r="G30" s="45">
        <v>4682880</v>
      </c>
      <c r="H30" s="45"/>
      <c r="I30" s="45">
        <v>532464</v>
      </c>
      <c r="J30" s="45"/>
      <c r="K30" s="45">
        <v>79897</v>
      </c>
      <c r="L30" s="45"/>
      <c r="M30" s="45">
        <v>0</v>
      </c>
      <c r="N30" s="45"/>
      <c r="O30" s="45">
        <v>246998</v>
      </c>
      <c r="P30" s="45"/>
      <c r="Q30" s="45">
        <v>0</v>
      </c>
      <c r="R30" s="45"/>
      <c r="S30" s="45">
        <v>1785231</v>
      </c>
      <c r="T30" s="45"/>
      <c r="U30" s="45">
        <v>0</v>
      </c>
      <c r="V30" s="45"/>
      <c r="W30" s="45">
        <v>11933</v>
      </c>
      <c r="X30" s="45"/>
      <c r="Y30" s="45">
        <v>2227</v>
      </c>
      <c r="Z30" s="44"/>
      <c r="AA30" s="45">
        <v>0</v>
      </c>
      <c r="AB30" s="44"/>
      <c r="AC30" s="45">
        <f t="shared" si="1"/>
        <v>10904363</v>
      </c>
      <c r="AD30" s="45"/>
      <c r="AE30" s="48">
        <v>0</v>
      </c>
      <c r="AF30" s="48"/>
      <c r="AG30" s="45">
        <v>1695430</v>
      </c>
      <c r="AH30" s="45"/>
      <c r="AI30" s="45">
        <v>6279110</v>
      </c>
      <c r="AJ30" s="45"/>
      <c r="AK30" s="45">
        <v>0</v>
      </c>
      <c r="AL30" s="45"/>
      <c r="AM30" s="45">
        <f>+'Gen rev'!U30-'Gen exp'!AC30-AG30+'Gen rev'!W30+AI30+AK30-'Gen Bal'!S30-'Gen exp'!AE30</f>
        <v>0</v>
      </c>
      <c r="AN30" s="44"/>
      <c r="AO30" s="44"/>
      <c r="AP30" s="44"/>
      <c r="AQ30" s="44"/>
    </row>
    <row r="31" spans="1:45" s="49" customFormat="1" ht="12.75" customHeight="1">
      <c r="A31" s="28" t="s">
        <v>44</v>
      </c>
      <c r="C31" s="28" t="s">
        <v>45</v>
      </c>
      <c r="E31" s="45">
        <v>7613831</v>
      </c>
      <c r="F31" s="45"/>
      <c r="G31" s="45">
        <v>10992665</v>
      </c>
      <c r="H31" s="45"/>
      <c r="I31" s="45">
        <v>910816</v>
      </c>
      <c r="J31" s="45"/>
      <c r="K31" s="45">
        <v>0</v>
      </c>
      <c r="L31" s="45"/>
      <c r="M31" s="45">
        <v>0</v>
      </c>
      <c r="N31" s="45"/>
      <c r="O31" s="45">
        <v>0</v>
      </c>
      <c r="P31" s="45"/>
      <c r="Q31" s="45">
        <v>1958071</v>
      </c>
      <c r="R31" s="45"/>
      <c r="S31" s="45">
        <v>0</v>
      </c>
      <c r="T31" s="45"/>
      <c r="U31" s="45">
        <v>0</v>
      </c>
      <c r="V31" s="45"/>
      <c r="W31" s="45">
        <v>0</v>
      </c>
      <c r="X31" s="45"/>
      <c r="Y31" s="45">
        <v>0</v>
      </c>
      <c r="Z31" s="44"/>
      <c r="AA31" s="45">
        <v>0</v>
      </c>
      <c r="AB31" s="44"/>
      <c r="AC31" s="45">
        <f t="shared" si="1"/>
        <v>21475383</v>
      </c>
      <c r="AD31" s="45"/>
      <c r="AE31" s="48">
        <v>0</v>
      </c>
      <c r="AF31" s="48"/>
      <c r="AG31" s="45">
        <v>14118625</v>
      </c>
      <c r="AH31" s="45"/>
      <c r="AI31" s="45">
        <v>15742543</v>
      </c>
      <c r="AJ31" s="45"/>
      <c r="AK31" s="45">
        <v>-12413</v>
      </c>
      <c r="AL31" s="45"/>
      <c r="AM31" s="45">
        <f>+'Gen rev'!U31-'Gen exp'!AC31-AG31+'Gen rev'!W31+AI31+AK31-'Gen Bal'!S31-'Gen exp'!AE31</f>
        <v>0</v>
      </c>
      <c r="AN31" s="44"/>
      <c r="AO31" s="44"/>
      <c r="AP31" s="44"/>
      <c r="AQ31" s="44"/>
    </row>
    <row r="32" spans="1:45" s="49" customFormat="1" ht="12.75" customHeight="1">
      <c r="A32" s="28" t="s">
        <v>46</v>
      </c>
      <c r="C32" s="28" t="s">
        <v>47</v>
      </c>
      <c r="E32" s="45">
        <f>1500535+2990788</f>
        <v>4491323</v>
      </c>
      <c r="F32" s="45"/>
      <c r="G32" s="45">
        <f>4144984+2854884+121307</f>
        <v>7121175</v>
      </c>
      <c r="H32" s="45"/>
      <c r="I32" s="45">
        <v>849740</v>
      </c>
      <c r="J32" s="45"/>
      <c r="K32" s="45">
        <v>68795</v>
      </c>
      <c r="L32" s="45"/>
      <c r="M32" s="45">
        <v>2706561</v>
      </c>
      <c r="N32" s="45"/>
      <c r="O32" s="45">
        <v>0</v>
      </c>
      <c r="P32" s="45"/>
      <c r="Q32" s="45">
        <v>930182</v>
      </c>
      <c r="R32" s="45"/>
      <c r="S32" s="45">
        <v>0</v>
      </c>
      <c r="T32" s="45"/>
      <c r="U32" s="45">
        <v>0</v>
      </c>
      <c r="V32" s="45"/>
      <c r="W32" s="45">
        <v>0</v>
      </c>
      <c r="X32" s="45"/>
      <c r="Y32" s="45">
        <v>0</v>
      </c>
      <c r="Z32" s="44"/>
      <c r="AA32" s="45">
        <v>0</v>
      </c>
      <c r="AB32" s="44"/>
      <c r="AC32" s="45">
        <f t="shared" si="1"/>
        <v>16167776</v>
      </c>
      <c r="AD32" s="45"/>
      <c r="AE32" s="48">
        <v>0</v>
      </c>
      <c r="AF32" s="48"/>
      <c r="AG32" s="45">
        <v>1033654</v>
      </c>
      <c r="AH32" s="45"/>
      <c r="AI32" s="45">
        <v>4134968</v>
      </c>
      <c r="AJ32" s="45"/>
      <c r="AK32" s="45">
        <v>0</v>
      </c>
      <c r="AL32" s="45"/>
      <c r="AM32" s="45">
        <f>+'Gen rev'!U32-'Gen exp'!AC32-AG32+'Gen rev'!W32+AI32+AK32-'Gen Bal'!S32-'Gen exp'!AE32</f>
        <v>0</v>
      </c>
      <c r="AN32" s="45"/>
      <c r="AO32" s="45"/>
      <c r="AP32" s="45"/>
      <c r="AQ32" s="45"/>
      <c r="AR32" s="52"/>
      <c r="AS32" s="50"/>
    </row>
    <row r="33" spans="1:45" s="49" customFormat="1" ht="12.75" customHeight="1">
      <c r="A33" s="28" t="s">
        <v>48</v>
      </c>
      <c r="C33" s="28" t="s">
        <v>27</v>
      </c>
      <c r="E33" s="45">
        <f>5926597+122934</f>
        <v>6049531</v>
      </c>
      <c r="F33" s="45"/>
      <c r="G33" s="45">
        <f>4012883+21684</f>
        <v>4034567</v>
      </c>
      <c r="H33" s="45"/>
      <c r="I33" s="45">
        <v>818951</v>
      </c>
      <c r="J33" s="45"/>
      <c r="K33" s="45">
        <v>129648</v>
      </c>
      <c r="L33" s="45"/>
      <c r="M33" s="45">
        <v>2093687</v>
      </c>
      <c r="N33" s="45"/>
      <c r="O33" s="45">
        <v>20826</v>
      </c>
      <c r="P33" s="45"/>
      <c r="Q33" s="45">
        <v>1917852</v>
      </c>
      <c r="R33" s="45"/>
      <c r="S33" s="45">
        <v>0</v>
      </c>
      <c r="T33" s="45"/>
      <c r="U33" s="45">
        <v>0</v>
      </c>
      <c r="V33" s="45"/>
      <c r="W33" s="45">
        <v>0</v>
      </c>
      <c r="X33" s="45"/>
      <c r="Y33" s="45">
        <v>0</v>
      </c>
      <c r="Z33" s="44"/>
      <c r="AA33" s="45">
        <v>0</v>
      </c>
      <c r="AB33" s="44"/>
      <c r="AC33" s="45">
        <f t="shared" si="1"/>
        <v>15065062</v>
      </c>
      <c r="AD33" s="45"/>
      <c r="AE33" s="48">
        <v>0</v>
      </c>
      <c r="AF33" s="48"/>
      <c r="AG33" s="45">
        <v>1525000</v>
      </c>
      <c r="AH33" s="45"/>
      <c r="AI33" s="45">
        <v>6660868</v>
      </c>
      <c r="AJ33" s="45"/>
      <c r="AK33" s="45">
        <v>0</v>
      </c>
      <c r="AL33" s="45"/>
      <c r="AM33" s="45">
        <f>+'Gen rev'!U33-'Gen exp'!AC33-AG33+'Gen rev'!W33+AI33+AK33-'Gen Bal'!S33-'Gen exp'!AE33</f>
        <v>0</v>
      </c>
      <c r="AN33" s="45"/>
      <c r="AO33" s="45"/>
      <c r="AP33" s="45"/>
      <c r="AQ33" s="45"/>
      <c r="AR33" s="52"/>
      <c r="AS33" s="50"/>
    </row>
    <row r="34" spans="1:45" s="49" customFormat="1" ht="12.75" customHeight="1">
      <c r="A34" s="28" t="s">
        <v>49</v>
      </c>
      <c r="C34" s="28" t="s">
        <v>27</v>
      </c>
      <c r="E34" s="45">
        <v>4534221</v>
      </c>
      <c r="F34" s="45"/>
      <c r="G34" s="45">
        <v>3937297</v>
      </c>
      <c r="H34" s="45"/>
      <c r="I34" s="45">
        <v>379182</v>
      </c>
      <c r="J34" s="45"/>
      <c r="K34" s="45">
        <v>380157</v>
      </c>
      <c r="L34" s="45"/>
      <c r="M34" s="45">
        <v>846907</v>
      </c>
      <c r="N34" s="45"/>
      <c r="O34" s="45">
        <v>288781</v>
      </c>
      <c r="P34" s="45"/>
      <c r="Q34" s="45">
        <v>889976</v>
      </c>
      <c r="R34" s="45"/>
      <c r="S34" s="45">
        <v>0</v>
      </c>
      <c r="T34" s="45"/>
      <c r="U34" s="45">
        <v>0</v>
      </c>
      <c r="V34" s="45"/>
      <c r="W34" s="45">
        <v>253800</v>
      </c>
      <c r="X34" s="45"/>
      <c r="Y34" s="45">
        <v>156174</v>
      </c>
      <c r="Z34" s="44"/>
      <c r="AA34" s="45">
        <v>0</v>
      </c>
      <c r="AB34" s="44"/>
      <c r="AC34" s="45">
        <f t="shared" si="1"/>
        <v>11666495</v>
      </c>
      <c r="AD34" s="45"/>
      <c r="AE34" s="48">
        <v>0</v>
      </c>
      <c r="AF34" s="48"/>
      <c r="AG34" s="45">
        <v>0</v>
      </c>
      <c r="AH34" s="45"/>
      <c r="AI34" s="45">
        <v>2552063</v>
      </c>
      <c r="AJ34" s="45"/>
      <c r="AK34" s="45">
        <v>0</v>
      </c>
      <c r="AL34" s="45"/>
      <c r="AM34" s="45">
        <f>+'Gen rev'!U34-'Gen exp'!AC34-AG34+'Gen rev'!W34+AI34+AK34-'Gen Bal'!S34-'Gen exp'!AE34</f>
        <v>0</v>
      </c>
      <c r="AN34" s="44"/>
      <c r="AO34" s="44"/>
      <c r="AP34" s="44"/>
      <c r="AQ34" s="44"/>
    </row>
    <row r="35" spans="1:45" s="49" customFormat="1" ht="12.75" customHeight="1">
      <c r="A35" s="28" t="s">
        <v>50</v>
      </c>
      <c r="C35" s="28" t="s">
        <v>27</v>
      </c>
      <c r="E35" s="45">
        <v>5048469</v>
      </c>
      <c r="F35" s="45"/>
      <c r="G35" s="45">
        <f>5994077+4273478</f>
        <v>10267555</v>
      </c>
      <c r="H35" s="45"/>
      <c r="I35" s="45">
        <v>1085131</v>
      </c>
      <c r="J35" s="45"/>
      <c r="K35" s="45">
        <v>348393</v>
      </c>
      <c r="L35" s="45"/>
      <c r="M35" s="45">
        <v>891721</v>
      </c>
      <c r="N35" s="45"/>
      <c r="O35" s="45">
        <v>2379427</v>
      </c>
      <c r="P35" s="45"/>
      <c r="Q35" s="45">
        <v>3601334</v>
      </c>
      <c r="R35" s="45"/>
      <c r="S35" s="45">
        <v>0</v>
      </c>
      <c r="T35" s="45"/>
      <c r="U35" s="45">
        <v>0</v>
      </c>
      <c r="V35" s="45"/>
      <c r="W35" s="45">
        <v>0</v>
      </c>
      <c r="X35" s="45"/>
      <c r="Y35" s="45">
        <v>0</v>
      </c>
      <c r="Z35" s="44"/>
      <c r="AA35" s="45">
        <v>0</v>
      </c>
      <c r="AB35" s="44"/>
      <c r="AC35" s="45">
        <f t="shared" si="1"/>
        <v>23622030</v>
      </c>
      <c r="AD35" s="45"/>
      <c r="AE35" s="48">
        <v>0</v>
      </c>
      <c r="AF35" s="48"/>
      <c r="AG35" s="45">
        <v>1035000</v>
      </c>
      <c r="AH35" s="45"/>
      <c r="AI35" s="45">
        <v>9713217</v>
      </c>
      <c r="AJ35" s="45"/>
      <c r="AK35" s="45">
        <v>0</v>
      </c>
      <c r="AL35" s="45"/>
      <c r="AM35" s="45">
        <f>+'Gen rev'!U35-'Gen exp'!AC35-AG35+'Gen rev'!W35+AI35+AK35-'Gen Bal'!S35-'Gen exp'!AE35</f>
        <v>0</v>
      </c>
      <c r="AN35" s="45"/>
      <c r="AO35" s="45"/>
      <c r="AP35" s="45"/>
      <c r="AQ35" s="45"/>
      <c r="AR35" s="52"/>
      <c r="AS35" s="50"/>
    </row>
    <row r="36" spans="1:45" s="49" customFormat="1" ht="12.75" customHeight="1">
      <c r="A36" s="28" t="s">
        <v>51</v>
      </c>
      <c r="C36" s="28" t="s">
        <v>27</v>
      </c>
      <c r="E36" s="45">
        <v>1916176</v>
      </c>
      <c r="F36" s="45"/>
      <c r="G36" s="45">
        <v>7264083</v>
      </c>
      <c r="H36" s="45"/>
      <c r="I36" s="45">
        <v>1676948</v>
      </c>
      <c r="J36" s="45"/>
      <c r="K36" s="45">
        <v>0</v>
      </c>
      <c r="L36" s="45"/>
      <c r="M36" s="45">
        <v>0</v>
      </c>
      <c r="N36" s="45"/>
      <c r="O36" s="45">
        <v>2132472</v>
      </c>
      <c r="P36" s="45"/>
      <c r="Q36" s="45">
        <v>2670355</v>
      </c>
      <c r="R36" s="45"/>
      <c r="S36" s="45">
        <v>0</v>
      </c>
      <c r="T36" s="45"/>
      <c r="U36" s="45">
        <v>0</v>
      </c>
      <c r="V36" s="45"/>
      <c r="W36" s="45">
        <v>3969</v>
      </c>
      <c r="X36" s="45"/>
      <c r="Y36" s="45">
        <v>165</v>
      </c>
      <c r="Z36" s="44"/>
      <c r="AA36" s="45">
        <v>0</v>
      </c>
      <c r="AB36" s="44"/>
      <c r="AC36" s="45">
        <f t="shared" si="1"/>
        <v>15664168</v>
      </c>
      <c r="AD36" s="45"/>
      <c r="AE36" s="48">
        <v>0</v>
      </c>
      <c r="AF36" s="48"/>
      <c r="AG36" s="45">
        <v>504024</v>
      </c>
      <c r="AH36" s="45"/>
      <c r="AI36" s="45">
        <v>6668313</v>
      </c>
      <c r="AJ36" s="45"/>
      <c r="AK36" s="45">
        <v>0</v>
      </c>
      <c r="AL36" s="45"/>
      <c r="AM36" s="45">
        <f>+'Gen rev'!U36-'Gen exp'!AC36-AG36+'Gen rev'!W36+AI36+AK36-'Gen Bal'!S36-'Gen exp'!AE36</f>
        <v>0</v>
      </c>
      <c r="AN36" s="45"/>
      <c r="AO36" s="45"/>
      <c r="AP36" s="45"/>
      <c r="AQ36" s="45"/>
      <c r="AR36" s="52"/>
      <c r="AS36" s="50"/>
    </row>
    <row r="37" spans="1:45" s="49" customFormat="1" ht="12.75" customHeight="1">
      <c r="A37" s="64" t="s">
        <v>462</v>
      </c>
      <c r="B37" s="46"/>
      <c r="C37" s="64" t="s">
        <v>66</v>
      </c>
      <c r="D37" s="46"/>
      <c r="E37" s="45">
        <v>887520</v>
      </c>
      <c r="F37" s="45"/>
      <c r="G37" s="45">
        <v>1784862</v>
      </c>
      <c r="H37" s="45"/>
      <c r="I37" s="45">
        <v>0</v>
      </c>
      <c r="J37" s="45"/>
      <c r="K37" s="45">
        <v>0</v>
      </c>
      <c r="L37" s="45"/>
      <c r="M37" s="45">
        <v>0</v>
      </c>
      <c r="N37" s="45"/>
      <c r="O37" s="45">
        <v>0</v>
      </c>
      <c r="P37" s="45"/>
      <c r="Q37" s="45">
        <v>0</v>
      </c>
      <c r="R37" s="45"/>
      <c r="S37" s="45">
        <v>91194</v>
      </c>
      <c r="T37" s="45"/>
      <c r="U37" s="45">
        <v>0</v>
      </c>
      <c r="V37" s="45"/>
      <c r="W37" s="45">
        <v>84830</v>
      </c>
      <c r="X37" s="45"/>
      <c r="Y37" s="45">
        <v>976</v>
      </c>
      <c r="Z37" s="44"/>
      <c r="AA37" s="45">
        <v>0</v>
      </c>
      <c r="AB37" s="44"/>
      <c r="AC37" s="45">
        <f t="shared" si="1"/>
        <v>2849382</v>
      </c>
      <c r="AD37" s="45"/>
      <c r="AE37" s="48">
        <v>0</v>
      </c>
      <c r="AF37" s="48"/>
      <c r="AG37" s="45">
        <v>654000</v>
      </c>
      <c r="AH37" s="45"/>
      <c r="AI37" s="45">
        <v>1132089</v>
      </c>
      <c r="AJ37" s="45"/>
      <c r="AK37" s="45">
        <v>0</v>
      </c>
      <c r="AL37" s="45"/>
      <c r="AM37" s="45">
        <f>+'Gen rev'!U37-'Gen exp'!AC37-AG37+'Gen rev'!W37+AI37+AK37-'Gen Bal'!S37-'Gen exp'!AE37</f>
        <v>0</v>
      </c>
      <c r="AN37" s="45"/>
      <c r="AO37" s="45"/>
      <c r="AP37" s="45"/>
      <c r="AQ37" s="45"/>
      <c r="AR37" s="52"/>
      <c r="AS37" s="50"/>
    </row>
    <row r="38" spans="1:45" s="49" customFormat="1" ht="12.75" customHeight="1">
      <c r="A38" s="28" t="s">
        <v>52</v>
      </c>
      <c r="C38" s="28" t="s">
        <v>53</v>
      </c>
      <c r="E38" s="45">
        <v>3127462</v>
      </c>
      <c r="F38" s="45"/>
      <c r="G38" s="45">
        <v>4794260</v>
      </c>
      <c r="H38" s="45"/>
      <c r="I38" s="45">
        <v>1018941</v>
      </c>
      <c r="J38" s="45"/>
      <c r="K38" s="45">
        <v>5349</v>
      </c>
      <c r="L38" s="45"/>
      <c r="M38" s="45">
        <v>0</v>
      </c>
      <c r="N38" s="45"/>
      <c r="O38" s="45">
        <v>264312</v>
      </c>
      <c r="P38" s="45"/>
      <c r="Q38" s="45">
        <v>0</v>
      </c>
      <c r="R38" s="45"/>
      <c r="S38" s="45">
        <v>0</v>
      </c>
      <c r="T38" s="45"/>
      <c r="U38" s="45">
        <v>0</v>
      </c>
      <c r="V38" s="45"/>
      <c r="W38" s="45">
        <v>0</v>
      </c>
      <c r="X38" s="45"/>
      <c r="Y38" s="45">
        <v>0</v>
      </c>
      <c r="Z38" s="44"/>
      <c r="AA38" s="45">
        <v>0</v>
      </c>
      <c r="AB38" s="44"/>
      <c r="AC38" s="45">
        <f t="shared" si="1"/>
        <v>9210324</v>
      </c>
      <c r="AD38" s="45"/>
      <c r="AE38" s="48">
        <v>0</v>
      </c>
      <c r="AF38" s="48"/>
      <c r="AG38" s="45">
        <v>505907</v>
      </c>
      <c r="AH38" s="45"/>
      <c r="AI38" s="45">
        <v>4418052</v>
      </c>
      <c r="AJ38" s="45"/>
      <c r="AK38" s="45">
        <v>0</v>
      </c>
      <c r="AL38" s="45"/>
      <c r="AM38" s="45">
        <f>+'Gen rev'!U38-'Gen exp'!AC38-AG38+'Gen rev'!W38+AI38+AK38-'Gen Bal'!S38-'Gen exp'!AE38</f>
        <v>0</v>
      </c>
      <c r="AN38" s="45"/>
      <c r="AO38" s="45"/>
      <c r="AP38" s="45"/>
      <c r="AQ38" s="45"/>
      <c r="AR38" s="52"/>
      <c r="AS38" s="50"/>
    </row>
    <row r="39" spans="1:45" s="49" customFormat="1" ht="12.75" customHeight="1">
      <c r="A39" s="28" t="s">
        <v>54</v>
      </c>
      <c r="C39" s="28" t="s">
        <v>55</v>
      </c>
      <c r="E39" s="45">
        <v>2657535</v>
      </c>
      <c r="F39" s="45"/>
      <c r="G39" s="45">
        <v>1633595</v>
      </c>
      <c r="H39" s="45"/>
      <c r="I39" s="45">
        <v>0</v>
      </c>
      <c r="J39" s="45"/>
      <c r="K39" s="45">
        <v>98661</v>
      </c>
      <c r="L39" s="45"/>
      <c r="M39" s="45">
        <v>0</v>
      </c>
      <c r="N39" s="45"/>
      <c r="O39" s="45">
        <v>968930</v>
      </c>
      <c r="P39" s="45"/>
      <c r="Q39" s="45">
        <v>0</v>
      </c>
      <c r="R39" s="45"/>
      <c r="S39" s="45">
        <v>0</v>
      </c>
      <c r="T39" s="45"/>
      <c r="U39" s="45">
        <v>0</v>
      </c>
      <c r="V39" s="45"/>
      <c r="W39" s="45">
        <v>0</v>
      </c>
      <c r="X39" s="45"/>
      <c r="Y39" s="45">
        <v>0</v>
      </c>
      <c r="Z39" s="44"/>
      <c r="AA39" s="45">
        <v>0</v>
      </c>
      <c r="AB39" s="44"/>
      <c r="AC39" s="45">
        <f t="shared" si="1"/>
        <v>5358721</v>
      </c>
      <c r="AD39" s="45"/>
      <c r="AE39" s="48">
        <v>0</v>
      </c>
      <c r="AF39" s="48"/>
      <c r="AG39" s="45">
        <v>0</v>
      </c>
      <c r="AH39" s="45"/>
      <c r="AI39" s="45">
        <v>1125817</v>
      </c>
      <c r="AJ39" s="45"/>
      <c r="AK39" s="45">
        <v>0</v>
      </c>
      <c r="AL39" s="45"/>
      <c r="AM39" s="45">
        <f>+'Gen rev'!U39-'Gen exp'!AC39-AG39+'Gen rev'!W39+AI39+AK39-'Gen Bal'!S39-'Gen exp'!AE39</f>
        <v>0</v>
      </c>
      <c r="AN39" s="45"/>
      <c r="AO39" s="45"/>
      <c r="AP39" s="45"/>
      <c r="AQ39" s="45"/>
      <c r="AR39" s="52"/>
      <c r="AS39" s="50"/>
    </row>
    <row r="40" spans="1:45" s="49" customFormat="1" ht="12.75" customHeight="1">
      <c r="A40" s="28" t="s">
        <v>56</v>
      </c>
      <c r="C40" s="28" t="s">
        <v>57</v>
      </c>
      <c r="E40" s="45">
        <v>1423931</v>
      </c>
      <c r="F40" s="45"/>
      <c r="G40" s="45">
        <f>1866507+1192044+131519</f>
        <v>3190070</v>
      </c>
      <c r="H40" s="45"/>
      <c r="I40" s="45">
        <v>0</v>
      </c>
      <c r="J40" s="45"/>
      <c r="K40" s="45">
        <v>219831</v>
      </c>
      <c r="L40" s="45"/>
      <c r="M40" s="45">
        <v>38840</v>
      </c>
      <c r="N40" s="45"/>
      <c r="O40" s="45">
        <v>5309</v>
      </c>
      <c r="P40" s="45"/>
      <c r="Q40" s="45">
        <v>0</v>
      </c>
      <c r="R40" s="45"/>
      <c r="S40" s="45">
        <v>0</v>
      </c>
      <c r="T40" s="45"/>
      <c r="U40" s="45">
        <v>0</v>
      </c>
      <c r="V40" s="45"/>
      <c r="W40" s="45">
        <v>33665</v>
      </c>
      <c r="X40" s="45"/>
      <c r="Y40" s="45">
        <v>17020</v>
      </c>
      <c r="Z40" s="44"/>
      <c r="AA40" s="45">
        <v>0</v>
      </c>
      <c r="AB40" s="44"/>
      <c r="AC40" s="45">
        <f t="shared" si="1"/>
        <v>4928666</v>
      </c>
      <c r="AD40" s="45"/>
      <c r="AE40" s="48">
        <v>0</v>
      </c>
      <c r="AF40" s="48"/>
      <c r="AG40" s="45">
        <v>302217</v>
      </c>
      <c r="AH40" s="45"/>
      <c r="AI40" s="45">
        <v>2439702</v>
      </c>
      <c r="AJ40" s="45"/>
      <c r="AK40" s="45">
        <v>0</v>
      </c>
      <c r="AL40" s="45"/>
      <c r="AM40" s="45">
        <f>+'Gen rev'!U40-'Gen exp'!AC40-AG40+'Gen rev'!W40+AI40+AK40-'Gen Bal'!S40-'Gen exp'!AE40</f>
        <v>0</v>
      </c>
      <c r="AN40" s="45"/>
      <c r="AO40" s="45"/>
      <c r="AP40" s="45"/>
      <c r="AQ40" s="45"/>
      <c r="AR40" s="52"/>
      <c r="AS40" s="50"/>
    </row>
    <row r="41" spans="1:45" s="49" customFormat="1" ht="12.75" customHeight="1">
      <c r="A41" s="28" t="s">
        <v>58</v>
      </c>
      <c r="C41" s="28" t="s">
        <v>59</v>
      </c>
      <c r="E41" s="45">
        <v>2597602</v>
      </c>
      <c r="F41" s="45"/>
      <c r="G41" s="45">
        <v>2150627</v>
      </c>
      <c r="H41" s="45"/>
      <c r="I41" s="45">
        <v>188077</v>
      </c>
      <c r="J41" s="45"/>
      <c r="K41" s="45">
        <v>0</v>
      </c>
      <c r="L41" s="45"/>
      <c r="M41" s="45">
        <v>0</v>
      </c>
      <c r="N41" s="45"/>
      <c r="O41" s="45">
        <v>597314</v>
      </c>
      <c r="P41" s="45"/>
      <c r="Q41" s="45">
        <v>0</v>
      </c>
      <c r="R41" s="45"/>
      <c r="S41" s="45">
        <v>0</v>
      </c>
      <c r="T41" s="45"/>
      <c r="U41" s="45">
        <v>0</v>
      </c>
      <c r="V41" s="45"/>
      <c r="W41" s="45">
        <v>21500</v>
      </c>
      <c r="X41" s="45"/>
      <c r="Y41" s="45">
        <v>3335</v>
      </c>
      <c r="Z41" s="44"/>
      <c r="AA41" s="45">
        <v>0</v>
      </c>
      <c r="AB41" s="44"/>
      <c r="AC41" s="45">
        <f t="shared" si="1"/>
        <v>5558455</v>
      </c>
      <c r="AD41" s="45"/>
      <c r="AE41" s="48">
        <v>0</v>
      </c>
      <c r="AF41" s="48"/>
      <c r="AG41" s="45">
        <v>479925</v>
      </c>
      <c r="AH41" s="45"/>
      <c r="AI41" s="45">
        <v>1296858</v>
      </c>
      <c r="AJ41" s="45"/>
      <c r="AK41" s="45">
        <v>0</v>
      </c>
      <c r="AL41" s="45"/>
      <c r="AM41" s="45">
        <f>+'Gen rev'!U41-'Gen exp'!AC41-AG41+'Gen rev'!W41+AI41+AK41-'Gen Bal'!S41-'Gen exp'!AE41</f>
        <v>0</v>
      </c>
      <c r="AN41" s="45"/>
      <c r="AO41" s="45"/>
      <c r="AP41" s="45"/>
      <c r="AQ41" s="45"/>
      <c r="AR41" s="52"/>
      <c r="AS41" s="50"/>
    </row>
    <row r="42" spans="1:45" s="49" customFormat="1" ht="12.75" customHeight="1">
      <c r="A42" s="46" t="s">
        <v>476</v>
      </c>
      <c r="B42" s="46"/>
      <c r="C42" s="64" t="s">
        <v>15</v>
      </c>
      <c r="D42" s="46"/>
      <c r="E42" s="45">
        <v>593900</v>
      </c>
      <c r="F42" s="45"/>
      <c r="G42" s="45">
        <v>0</v>
      </c>
      <c r="H42" s="45"/>
      <c r="I42" s="45">
        <v>0</v>
      </c>
      <c r="J42" s="45"/>
      <c r="K42" s="45">
        <v>0</v>
      </c>
      <c r="L42" s="45"/>
      <c r="M42" s="45">
        <v>15318</v>
      </c>
      <c r="N42" s="45"/>
      <c r="O42" s="45">
        <v>62206</v>
      </c>
      <c r="P42" s="45"/>
      <c r="Q42" s="45">
        <v>0</v>
      </c>
      <c r="R42" s="45"/>
      <c r="S42" s="45">
        <v>0</v>
      </c>
      <c r="T42" s="45"/>
      <c r="U42" s="45">
        <v>0</v>
      </c>
      <c r="V42" s="45"/>
      <c r="W42" s="45">
        <v>0</v>
      </c>
      <c r="X42" s="45"/>
      <c r="Y42" s="45">
        <v>441</v>
      </c>
      <c r="Z42" s="44"/>
      <c r="AA42" s="45">
        <v>0</v>
      </c>
      <c r="AB42" s="44"/>
      <c r="AC42" s="45">
        <f>SUM(E42:AA42)</f>
        <v>671865</v>
      </c>
      <c r="AD42" s="45"/>
      <c r="AE42" s="48">
        <v>0</v>
      </c>
      <c r="AF42" s="48"/>
      <c r="AG42" s="45">
        <v>2148500</v>
      </c>
      <c r="AH42" s="45"/>
      <c r="AI42" s="45">
        <v>460635</v>
      </c>
      <c r="AJ42" s="45"/>
      <c r="AK42" s="45">
        <v>0</v>
      </c>
      <c r="AL42" s="45"/>
      <c r="AM42" s="45">
        <f>+'Gen rev'!U42-'Gen exp'!AC42-AG42+'Gen rev'!W42+AI42+AK42-'Gen Bal'!S42-'Gen exp'!AE42</f>
        <v>0</v>
      </c>
      <c r="AN42" s="45"/>
      <c r="AO42" s="45"/>
      <c r="AP42" s="45"/>
      <c r="AQ42" s="45"/>
      <c r="AR42" s="52"/>
      <c r="AS42" s="50"/>
    </row>
    <row r="43" spans="1:45" s="49" customFormat="1" ht="12.75" customHeight="1">
      <c r="A43" s="28" t="s">
        <v>60</v>
      </c>
      <c r="C43" s="28" t="s">
        <v>61</v>
      </c>
      <c r="E43" s="45">
        <v>737781</v>
      </c>
      <c r="F43" s="45"/>
      <c r="G43" s="45">
        <v>2153995</v>
      </c>
      <c r="H43" s="45"/>
      <c r="I43" s="45">
        <v>86290</v>
      </c>
      <c r="J43" s="45"/>
      <c r="K43" s="45">
        <v>28774</v>
      </c>
      <c r="L43" s="45"/>
      <c r="M43" s="45">
        <v>0</v>
      </c>
      <c r="N43" s="45"/>
      <c r="O43" s="45">
        <v>0</v>
      </c>
      <c r="P43" s="45"/>
      <c r="Q43" s="45">
        <v>0</v>
      </c>
      <c r="R43" s="45"/>
      <c r="S43" s="45">
        <v>115744</v>
      </c>
      <c r="T43" s="45"/>
      <c r="U43" s="45">
        <v>0</v>
      </c>
      <c r="V43" s="45"/>
      <c r="W43" s="45">
        <v>0</v>
      </c>
      <c r="X43" s="45"/>
      <c r="Y43" s="45">
        <v>0</v>
      </c>
      <c r="Z43" s="44"/>
      <c r="AA43" s="45">
        <v>0</v>
      </c>
      <c r="AB43" s="44"/>
      <c r="AC43" s="45">
        <f t="shared" si="1"/>
        <v>3122584</v>
      </c>
      <c r="AD43" s="45"/>
      <c r="AE43" s="48">
        <v>0</v>
      </c>
      <c r="AF43" s="48"/>
      <c r="AG43" s="45">
        <v>281124</v>
      </c>
      <c r="AH43" s="45"/>
      <c r="AI43" s="45">
        <v>2456915</v>
      </c>
      <c r="AJ43" s="45"/>
      <c r="AK43" s="45">
        <v>0</v>
      </c>
      <c r="AL43" s="45"/>
      <c r="AM43" s="45">
        <f>+'Gen rev'!U43-'Gen exp'!AC43-AG43+'Gen rev'!W43+AI43+AK43-'Gen Bal'!S43-'Gen exp'!AE43</f>
        <v>0</v>
      </c>
      <c r="AN43" s="45"/>
      <c r="AO43" s="45"/>
      <c r="AP43" s="45"/>
      <c r="AQ43" s="45"/>
      <c r="AR43" s="52"/>
      <c r="AS43" s="50"/>
    </row>
    <row r="44" spans="1:45" s="49" customFormat="1" ht="12.75" customHeight="1">
      <c r="A44" s="46" t="s">
        <v>62</v>
      </c>
      <c r="B44" s="46"/>
      <c r="C44" s="64" t="s">
        <v>15</v>
      </c>
      <c r="D44" s="46"/>
      <c r="E44" s="45">
        <v>17736047</v>
      </c>
      <c r="F44" s="45"/>
      <c r="G44" s="45">
        <v>34724110</v>
      </c>
      <c r="H44" s="45"/>
      <c r="I44" s="45">
        <v>0</v>
      </c>
      <c r="J44" s="45"/>
      <c r="K44" s="45">
        <v>2598795</v>
      </c>
      <c r="L44" s="45"/>
      <c r="M44" s="45">
        <v>1654795</v>
      </c>
      <c r="N44" s="45"/>
      <c r="O44" s="45">
        <v>2277060</v>
      </c>
      <c r="P44" s="45"/>
      <c r="Q44" s="45">
        <v>0</v>
      </c>
      <c r="R44" s="45"/>
      <c r="S44" s="45">
        <v>0</v>
      </c>
      <c r="T44" s="45"/>
      <c r="U44" s="45">
        <v>0</v>
      </c>
      <c r="V44" s="45"/>
      <c r="W44" s="45">
        <v>320000</v>
      </c>
      <c r="X44" s="45"/>
      <c r="Y44" s="45">
        <v>202220</v>
      </c>
      <c r="Z44" s="44"/>
      <c r="AA44" s="45">
        <v>0</v>
      </c>
      <c r="AB44" s="44"/>
      <c r="AC44" s="45">
        <f t="shared" si="1"/>
        <v>59513027</v>
      </c>
      <c r="AD44" s="45"/>
      <c r="AE44" s="48">
        <v>0</v>
      </c>
      <c r="AF44" s="48"/>
      <c r="AG44" s="45">
        <v>40000</v>
      </c>
      <c r="AH44" s="45"/>
      <c r="AI44" s="45">
        <v>9196827</v>
      </c>
      <c r="AJ44" s="45"/>
      <c r="AK44" s="45">
        <v>20914</v>
      </c>
      <c r="AL44" s="45"/>
      <c r="AM44" s="45">
        <f>+'Gen rev'!U44-'Gen exp'!AC44-AG44+'Gen rev'!W44+AI44+AK44-'Gen Bal'!S44-'Gen exp'!AE44</f>
        <v>0</v>
      </c>
      <c r="AN44" s="45"/>
      <c r="AO44" s="45"/>
      <c r="AP44" s="45"/>
      <c r="AQ44" s="45"/>
      <c r="AR44" s="52"/>
      <c r="AS44" s="50"/>
    </row>
    <row r="45" spans="1:45" s="49" customFormat="1" ht="12.75" customHeight="1">
      <c r="A45" s="28" t="s">
        <v>485</v>
      </c>
      <c r="C45" s="28" t="s">
        <v>111</v>
      </c>
      <c r="E45" s="45">
        <v>574298</v>
      </c>
      <c r="F45" s="45"/>
      <c r="G45" s="45">
        <v>317303</v>
      </c>
      <c r="H45" s="45"/>
      <c r="I45" s="45">
        <v>150282</v>
      </c>
      <c r="J45" s="45"/>
      <c r="K45" s="45">
        <v>0</v>
      </c>
      <c r="L45" s="45"/>
      <c r="M45" s="45">
        <v>0</v>
      </c>
      <c r="N45" s="45"/>
      <c r="O45" s="45">
        <v>12894</v>
      </c>
      <c r="P45" s="45"/>
      <c r="Q45" s="45">
        <v>0</v>
      </c>
      <c r="R45" s="45"/>
      <c r="S45" s="45">
        <v>0</v>
      </c>
      <c r="T45" s="45"/>
      <c r="U45" s="45">
        <v>0</v>
      </c>
      <c r="V45" s="45"/>
      <c r="W45" s="45">
        <v>0</v>
      </c>
      <c r="X45" s="45"/>
      <c r="Y45" s="45">
        <v>0</v>
      </c>
      <c r="Z45" s="44"/>
      <c r="AA45" s="45">
        <v>0</v>
      </c>
      <c r="AB45" s="44"/>
      <c r="AC45" s="45">
        <f>SUM(E45:AA45)</f>
        <v>1054777</v>
      </c>
      <c r="AD45" s="45"/>
      <c r="AE45" s="48">
        <v>0</v>
      </c>
      <c r="AF45" s="48"/>
      <c r="AG45" s="45">
        <v>124000</v>
      </c>
      <c r="AH45" s="45"/>
      <c r="AI45" s="45">
        <v>868290</v>
      </c>
      <c r="AJ45" s="45"/>
      <c r="AK45" s="45">
        <v>0</v>
      </c>
      <c r="AL45" s="45"/>
      <c r="AM45" s="45">
        <f>+'Gen rev'!U45-'Gen exp'!AC45-AG45+'Gen rev'!W45+AI45+AK45-'Gen Bal'!S45-'Gen exp'!AE45</f>
        <v>0</v>
      </c>
      <c r="AN45" s="48"/>
      <c r="AO45" s="48"/>
      <c r="AP45" s="48"/>
      <c r="AQ45" s="48"/>
      <c r="AR45" s="52"/>
      <c r="AS45" s="50"/>
    </row>
    <row r="46" spans="1:45" s="49" customFormat="1" ht="12.75" customHeight="1">
      <c r="A46" s="28" t="s">
        <v>63</v>
      </c>
      <c r="C46" s="28" t="s">
        <v>64</v>
      </c>
      <c r="E46" s="45">
        <v>1259650</v>
      </c>
      <c r="F46" s="45"/>
      <c r="G46" s="45">
        <v>2773993</v>
      </c>
      <c r="H46" s="45"/>
      <c r="I46" s="45">
        <v>48204</v>
      </c>
      <c r="J46" s="45"/>
      <c r="K46" s="45">
        <v>74268</v>
      </c>
      <c r="L46" s="45"/>
      <c r="M46" s="45">
        <v>186720</v>
      </c>
      <c r="N46" s="45"/>
      <c r="O46" s="45">
        <v>102883</v>
      </c>
      <c r="P46" s="45"/>
      <c r="Q46" s="45">
        <v>257156</v>
      </c>
      <c r="R46" s="45"/>
      <c r="S46" s="45">
        <v>0</v>
      </c>
      <c r="T46" s="45"/>
      <c r="U46" s="45">
        <v>0</v>
      </c>
      <c r="V46" s="45"/>
      <c r="W46" s="45">
        <v>0</v>
      </c>
      <c r="X46" s="45"/>
      <c r="Y46" s="45">
        <v>0</v>
      </c>
      <c r="Z46" s="44"/>
      <c r="AA46" s="45">
        <v>0</v>
      </c>
      <c r="AB46" s="44"/>
      <c r="AC46" s="45">
        <f t="shared" si="1"/>
        <v>4702874</v>
      </c>
      <c r="AD46" s="45"/>
      <c r="AE46" s="48">
        <v>0</v>
      </c>
      <c r="AF46" s="48"/>
      <c r="AG46" s="45">
        <v>1123230</v>
      </c>
      <c r="AH46" s="45"/>
      <c r="AI46" s="45">
        <v>1448851</v>
      </c>
      <c r="AJ46" s="45"/>
      <c r="AK46" s="45">
        <v>0</v>
      </c>
      <c r="AL46" s="45"/>
      <c r="AM46" s="45">
        <f>+'Gen rev'!U46-'Gen exp'!AC46-AG46+'Gen rev'!W46+AI46+AK46-'Gen Bal'!S46-'Gen exp'!AE46</f>
        <v>0</v>
      </c>
      <c r="AN46" s="48"/>
      <c r="AO46" s="48"/>
      <c r="AP46" s="48"/>
      <c r="AQ46" s="48"/>
      <c r="AR46" s="52"/>
      <c r="AS46" s="50"/>
    </row>
    <row r="47" spans="1:45" s="49" customFormat="1" ht="12.75" customHeight="1">
      <c r="A47" s="28" t="s">
        <v>65</v>
      </c>
      <c r="C47" s="28" t="s">
        <v>66</v>
      </c>
      <c r="E47" s="45">
        <v>4778184</v>
      </c>
      <c r="F47" s="45"/>
      <c r="G47" s="45">
        <v>6283362</v>
      </c>
      <c r="H47" s="45"/>
      <c r="I47" s="45">
        <v>275363</v>
      </c>
      <c r="J47" s="45"/>
      <c r="K47" s="45">
        <v>0</v>
      </c>
      <c r="L47" s="45"/>
      <c r="M47" s="45">
        <v>0</v>
      </c>
      <c r="N47" s="45"/>
      <c r="O47" s="45">
        <v>275048</v>
      </c>
      <c r="P47" s="45"/>
      <c r="Q47" s="45">
        <v>0</v>
      </c>
      <c r="R47" s="45"/>
      <c r="S47" s="45">
        <v>0</v>
      </c>
      <c r="T47" s="45"/>
      <c r="U47" s="45">
        <v>0</v>
      </c>
      <c r="V47" s="45"/>
      <c r="W47" s="45">
        <v>2438</v>
      </c>
      <c r="X47" s="45"/>
      <c r="Y47" s="45">
        <v>30</v>
      </c>
      <c r="Z47" s="44"/>
      <c r="AA47" s="45">
        <v>0</v>
      </c>
      <c r="AB47" s="44"/>
      <c r="AC47" s="45">
        <f t="shared" si="1"/>
        <v>11614425</v>
      </c>
      <c r="AD47" s="45"/>
      <c r="AE47" s="48">
        <v>0</v>
      </c>
      <c r="AF47" s="48"/>
      <c r="AG47" s="45">
        <v>2797500</v>
      </c>
      <c r="AH47" s="45"/>
      <c r="AI47" s="45">
        <v>8800022</v>
      </c>
      <c r="AJ47" s="45"/>
      <c r="AK47" s="45">
        <v>603</v>
      </c>
      <c r="AL47" s="45"/>
      <c r="AM47" s="45">
        <f>+'Gen rev'!U47-'Gen exp'!AC47-AG47+'Gen rev'!W47+AI47+AK47-'Gen Bal'!S47-'Gen exp'!AE47</f>
        <v>0</v>
      </c>
      <c r="AN47" s="45"/>
      <c r="AO47" s="45"/>
      <c r="AP47" s="45"/>
      <c r="AQ47" s="45"/>
      <c r="AR47" s="52"/>
      <c r="AS47" s="50"/>
    </row>
    <row r="48" spans="1:45" s="49" customFormat="1" ht="12.75" customHeight="1">
      <c r="A48" s="28" t="s">
        <v>67</v>
      </c>
      <c r="C48" s="28" t="s">
        <v>375</v>
      </c>
      <c r="E48" s="45">
        <v>2708830</v>
      </c>
      <c r="F48" s="45"/>
      <c r="G48" s="45">
        <v>1414603</v>
      </c>
      <c r="H48" s="45"/>
      <c r="I48" s="45">
        <v>169039</v>
      </c>
      <c r="J48" s="45"/>
      <c r="K48" s="45">
        <v>9750</v>
      </c>
      <c r="L48" s="45"/>
      <c r="M48" s="45">
        <v>1890994</v>
      </c>
      <c r="N48" s="45"/>
      <c r="O48" s="45">
        <v>0</v>
      </c>
      <c r="P48" s="45"/>
      <c r="Q48" s="45">
        <v>0</v>
      </c>
      <c r="R48" s="45"/>
      <c r="S48" s="45">
        <v>0</v>
      </c>
      <c r="T48" s="45"/>
      <c r="U48" s="45">
        <v>0</v>
      </c>
      <c r="V48" s="45"/>
      <c r="W48" s="45">
        <v>66304</v>
      </c>
      <c r="X48" s="45"/>
      <c r="Y48" s="45">
        <v>0</v>
      </c>
      <c r="Z48" s="44"/>
      <c r="AA48" s="45">
        <v>0</v>
      </c>
      <c r="AB48" s="44"/>
      <c r="AC48" s="45">
        <f t="shared" si="1"/>
        <v>6259520</v>
      </c>
      <c r="AD48" s="45"/>
      <c r="AE48" s="48">
        <v>0</v>
      </c>
      <c r="AF48" s="48"/>
      <c r="AG48" s="45">
        <v>1549470</v>
      </c>
      <c r="AH48" s="45"/>
      <c r="AI48" s="45">
        <v>2820700</v>
      </c>
      <c r="AJ48" s="45"/>
      <c r="AK48" s="45">
        <v>0</v>
      </c>
      <c r="AL48" s="45"/>
      <c r="AM48" s="45">
        <f>+'Gen rev'!U48-'Gen exp'!AC48-AG48+'Gen rev'!W48+AI48+AK48-'Gen Bal'!S48-'Gen exp'!AE48</f>
        <v>0</v>
      </c>
      <c r="AN48" s="45"/>
      <c r="AO48" s="45"/>
      <c r="AP48" s="45"/>
      <c r="AQ48" s="45"/>
      <c r="AR48" s="52"/>
      <c r="AS48" s="50"/>
    </row>
    <row r="49" spans="1:45" s="49" customFormat="1" ht="12.75" customHeight="1">
      <c r="A49" s="28" t="s">
        <v>68</v>
      </c>
      <c r="C49" s="28" t="s">
        <v>45</v>
      </c>
      <c r="E49" s="45">
        <v>1343941</v>
      </c>
      <c r="F49" s="45"/>
      <c r="G49" s="45">
        <v>1990020</v>
      </c>
      <c r="H49" s="45"/>
      <c r="I49" s="45">
        <v>0</v>
      </c>
      <c r="J49" s="45"/>
      <c r="K49" s="45">
        <v>7084</v>
      </c>
      <c r="L49" s="45"/>
      <c r="M49" s="45">
        <v>120000</v>
      </c>
      <c r="N49" s="45"/>
      <c r="O49" s="45">
        <v>89155</v>
      </c>
      <c r="P49" s="45"/>
      <c r="Q49" s="45">
        <v>426836</v>
      </c>
      <c r="R49" s="45"/>
      <c r="S49" s="45">
        <v>0</v>
      </c>
      <c r="T49" s="45"/>
      <c r="U49" s="45">
        <v>0</v>
      </c>
      <c r="V49" s="45"/>
      <c r="W49" s="45">
        <v>0</v>
      </c>
      <c r="X49" s="45"/>
      <c r="Y49" s="45">
        <v>0</v>
      </c>
      <c r="Z49" s="44"/>
      <c r="AA49" s="45">
        <v>0</v>
      </c>
      <c r="AB49" s="44"/>
      <c r="AC49" s="45">
        <f t="shared" si="1"/>
        <v>3977036</v>
      </c>
      <c r="AD49" s="45"/>
      <c r="AE49" s="48">
        <v>0</v>
      </c>
      <c r="AF49" s="48"/>
      <c r="AG49" s="45">
        <v>53654</v>
      </c>
      <c r="AH49" s="45"/>
      <c r="AI49" s="45">
        <v>386822</v>
      </c>
      <c r="AJ49" s="45"/>
      <c r="AK49" s="45">
        <v>-2822</v>
      </c>
      <c r="AL49" s="45"/>
      <c r="AM49" s="45">
        <f>+'Gen rev'!U49-'Gen exp'!AC49-AG49+'Gen rev'!W49+AI49+AK49-'Gen Bal'!S49-'Gen exp'!AE49</f>
        <v>0</v>
      </c>
      <c r="AN49" s="45"/>
      <c r="AO49" s="45"/>
      <c r="AP49" s="45"/>
      <c r="AQ49" s="45"/>
      <c r="AR49" s="52"/>
      <c r="AS49" s="50"/>
    </row>
    <row r="50" spans="1:45" s="49" customFormat="1" ht="12.75" customHeight="1">
      <c r="A50" s="28" t="s">
        <v>69</v>
      </c>
      <c r="C50" s="28" t="s">
        <v>70</v>
      </c>
      <c r="E50" s="45">
        <v>4819670</v>
      </c>
      <c r="F50" s="45"/>
      <c r="G50" s="45">
        <f>4693006+4052441</f>
        <v>8745447</v>
      </c>
      <c r="H50" s="45"/>
      <c r="I50" s="45">
        <v>85</v>
      </c>
      <c r="J50" s="45"/>
      <c r="K50" s="45">
        <v>0</v>
      </c>
      <c r="L50" s="45"/>
      <c r="M50" s="45">
        <v>233773</v>
      </c>
      <c r="N50" s="45"/>
      <c r="O50" s="45">
        <v>128038</v>
      </c>
      <c r="P50" s="45"/>
      <c r="Q50" s="45">
        <v>946803</v>
      </c>
      <c r="R50" s="45"/>
      <c r="S50" s="45">
        <v>0</v>
      </c>
      <c r="T50" s="45"/>
      <c r="U50" s="45">
        <v>0</v>
      </c>
      <c r="V50" s="45"/>
      <c r="W50" s="45">
        <v>41796</v>
      </c>
      <c r="X50" s="45"/>
      <c r="Y50" s="45">
        <v>12544</v>
      </c>
      <c r="Z50" s="44"/>
      <c r="AA50" s="45">
        <v>0</v>
      </c>
      <c r="AB50" s="44"/>
      <c r="AC50" s="45">
        <f t="shared" si="1"/>
        <v>14928156</v>
      </c>
      <c r="AD50" s="45"/>
      <c r="AE50" s="48">
        <v>0</v>
      </c>
      <c r="AF50" s="48"/>
      <c r="AG50" s="45">
        <v>1919317</v>
      </c>
      <c r="AH50" s="45"/>
      <c r="AI50" s="45">
        <v>3491906</v>
      </c>
      <c r="AJ50" s="45"/>
      <c r="AK50" s="45">
        <v>0</v>
      </c>
      <c r="AL50" s="45"/>
      <c r="AM50" s="45">
        <f>+'Gen rev'!U50-'Gen exp'!AC50-AG50+'Gen rev'!W50+AI50+AK50-'Gen Bal'!S50-'Gen exp'!AE50</f>
        <v>0</v>
      </c>
      <c r="AN50" s="45"/>
      <c r="AO50" s="45"/>
      <c r="AP50" s="45"/>
      <c r="AQ50" s="45"/>
      <c r="AR50" s="52"/>
      <c r="AS50" s="50"/>
    </row>
    <row r="51" spans="1:45" s="49" customFormat="1" ht="12.75" customHeight="1">
      <c r="A51" s="28" t="s">
        <v>71</v>
      </c>
      <c r="C51" s="28" t="s">
        <v>45</v>
      </c>
      <c r="E51" s="45">
        <v>39763</v>
      </c>
      <c r="F51" s="45"/>
      <c r="G51" s="45">
        <v>174488</v>
      </c>
      <c r="H51" s="45"/>
      <c r="I51" s="45">
        <v>7597</v>
      </c>
      <c r="J51" s="45"/>
      <c r="K51" s="45">
        <v>18971</v>
      </c>
      <c r="L51" s="45"/>
      <c r="M51" s="45">
        <v>2881</v>
      </c>
      <c r="N51" s="45"/>
      <c r="O51" s="45">
        <v>20220</v>
      </c>
      <c r="P51" s="45"/>
      <c r="Q51" s="45">
        <f>23609+72492</f>
        <v>96101</v>
      </c>
      <c r="R51" s="45"/>
      <c r="S51" s="45">
        <v>0</v>
      </c>
      <c r="T51" s="45"/>
      <c r="U51" s="45">
        <v>0</v>
      </c>
      <c r="V51" s="45"/>
      <c r="W51" s="45">
        <v>0</v>
      </c>
      <c r="X51" s="45"/>
      <c r="Y51" s="45">
        <v>0</v>
      </c>
      <c r="Z51" s="44"/>
      <c r="AA51" s="45">
        <v>0</v>
      </c>
      <c r="AB51" s="44"/>
      <c r="AC51" s="45">
        <f t="shared" si="1"/>
        <v>360021</v>
      </c>
      <c r="AD51" s="45"/>
      <c r="AE51" s="48">
        <v>0</v>
      </c>
      <c r="AF51" s="48"/>
      <c r="AG51" s="45">
        <v>3555</v>
      </c>
      <c r="AH51" s="45"/>
      <c r="AI51" s="45">
        <v>73464</v>
      </c>
      <c r="AJ51" s="45"/>
      <c r="AK51" s="45">
        <v>0</v>
      </c>
      <c r="AL51" s="45"/>
      <c r="AM51" s="45">
        <f>+'Gen rev'!U51-'Gen exp'!AC51-AG51+'Gen rev'!W51+AI51+AK51-'Gen Bal'!S51-'Gen exp'!AE51</f>
        <v>0</v>
      </c>
      <c r="AN51" s="45"/>
      <c r="AO51" s="45"/>
      <c r="AP51" s="45"/>
      <c r="AQ51" s="45"/>
      <c r="AR51" s="52"/>
      <c r="AS51" s="50"/>
    </row>
    <row r="52" spans="1:45" s="49" customFormat="1" ht="12.75" customHeight="1">
      <c r="A52" s="47" t="s">
        <v>463</v>
      </c>
      <c r="C52" s="47" t="s">
        <v>464</v>
      </c>
      <c r="E52" s="45">
        <v>1867315</v>
      </c>
      <c r="F52" s="45"/>
      <c r="G52" s="45">
        <f>1521529+791929+91747</f>
        <v>2405205</v>
      </c>
      <c r="H52" s="45"/>
      <c r="I52" s="45">
        <v>329933</v>
      </c>
      <c r="J52" s="45"/>
      <c r="K52" s="45">
        <v>171750</v>
      </c>
      <c r="L52" s="45"/>
      <c r="M52" s="45">
        <v>315111</v>
      </c>
      <c r="N52" s="45"/>
      <c r="O52" s="45">
        <f>122162+35540+27173</f>
        <v>184875</v>
      </c>
      <c r="P52" s="45"/>
      <c r="Q52" s="45">
        <v>3100</v>
      </c>
      <c r="R52" s="45"/>
      <c r="S52" s="45">
        <v>24227</v>
      </c>
      <c r="T52" s="45"/>
      <c r="U52" s="45">
        <v>0</v>
      </c>
      <c r="V52" s="45"/>
      <c r="W52" s="45">
        <v>36346</v>
      </c>
      <c r="X52" s="45"/>
      <c r="Y52" s="45">
        <v>5818</v>
      </c>
      <c r="Z52" s="44"/>
      <c r="AA52" s="45">
        <v>0</v>
      </c>
      <c r="AB52" s="44"/>
      <c r="AC52" s="45">
        <f t="shared" si="1"/>
        <v>5343680</v>
      </c>
      <c r="AD52" s="45"/>
      <c r="AE52" s="48">
        <v>0</v>
      </c>
      <c r="AF52" s="48"/>
      <c r="AG52" s="45">
        <v>0</v>
      </c>
      <c r="AH52" s="45"/>
      <c r="AI52" s="45">
        <v>1312157</v>
      </c>
      <c r="AJ52" s="45"/>
      <c r="AK52" s="45">
        <v>0</v>
      </c>
      <c r="AL52" s="45"/>
      <c r="AM52" s="45">
        <f>+'Gen rev'!U52-'Gen exp'!AC52-AG52+'Gen rev'!W52+AI52+AK52-'Gen Bal'!S52-'Gen exp'!AE52</f>
        <v>0</v>
      </c>
      <c r="AN52" s="45"/>
      <c r="AO52" s="45"/>
      <c r="AP52" s="45"/>
      <c r="AQ52" s="45"/>
      <c r="AR52" s="52"/>
      <c r="AS52" s="50"/>
    </row>
    <row r="53" spans="1:45" s="49" customFormat="1" ht="12.75" customHeight="1">
      <c r="A53" s="28" t="s">
        <v>72</v>
      </c>
      <c r="C53" s="28" t="s">
        <v>66</v>
      </c>
      <c r="E53" s="45">
        <v>1439874</v>
      </c>
      <c r="F53" s="45"/>
      <c r="G53" s="45">
        <v>0</v>
      </c>
      <c r="H53" s="45"/>
      <c r="I53" s="45">
        <v>0</v>
      </c>
      <c r="J53" s="45"/>
      <c r="K53" s="45">
        <v>0</v>
      </c>
      <c r="L53" s="45"/>
      <c r="M53" s="45">
        <v>0</v>
      </c>
      <c r="N53" s="45"/>
      <c r="O53" s="45">
        <v>0</v>
      </c>
      <c r="P53" s="45"/>
      <c r="Q53" s="45">
        <v>0</v>
      </c>
      <c r="R53" s="45"/>
      <c r="S53" s="45">
        <v>0</v>
      </c>
      <c r="T53" s="45"/>
      <c r="U53" s="45">
        <v>0</v>
      </c>
      <c r="V53" s="45"/>
      <c r="W53" s="45">
        <v>0</v>
      </c>
      <c r="X53" s="45"/>
      <c r="Y53" s="45">
        <v>0</v>
      </c>
      <c r="Z53" s="44"/>
      <c r="AA53" s="45">
        <v>0</v>
      </c>
      <c r="AB53" s="44"/>
      <c r="AC53" s="45">
        <f t="shared" si="1"/>
        <v>1439874</v>
      </c>
      <c r="AD53" s="45"/>
      <c r="AE53" s="48">
        <v>0</v>
      </c>
      <c r="AF53" s="48"/>
      <c r="AG53" s="45">
        <v>1425729</v>
      </c>
      <c r="AH53" s="45"/>
      <c r="AI53" s="45">
        <v>1793968</v>
      </c>
      <c r="AJ53" s="45"/>
      <c r="AK53" s="45">
        <v>0</v>
      </c>
      <c r="AL53" s="45"/>
      <c r="AM53" s="45">
        <f>+'Gen rev'!U53-'Gen exp'!AC53-AG53+'Gen rev'!W53+AI53+AK53-'Gen Bal'!S53-'Gen exp'!AE53</f>
        <v>0</v>
      </c>
      <c r="AN53" s="45"/>
      <c r="AO53" s="45"/>
      <c r="AP53" s="45"/>
      <c r="AQ53" s="45"/>
      <c r="AR53" s="52"/>
      <c r="AS53" s="50"/>
    </row>
    <row r="54" spans="1:45" s="49" customFormat="1" ht="12.75" customHeight="1">
      <c r="A54" s="28" t="s">
        <v>73</v>
      </c>
      <c r="C54" s="28" t="s">
        <v>27</v>
      </c>
      <c r="E54" s="45">
        <v>78957000</v>
      </c>
      <c r="F54" s="45"/>
      <c r="G54" s="45">
        <f>35505000+309647000</f>
        <v>345152000</v>
      </c>
      <c r="H54" s="45"/>
      <c r="I54" s="45">
        <f>2172000+1568000</f>
        <v>3740000</v>
      </c>
      <c r="J54" s="45"/>
      <c r="K54" s="45">
        <v>5592000</v>
      </c>
      <c r="L54" s="45"/>
      <c r="M54" s="45">
        <v>0</v>
      </c>
      <c r="N54" s="45"/>
      <c r="O54" s="45">
        <v>37025000</v>
      </c>
      <c r="P54" s="45"/>
      <c r="Q54" s="45">
        <f>10463000+10627000</f>
        <v>21090000</v>
      </c>
      <c r="R54" s="45"/>
      <c r="S54" s="45">
        <v>0</v>
      </c>
      <c r="T54" s="45"/>
      <c r="U54" s="45">
        <v>0</v>
      </c>
      <c r="V54" s="45"/>
      <c r="W54" s="45">
        <v>0</v>
      </c>
      <c r="X54" s="45"/>
      <c r="Y54" s="45">
        <v>0</v>
      </c>
      <c r="Z54" s="44"/>
      <c r="AA54" s="45">
        <v>0</v>
      </c>
      <c r="AB54" s="44"/>
      <c r="AC54" s="45">
        <f t="shared" ref="AC54:AC65" si="2">SUM(E54:AA54)</f>
        <v>491556000</v>
      </c>
      <c r="AD54" s="45"/>
      <c r="AE54" s="48">
        <v>0</v>
      </c>
      <c r="AF54" s="48"/>
      <c r="AG54" s="45">
        <v>20922000</v>
      </c>
      <c r="AH54" s="45"/>
      <c r="AI54" s="45">
        <v>31854000</v>
      </c>
      <c r="AJ54" s="45"/>
      <c r="AK54" s="45">
        <v>0</v>
      </c>
      <c r="AL54" s="45"/>
      <c r="AM54" s="45">
        <f>+'Gen rev'!U54-'Gen exp'!AC54-AG54+'Gen rev'!W54+AI54+AK54-'Gen Bal'!S54-'Gen exp'!AE54</f>
        <v>0</v>
      </c>
      <c r="AN54" s="45"/>
      <c r="AO54" s="45"/>
      <c r="AP54" s="45"/>
      <c r="AQ54" s="45"/>
      <c r="AR54" s="52"/>
      <c r="AS54" s="50"/>
    </row>
    <row r="55" spans="1:45" s="49" customFormat="1" ht="12.75" hidden="1" customHeight="1">
      <c r="A55" s="28" t="s">
        <v>74</v>
      </c>
      <c r="C55" s="28" t="s">
        <v>27</v>
      </c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4"/>
      <c r="AA55" s="45"/>
      <c r="AB55" s="44"/>
      <c r="AC55" s="45">
        <f t="shared" si="2"/>
        <v>0</v>
      </c>
      <c r="AD55" s="45"/>
      <c r="AE55" s="48">
        <v>0</v>
      </c>
      <c r="AF55" s="48"/>
      <c r="AG55" s="45"/>
      <c r="AH55" s="45"/>
      <c r="AI55" s="45"/>
      <c r="AJ55" s="45"/>
      <c r="AK55" s="45">
        <v>0</v>
      </c>
      <c r="AL55" s="45"/>
      <c r="AM55" s="45">
        <f>+'Gen rev'!U55-'Gen exp'!AC55-AG55+'Gen rev'!W55+AI55+AK55-'Gen Bal'!S55-'Gen exp'!AE55</f>
        <v>0</v>
      </c>
      <c r="AN55" s="48"/>
      <c r="AO55" s="48"/>
      <c r="AP55" s="48"/>
      <c r="AQ55" s="48"/>
      <c r="AR55" s="52"/>
      <c r="AS55" s="50"/>
    </row>
    <row r="56" spans="1:45" s="49" customFormat="1" ht="12.75" customHeight="1">
      <c r="A56" s="28" t="s">
        <v>75</v>
      </c>
      <c r="C56" s="28" t="s">
        <v>76</v>
      </c>
      <c r="E56" s="45">
        <v>1060650</v>
      </c>
      <c r="F56" s="45"/>
      <c r="G56" s="45">
        <v>2169933</v>
      </c>
      <c r="H56" s="45"/>
      <c r="I56" s="45">
        <v>425698</v>
      </c>
      <c r="J56" s="45"/>
      <c r="K56" s="45">
        <v>490645</v>
      </c>
      <c r="L56" s="45"/>
      <c r="M56" s="45">
        <v>0</v>
      </c>
      <c r="N56" s="45"/>
      <c r="O56" s="45">
        <v>0</v>
      </c>
      <c r="P56" s="45"/>
      <c r="Q56" s="45">
        <v>0</v>
      </c>
      <c r="R56" s="45"/>
      <c r="S56" s="45">
        <v>2242778</v>
      </c>
      <c r="T56" s="45"/>
      <c r="U56" s="45">
        <v>0</v>
      </c>
      <c r="V56" s="45"/>
      <c r="W56" s="45">
        <v>116738</v>
      </c>
      <c r="X56" s="45"/>
      <c r="Y56" s="45">
        <v>74796</v>
      </c>
      <c r="Z56" s="44"/>
      <c r="AA56" s="45">
        <v>0</v>
      </c>
      <c r="AB56" s="44"/>
      <c r="AC56" s="45">
        <f t="shared" si="2"/>
        <v>6581238</v>
      </c>
      <c r="AD56" s="45"/>
      <c r="AE56" s="48">
        <v>0</v>
      </c>
      <c r="AF56" s="48"/>
      <c r="AG56" s="45">
        <v>523651</v>
      </c>
      <c r="AH56" s="45"/>
      <c r="AI56" s="45">
        <v>1458777</v>
      </c>
      <c r="AJ56" s="45"/>
      <c r="AK56" s="45">
        <v>0</v>
      </c>
      <c r="AL56" s="45"/>
      <c r="AM56" s="45">
        <f>+'Gen rev'!U56-'Gen exp'!AC56-AG56+'Gen rev'!W56+AI56+AK56-'Gen Bal'!S56-'Gen exp'!AE56</f>
        <v>0</v>
      </c>
      <c r="AN56" s="45"/>
      <c r="AO56" s="45"/>
      <c r="AP56" s="45"/>
      <c r="AQ56" s="45"/>
      <c r="AR56" s="52"/>
      <c r="AS56" s="50"/>
    </row>
    <row r="57" spans="1:45" s="49" customFormat="1" ht="12.75" customHeight="1">
      <c r="A57" s="28" t="s">
        <v>77</v>
      </c>
      <c r="C57" s="28" t="s">
        <v>43</v>
      </c>
      <c r="E57" s="45">
        <v>95450000</v>
      </c>
      <c r="F57" s="45"/>
      <c r="G57" s="45">
        <f>42571000+472800000</f>
        <v>515371000</v>
      </c>
      <c r="H57" s="45"/>
      <c r="I57" s="45">
        <v>22991000</v>
      </c>
      <c r="J57" s="45"/>
      <c r="K57" s="45">
        <v>127000</v>
      </c>
      <c r="L57" s="45"/>
      <c r="M57" s="45">
        <v>0</v>
      </c>
      <c r="N57" s="45"/>
      <c r="O57" s="45">
        <v>160000</v>
      </c>
      <c r="P57" s="45"/>
      <c r="Q57" s="45">
        <v>0</v>
      </c>
      <c r="R57" s="45"/>
      <c r="S57" s="45">
        <v>7995000</v>
      </c>
      <c r="T57" s="45"/>
      <c r="U57" s="45">
        <v>0</v>
      </c>
      <c r="V57" s="45"/>
      <c r="W57" s="45">
        <v>0</v>
      </c>
      <c r="X57" s="45"/>
      <c r="Y57" s="45">
        <v>0</v>
      </c>
      <c r="Z57" s="44"/>
      <c r="AA57" s="45">
        <v>0</v>
      </c>
      <c r="AB57" s="44"/>
      <c r="AC57" s="45">
        <f t="shared" si="2"/>
        <v>642094000</v>
      </c>
      <c r="AD57" s="45"/>
      <c r="AE57" s="48">
        <v>0</v>
      </c>
      <c r="AF57" s="48"/>
      <c r="AG57" s="45">
        <v>48138000</v>
      </c>
      <c r="AH57" s="45"/>
      <c r="AI57" s="45">
        <v>107963000</v>
      </c>
      <c r="AJ57" s="45"/>
      <c r="AK57" s="45">
        <v>0</v>
      </c>
      <c r="AL57" s="45"/>
      <c r="AM57" s="45">
        <f>+'Gen rev'!U57-'Gen exp'!AC57-AG57+'Gen rev'!W57+AI57+AK57-'Gen Bal'!S57-'Gen exp'!AE57</f>
        <v>0</v>
      </c>
      <c r="AN57" s="35"/>
      <c r="AO57" s="35"/>
      <c r="AP57" s="35"/>
      <c r="AQ57" s="35"/>
      <c r="AR57" s="50"/>
      <c r="AS57" s="50"/>
    </row>
    <row r="58" spans="1:45" s="49" customFormat="1" ht="12.75" customHeight="1">
      <c r="A58" s="28" t="s">
        <v>94</v>
      </c>
      <c r="C58" s="28" t="s">
        <v>94</v>
      </c>
      <c r="E58" s="45">
        <v>461197</v>
      </c>
      <c r="F58" s="45"/>
      <c r="G58" s="45">
        <v>1340352</v>
      </c>
      <c r="H58" s="45"/>
      <c r="I58" s="45">
        <v>0</v>
      </c>
      <c r="J58" s="45"/>
      <c r="K58" s="45">
        <v>13501</v>
      </c>
      <c r="L58" s="45"/>
      <c r="M58" s="45">
        <v>0</v>
      </c>
      <c r="N58" s="45"/>
      <c r="O58" s="45">
        <v>0</v>
      </c>
      <c r="P58" s="45"/>
      <c r="Q58" s="45">
        <v>0</v>
      </c>
      <c r="R58" s="45"/>
      <c r="S58" s="45">
        <v>0</v>
      </c>
      <c r="T58" s="45"/>
      <c r="U58" s="45">
        <v>0</v>
      </c>
      <c r="V58" s="45"/>
      <c r="W58" s="45">
        <v>0</v>
      </c>
      <c r="X58" s="45"/>
      <c r="Y58" s="45">
        <v>0</v>
      </c>
      <c r="Z58" s="44"/>
      <c r="AA58" s="45">
        <v>0</v>
      </c>
      <c r="AB58" s="44"/>
      <c r="AC58" s="45">
        <f>SUM(E58:AA58)</f>
        <v>1815050</v>
      </c>
      <c r="AD58" s="45"/>
      <c r="AE58" s="48">
        <v>0</v>
      </c>
      <c r="AF58" s="48"/>
      <c r="AG58" s="45">
        <v>488000</v>
      </c>
      <c r="AH58" s="45"/>
      <c r="AI58" s="45">
        <v>383362</v>
      </c>
      <c r="AJ58" s="45"/>
      <c r="AK58" s="45">
        <v>0</v>
      </c>
      <c r="AL58" s="45"/>
      <c r="AM58" s="45">
        <f>+'Gen rev'!U58-'Gen exp'!AC58-AG58+'Gen rev'!W58+AI58+AK58-'Gen Bal'!S58-'Gen exp'!AE58</f>
        <v>0</v>
      </c>
      <c r="AN58" s="44"/>
      <c r="AO58" s="44"/>
      <c r="AP58" s="44"/>
      <c r="AQ58" s="44"/>
    </row>
    <row r="59" spans="1:45" s="49" customFormat="1" ht="12.75" customHeight="1">
      <c r="A59" s="28" t="s">
        <v>78</v>
      </c>
      <c r="C59" s="28" t="s">
        <v>19</v>
      </c>
      <c r="E59" s="45">
        <v>1179168</v>
      </c>
      <c r="F59" s="45"/>
      <c r="G59" s="45">
        <v>2476560</v>
      </c>
      <c r="H59" s="45"/>
      <c r="I59" s="45">
        <v>69656</v>
      </c>
      <c r="J59" s="45"/>
      <c r="K59" s="45">
        <v>334167</v>
      </c>
      <c r="L59" s="45"/>
      <c r="M59" s="45">
        <v>0</v>
      </c>
      <c r="N59" s="45"/>
      <c r="O59" s="45">
        <v>31214</v>
      </c>
      <c r="P59" s="45"/>
      <c r="Q59" s="45">
        <v>0</v>
      </c>
      <c r="R59" s="45"/>
      <c r="S59" s="45">
        <v>0</v>
      </c>
      <c r="T59" s="45"/>
      <c r="U59" s="45">
        <v>0</v>
      </c>
      <c r="V59" s="45"/>
      <c r="W59" s="45">
        <f>105021+15000</f>
        <v>120021</v>
      </c>
      <c r="X59" s="45"/>
      <c r="Y59" s="45">
        <v>17365</v>
      </c>
      <c r="Z59" s="44"/>
      <c r="AA59" s="45">
        <v>0</v>
      </c>
      <c r="AB59" s="44"/>
      <c r="AC59" s="45">
        <f t="shared" si="2"/>
        <v>4228151</v>
      </c>
      <c r="AD59" s="45"/>
      <c r="AE59" s="48">
        <v>0</v>
      </c>
      <c r="AF59" s="48"/>
      <c r="AG59" s="45">
        <v>100350</v>
      </c>
      <c r="AH59" s="45"/>
      <c r="AI59" s="45">
        <v>705270</v>
      </c>
      <c r="AJ59" s="45"/>
      <c r="AK59" s="45">
        <v>0</v>
      </c>
      <c r="AL59" s="45"/>
      <c r="AM59" s="45">
        <f>+'Gen rev'!U59-'Gen exp'!AC59-AG59+'Gen rev'!W59+AI59+AK59-'Gen Bal'!S59-'Gen exp'!AE59</f>
        <v>0</v>
      </c>
      <c r="AN59" s="44"/>
      <c r="AO59" s="44"/>
      <c r="AP59" s="44"/>
      <c r="AQ59" s="44"/>
    </row>
    <row r="60" spans="1:45" s="49" customFormat="1" ht="12.75" customHeight="1">
      <c r="A60" s="28" t="s">
        <v>79</v>
      </c>
      <c r="C60" s="28" t="s">
        <v>80</v>
      </c>
      <c r="E60" s="45">
        <v>708636</v>
      </c>
      <c r="F60" s="45"/>
      <c r="G60" s="45">
        <v>44257</v>
      </c>
      <c r="H60" s="45"/>
      <c r="I60" s="45">
        <v>50809</v>
      </c>
      <c r="J60" s="45"/>
      <c r="K60" s="45">
        <v>12338</v>
      </c>
      <c r="L60" s="45"/>
      <c r="M60" s="45">
        <v>0</v>
      </c>
      <c r="N60" s="45"/>
      <c r="O60" s="45">
        <v>31304</v>
      </c>
      <c r="P60" s="45"/>
      <c r="Q60" s="45">
        <v>125226</v>
      </c>
      <c r="R60" s="45"/>
      <c r="S60" s="45">
        <v>0</v>
      </c>
      <c r="T60" s="45"/>
      <c r="U60" s="45">
        <v>0</v>
      </c>
      <c r="V60" s="45"/>
      <c r="W60" s="45">
        <v>0</v>
      </c>
      <c r="X60" s="45"/>
      <c r="Y60" s="45">
        <v>0</v>
      </c>
      <c r="Z60" s="44"/>
      <c r="AA60" s="45">
        <v>0</v>
      </c>
      <c r="AB60" s="44"/>
      <c r="AC60" s="45">
        <f t="shared" si="2"/>
        <v>972570</v>
      </c>
      <c r="AD60" s="45"/>
      <c r="AE60" s="48">
        <v>0</v>
      </c>
      <c r="AF60" s="48"/>
      <c r="AG60" s="45">
        <v>0</v>
      </c>
      <c r="AH60" s="45"/>
      <c r="AI60" s="45">
        <v>441649</v>
      </c>
      <c r="AJ60" s="45"/>
      <c r="AK60" s="45">
        <v>0</v>
      </c>
      <c r="AL60" s="45"/>
      <c r="AM60" s="45">
        <f>+'Gen rev'!U60-'Gen exp'!AC60-AG60+'Gen rev'!W60+AI60+AK60-'Gen Bal'!S60-'Gen exp'!AE60</f>
        <v>0</v>
      </c>
      <c r="AN60" s="44"/>
      <c r="AO60" s="44"/>
      <c r="AP60" s="44"/>
      <c r="AQ60" s="44"/>
    </row>
    <row r="61" spans="1:45" s="49" customFormat="1" ht="12.75" customHeight="1">
      <c r="A61" s="28" t="s">
        <v>81</v>
      </c>
      <c r="C61" s="28" t="s">
        <v>81</v>
      </c>
      <c r="E61" s="45">
        <v>1998463</v>
      </c>
      <c r="F61" s="45"/>
      <c r="G61" s="45">
        <v>2396283</v>
      </c>
      <c r="H61" s="45"/>
      <c r="I61" s="45">
        <v>13750</v>
      </c>
      <c r="J61" s="45"/>
      <c r="K61" s="45">
        <v>509174</v>
      </c>
      <c r="L61" s="45"/>
      <c r="M61" s="45">
        <v>0</v>
      </c>
      <c r="N61" s="45"/>
      <c r="O61" s="45">
        <v>144370</v>
      </c>
      <c r="P61" s="45"/>
      <c r="Q61" s="45">
        <v>0</v>
      </c>
      <c r="R61" s="45"/>
      <c r="S61" s="45">
        <v>0</v>
      </c>
      <c r="T61" s="45"/>
      <c r="U61" s="45">
        <v>0</v>
      </c>
      <c r="V61" s="45"/>
      <c r="W61" s="45">
        <v>0</v>
      </c>
      <c r="X61" s="45"/>
      <c r="Y61" s="45">
        <v>0</v>
      </c>
      <c r="Z61" s="44"/>
      <c r="AA61" s="45">
        <v>0</v>
      </c>
      <c r="AB61" s="44"/>
      <c r="AC61" s="45">
        <f t="shared" si="2"/>
        <v>5062040</v>
      </c>
      <c r="AD61" s="45"/>
      <c r="AE61" s="48">
        <v>0</v>
      </c>
      <c r="AF61" s="48"/>
      <c r="AG61" s="45">
        <v>0</v>
      </c>
      <c r="AH61" s="45"/>
      <c r="AI61" s="45">
        <v>248373</v>
      </c>
      <c r="AJ61" s="45"/>
      <c r="AK61" s="45">
        <v>0</v>
      </c>
      <c r="AL61" s="45"/>
      <c r="AM61" s="45">
        <f>+'Gen rev'!U61-'Gen exp'!AC61-AG61+'Gen rev'!W61+AI61+AK61-'Gen Bal'!S61-'Gen exp'!AE61</f>
        <v>0</v>
      </c>
      <c r="AN61" s="44"/>
      <c r="AO61" s="44"/>
      <c r="AP61" s="44"/>
      <c r="AQ61" s="44"/>
    </row>
    <row r="62" spans="1:45" s="46" customFormat="1" ht="12.75" customHeight="1">
      <c r="A62" s="47" t="s">
        <v>465</v>
      </c>
      <c r="B62" s="47"/>
      <c r="C62" s="47" t="s">
        <v>57</v>
      </c>
      <c r="D62" s="49"/>
      <c r="E62" s="45">
        <v>321954</v>
      </c>
      <c r="F62" s="45"/>
      <c r="G62" s="45">
        <v>1106733</v>
      </c>
      <c r="H62" s="45"/>
      <c r="I62" s="45">
        <v>46721</v>
      </c>
      <c r="J62" s="45"/>
      <c r="K62" s="45">
        <v>0</v>
      </c>
      <c r="L62" s="45"/>
      <c r="M62" s="45">
        <v>0</v>
      </c>
      <c r="N62" s="45"/>
      <c r="O62" s="45">
        <v>101750</v>
      </c>
      <c r="P62" s="45"/>
      <c r="Q62" s="45">
        <v>0</v>
      </c>
      <c r="R62" s="45"/>
      <c r="S62" s="45">
        <v>0</v>
      </c>
      <c r="T62" s="45"/>
      <c r="U62" s="45">
        <v>0</v>
      </c>
      <c r="V62" s="45"/>
      <c r="W62" s="45">
        <v>2138</v>
      </c>
      <c r="X62" s="45"/>
      <c r="Y62" s="45">
        <v>4572</v>
      </c>
      <c r="Z62" s="44"/>
      <c r="AA62" s="45">
        <v>0</v>
      </c>
      <c r="AB62" s="44"/>
      <c r="AC62" s="45">
        <f t="shared" si="2"/>
        <v>1583868</v>
      </c>
      <c r="AD62" s="45"/>
      <c r="AE62" s="48">
        <v>0</v>
      </c>
      <c r="AF62" s="48"/>
      <c r="AG62" s="45">
        <v>0</v>
      </c>
      <c r="AH62" s="45"/>
      <c r="AI62" s="45">
        <v>129037</v>
      </c>
      <c r="AJ62" s="45"/>
      <c r="AK62" s="45">
        <v>0</v>
      </c>
      <c r="AL62" s="45"/>
      <c r="AM62" s="45">
        <f>+'Gen rev'!U62-'Gen exp'!AC62-AG62+'Gen rev'!W62+AI62+AK62-'Gen Bal'!S62-'Gen exp'!AE62</f>
        <v>0</v>
      </c>
    </row>
    <row r="63" spans="1:45" s="49" customFormat="1" ht="12.75" customHeight="1">
      <c r="A63" s="28" t="s">
        <v>82</v>
      </c>
      <c r="C63" s="28" t="s">
        <v>13</v>
      </c>
      <c r="E63" s="45">
        <v>8664058</v>
      </c>
      <c r="F63" s="45"/>
      <c r="G63" s="45">
        <v>18235264</v>
      </c>
      <c r="H63" s="45"/>
      <c r="I63" s="45">
        <v>1385349</v>
      </c>
      <c r="J63" s="45"/>
      <c r="K63" s="45">
        <v>0</v>
      </c>
      <c r="L63" s="45"/>
      <c r="M63" s="45">
        <v>0</v>
      </c>
      <c r="N63" s="45"/>
      <c r="O63" s="45">
        <v>2170043</v>
      </c>
      <c r="P63" s="45"/>
      <c r="Q63" s="45">
        <v>0</v>
      </c>
      <c r="R63" s="45"/>
      <c r="S63" s="45">
        <v>0</v>
      </c>
      <c r="T63" s="45"/>
      <c r="U63" s="45">
        <v>0</v>
      </c>
      <c r="V63" s="45"/>
      <c r="W63" s="45">
        <v>0</v>
      </c>
      <c r="X63" s="45"/>
      <c r="Y63" s="45">
        <v>0</v>
      </c>
      <c r="Z63" s="44"/>
      <c r="AA63" s="45">
        <v>0</v>
      </c>
      <c r="AB63" s="44"/>
      <c r="AC63" s="45">
        <f t="shared" si="2"/>
        <v>30454714</v>
      </c>
      <c r="AD63" s="45"/>
      <c r="AE63" s="48">
        <v>0</v>
      </c>
      <c r="AF63" s="48"/>
      <c r="AG63" s="45">
        <v>4043923</v>
      </c>
      <c r="AH63" s="45"/>
      <c r="AI63" s="45">
        <v>6908662</v>
      </c>
      <c r="AJ63" s="45"/>
      <c r="AK63" s="45">
        <f>21982-3931</f>
        <v>18051</v>
      </c>
      <c r="AL63" s="45"/>
      <c r="AM63" s="45">
        <f>+'Gen rev'!U63-'Gen exp'!AC63-AG63+'Gen rev'!W63+AI63+AK63-'Gen Bal'!S63-'Gen exp'!AE63</f>
        <v>0</v>
      </c>
      <c r="AN63" s="44"/>
      <c r="AO63" s="44"/>
      <c r="AP63" s="44"/>
      <c r="AQ63" s="44"/>
    </row>
    <row r="64" spans="1:45" s="49" customFormat="1" ht="12.75" customHeight="1">
      <c r="A64" s="64" t="s">
        <v>83</v>
      </c>
      <c r="B64" s="46"/>
      <c r="C64" s="64" t="s">
        <v>66</v>
      </c>
      <c r="D64" s="46"/>
      <c r="E64" s="45">
        <v>3729197</v>
      </c>
      <c r="F64" s="45"/>
      <c r="G64" s="45">
        <v>96101123</v>
      </c>
      <c r="H64" s="45"/>
      <c r="I64" s="45">
        <f>3607301+14524168</f>
        <v>18131469</v>
      </c>
      <c r="J64" s="45"/>
      <c r="K64" s="45">
        <v>0</v>
      </c>
      <c r="L64" s="45"/>
      <c r="M64" s="45">
        <v>0</v>
      </c>
      <c r="N64" s="45"/>
      <c r="O64" s="45">
        <f>128532+28046613</f>
        <v>28175145</v>
      </c>
      <c r="P64" s="45"/>
      <c r="Q64" s="45">
        <f>685888+15005722</f>
        <v>15691610</v>
      </c>
      <c r="R64" s="45"/>
      <c r="S64" s="45">
        <v>0</v>
      </c>
      <c r="T64" s="45"/>
      <c r="U64" s="45">
        <v>0</v>
      </c>
      <c r="V64" s="45"/>
      <c r="W64" s="45">
        <v>0</v>
      </c>
      <c r="X64" s="45"/>
      <c r="Y64" s="45">
        <v>0</v>
      </c>
      <c r="Z64" s="44"/>
      <c r="AA64" s="45">
        <v>0</v>
      </c>
      <c r="AB64" s="44"/>
      <c r="AC64" s="45">
        <f t="shared" si="2"/>
        <v>161828544</v>
      </c>
      <c r="AD64" s="45"/>
      <c r="AE64" s="48">
        <v>0</v>
      </c>
      <c r="AF64" s="48"/>
      <c r="AG64" s="45">
        <v>9556407</v>
      </c>
      <c r="AH64" s="45"/>
      <c r="AI64" s="45">
        <v>41966373</v>
      </c>
      <c r="AJ64" s="45"/>
      <c r="AK64" s="45">
        <v>0</v>
      </c>
      <c r="AL64" s="45"/>
      <c r="AM64" s="45">
        <f>+'Gen rev'!U64-'Gen exp'!AC64-AG64+'Gen rev'!W64+AI64+AK64-'Gen Bal'!S64-'Gen exp'!AE64</f>
        <v>0</v>
      </c>
      <c r="AN64" s="44"/>
      <c r="AO64" s="44"/>
      <c r="AP64" s="44"/>
      <c r="AQ64" s="44"/>
    </row>
    <row r="65" spans="1:45" s="49" customFormat="1" ht="12.75" customHeight="1">
      <c r="A65" s="64" t="s">
        <v>84</v>
      </c>
      <c r="B65" s="46"/>
      <c r="C65" s="64" t="s">
        <v>45</v>
      </c>
      <c r="D65" s="46"/>
      <c r="E65" s="45">
        <v>1016304</v>
      </c>
      <c r="F65" s="45"/>
      <c r="G65" s="45">
        <v>1095708</v>
      </c>
      <c r="H65" s="45"/>
      <c r="I65" s="45">
        <v>26666</v>
      </c>
      <c r="J65" s="45"/>
      <c r="K65" s="45">
        <v>0</v>
      </c>
      <c r="L65" s="45"/>
      <c r="M65" s="45">
        <v>215476</v>
      </c>
      <c r="N65" s="45"/>
      <c r="O65" s="45">
        <v>35100</v>
      </c>
      <c r="P65" s="45"/>
      <c r="Q65" s="45">
        <v>0</v>
      </c>
      <c r="R65" s="45"/>
      <c r="S65" s="45">
        <v>80734</v>
      </c>
      <c r="T65" s="45"/>
      <c r="U65" s="45">
        <v>0</v>
      </c>
      <c r="V65" s="45"/>
      <c r="W65" s="45">
        <v>0</v>
      </c>
      <c r="X65" s="45"/>
      <c r="Y65" s="45">
        <v>0</v>
      </c>
      <c r="Z65" s="44"/>
      <c r="AA65" s="45">
        <v>0</v>
      </c>
      <c r="AB65" s="44"/>
      <c r="AC65" s="45">
        <f t="shared" si="2"/>
        <v>2469988</v>
      </c>
      <c r="AD65" s="45"/>
      <c r="AE65" s="48">
        <v>0</v>
      </c>
      <c r="AF65" s="48"/>
      <c r="AG65" s="45">
        <v>194313</v>
      </c>
      <c r="AH65" s="45"/>
      <c r="AI65" s="45">
        <v>574947</v>
      </c>
      <c r="AJ65" s="45"/>
      <c r="AK65" s="45">
        <v>0</v>
      </c>
      <c r="AL65" s="45"/>
      <c r="AM65" s="45">
        <f>+'Gen rev'!U65-'Gen exp'!AC65-AG65+'Gen rev'!W65+AI65+AK65-'Gen Bal'!S65-'Gen exp'!AE65</f>
        <v>0</v>
      </c>
      <c r="AN65" s="44"/>
      <c r="AO65" s="44"/>
      <c r="AP65" s="44"/>
      <c r="AQ65" s="44"/>
    </row>
    <row r="66" spans="1:45" s="46" customFormat="1" ht="12.75" customHeight="1">
      <c r="A66" s="28" t="s">
        <v>85</v>
      </c>
      <c r="B66" s="49"/>
      <c r="C66" s="28" t="s">
        <v>85</v>
      </c>
      <c r="D66" s="49"/>
      <c r="E66" s="45">
        <v>2357843</v>
      </c>
      <c r="F66" s="45"/>
      <c r="G66" s="45">
        <v>4844303</v>
      </c>
      <c r="H66" s="45"/>
      <c r="I66" s="45">
        <f>577079+75574</f>
        <v>652653</v>
      </c>
      <c r="J66" s="45"/>
      <c r="K66" s="45">
        <v>256613</v>
      </c>
      <c r="L66" s="45"/>
      <c r="M66" s="45">
        <v>0</v>
      </c>
      <c r="N66" s="45"/>
      <c r="O66" s="45">
        <v>744411</v>
      </c>
      <c r="P66" s="45"/>
      <c r="Q66" s="45">
        <v>0</v>
      </c>
      <c r="R66" s="45"/>
      <c r="S66" s="45">
        <v>0</v>
      </c>
      <c r="T66" s="45"/>
      <c r="U66" s="45">
        <v>0</v>
      </c>
      <c r="V66" s="45"/>
      <c r="W66" s="45">
        <v>4400</v>
      </c>
      <c r="X66" s="45"/>
      <c r="Y66" s="45">
        <v>1139</v>
      </c>
      <c r="Z66" s="44"/>
      <c r="AA66" s="45">
        <v>0</v>
      </c>
      <c r="AB66" s="44"/>
      <c r="AC66" s="45">
        <f t="shared" si="0"/>
        <v>8861362</v>
      </c>
      <c r="AD66" s="45"/>
      <c r="AE66" s="48">
        <v>0</v>
      </c>
      <c r="AF66" s="48"/>
      <c r="AG66" s="45">
        <v>1108237</v>
      </c>
      <c r="AH66" s="45"/>
      <c r="AI66" s="45">
        <v>4395917</v>
      </c>
      <c r="AJ66" s="45"/>
      <c r="AK66" s="45">
        <v>0</v>
      </c>
      <c r="AL66" s="45"/>
      <c r="AM66" s="45">
        <f>+'Gen rev'!U66-'Gen exp'!AC66-AG66+'Gen rev'!W66+AI66+AK66-'Gen Bal'!S66-'Gen exp'!AE66</f>
        <v>0</v>
      </c>
    </row>
    <row r="67" spans="1:45" s="46" customFormat="1" ht="12.75" customHeight="1">
      <c r="A67" s="28" t="s">
        <v>86</v>
      </c>
      <c r="B67" s="49"/>
      <c r="C67" s="28" t="s">
        <v>86</v>
      </c>
      <c r="D67" s="49"/>
      <c r="E67" s="45">
        <v>5218127</v>
      </c>
      <c r="F67" s="45"/>
      <c r="G67" s="45">
        <f>5765420+535105+555251</f>
        <v>6855776</v>
      </c>
      <c r="H67" s="45"/>
      <c r="I67" s="45">
        <v>114191</v>
      </c>
      <c r="J67" s="45"/>
      <c r="K67" s="45">
        <v>0</v>
      </c>
      <c r="L67" s="45"/>
      <c r="M67" s="45">
        <v>0</v>
      </c>
      <c r="N67" s="45"/>
      <c r="O67" s="45">
        <v>0</v>
      </c>
      <c r="P67" s="45"/>
      <c r="Q67" s="45">
        <v>0</v>
      </c>
      <c r="R67" s="45"/>
      <c r="S67" s="45">
        <v>0</v>
      </c>
      <c r="T67" s="45"/>
      <c r="U67" s="45">
        <v>0</v>
      </c>
      <c r="V67" s="45"/>
      <c r="W67" s="45">
        <v>0</v>
      </c>
      <c r="X67" s="45"/>
      <c r="Y67" s="45">
        <v>0</v>
      </c>
      <c r="Z67" s="44"/>
      <c r="AA67" s="45">
        <v>0</v>
      </c>
      <c r="AB67" s="44"/>
      <c r="AC67" s="45">
        <f t="shared" si="0"/>
        <v>12188094</v>
      </c>
      <c r="AD67" s="45"/>
      <c r="AE67" s="48">
        <v>0</v>
      </c>
      <c r="AF67" s="48"/>
      <c r="AG67" s="45">
        <v>3907600</v>
      </c>
      <c r="AH67" s="45"/>
      <c r="AI67" s="45">
        <v>4830409</v>
      </c>
      <c r="AJ67" s="45"/>
      <c r="AK67" s="45">
        <v>0</v>
      </c>
      <c r="AL67" s="45"/>
      <c r="AM67" s="45">
        <f>+'Gen rev'!U67-'Gen exp'!AC67-AG67+'Gen rev'!W67+AI67+AK67-'Gen Bal'!S67-'Gen exp'!AE67</f>
        <v>0</v>
      </c>
    </row>
    <row r="68" spans="1:45" s="46" customFormat="1" ht="12.75" customHeight="1">
      <c r="A68" s="64" t="s">
        <v>87</v>
      </c>
      <c r="C68" s="64" t="s">
        <v>88</v>
      </c>
      <c r="E68" s="45">
        <v>166389</v>
      </c>
      <c r="F68" s="45"/>
      <c r="G68" s="45">
        <v>2267072</v>
      </c>
      <c r="H68" s="45"/>
      <c r="I68" s="45">
        <v>0</v>
      </c>
      <c r="J68" s="45"/>
      <c r="K68" s="45">
        <v>158545</v>
      </c>
      <c r="L68" s="45"/>
      <c r="M68" s="45">
        <v>0</v>
      </c>
      <c r="N68" s="45"/>
      <c r="O68" s="45">
        <v>440232</v>
      </c>
      <c r="P68" s="45"/>
      <c r="Q68" s="45">
        <v>0</v>
      </c>
      <c r="R68" s="45"/>
      <c r="S68" s="45">
        <v>0</v>
      </c>
      <c r="T68" s="45"/>
      <c r="U68" s="45">
        <v>0</v>
      </c>
      <c r="V68" s="45"/>
      <c r="W68" s="45">
        <v>0</v>
      </c>
      <c r="X68" s="45"/>
      <c r="Y68" s="45">
        <v>0</v>
      </c>
      <c r="Z68" s="44"/>
      <c r="AA68" s="45">
        <v>0</v>
      </c>
      <c r="AB68" s="44"/>
      <c r="AC68" s="45">
        <f t="shared" si="0"/>
        <v>3032238</v>
      </c>
      <c r="AD68" s="45"/>
      <c r="AE68" s="48">
        <v>0</v>
      </c>
      <c r="AF68" s="48"/>
      <c r="AG68" s="45">
        <v>196479</v>
      </c>
      <c r="AH68" s="45"/>
      <c r="AI68" s="45">
        <v>780837</v>
      </c>
      <c r="AJ68" s="45"/>
      <c r="AK68" s="45">
        <v>0</v>
      </c>
      <c r="AL68" s="45"/>
      <c r="AM68" s="45">
        <f>+'Gen rev'!U68-'Gen exp'!AC68-AG68+'Gen rev'!W68+AI68+AK68-'Gen Bal'!S68-'Gen exp'!AE68</f>
        <v>0</v>
      </c>
    </row>
    <row r="69" spans="1:45" s="46" customFormat="1" ht="12.75" customHeight="1">
      <c r="A69" s="64"/>
      <c r="C69" s="64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4"/>
      <c r="AA69" s="45"/>
      <c r="AB69" s="44"/>
      <c r="AC69" s="45"/>
      <c r="AD69" s="45"/>
      <c r="AE69" s="48"/>
      <c r="AF69" s="48"/>
      <c r="AG69" s="48" t="s">
        <v>484</v>
      </c>
      <c r="AH69" s="45"/>
      <c r="AI69" s="45"/>
      <c r="AJ69" s="45"/>
      <c r="AK69" s="48"/>
      <c r="AL69" s="45"/>
      <c r="AM69" s="45"/>
    </row>
    <row r="70" spans="1:45" s="49" customFormat="1" ht="12.75" customHeight="1">
      <c r="A70" s="64" t="s">
        <v>394</v>
      </c>
      <c r="B70" s="46"/>
      <c r="C70" s="64" t="s">
        <v>89</v>
      </c>
      <c r="D70" s="46"/>
      <c r="E70" s="94">
        <v>1197585</v>
      </c>
      <c r="F70" s="94"/>
      <c r="G70" s="94">
        <v>3513805</v>
      </c>
      <c r="H70" s="94"/>
      <c r="I70" s="94">
        <v>92588</v>
      </c>
      <c r="J70" s="94"/>
      <c r="K70" s="94">
        <v>4901</v>
      </c>
      <c r="L70" s="94"/>
      <c r="M70" s="94">
        <v>0</v>
      </c>
      <c r="N70" s="94"/>
      <c r="O70" s="94">
        <v>872576</v>
      </c>
      <c r="P70" s="94"/>
      <c r="Q70" s="94">
        <v>463671</v>
      </c>
      <c r="R70" s="94"/>
      <c r="S70" s="94">
        <v>0</v>
      </c>
      <c r="T70" s="94"/>
      <c r="U70" s="94">
        <v>0</v>
      </c>
      <c r="V70" s="94"/>
      <c r="W70" s="94">
        <v>0</v>
      </c>
      <c r="X70" s="94"/>
      <c r="Y70" s="94">
        <v>0</v>
      </c>
      <c r="Z70" s="46"/>
      <c r="AA70" s="94">
        <v>0</v>
      </c>
      <c r="AB70" s="46"/>
      <c r="AC70" s="94">
        <f t="shared" si="0"/>
        <v>6145126</v>
      </c>
      <c r="AD70" s="94"/>
      <c r="AE70" s="68">
        <v>0</v>
      </c>
      <c r="AF70" s="68"/>
      <c r="AG70" s="94">
        <v>0</v>
      </c>
      <c r="AH70" s="94"/>
      <c r="AI70" s="94">
        <v>802007</v>
      </c>
      <c r="AJ70" s="94"/>
      <c r="AK70" s="94">
        <v>0</v>
      </c>
      <c r="AL70" s="94"/>
      <c r="AM70" s="94">
        <f>+'Gen rev'!U70-'Gen exp'!AC70-AG70+'Gen rev'!W70+AI70+AK70-'Gen Bal'!S70-'Gen exp'!AE70</f>
        <v>0</v>
      </c>
      <c r="AN70" s="46"/>
      <c r="AO70" s="46"/>
      <c r="AP70" s="44"/>
      <c r="AQ70" s="44"/>
    </row>
    <row r="71" spans="1:45" s="49" customFormat="1" ht="12.75" customHeight="1">
      <c r="A71" s="28" t="s">
        <v>90</v>
      </c>
      <c r="C71" s="28" t="s">
        <v>43</v>
      </c>
      <c r="E71" s="45">
        <v>21725662</v>
      </c>
      <c r="F71" s="45"/>
      <c r="G71" s="45">
        <v>352245</v>
      </c>
      <c r="H71" s="45"/>
      <c r="I71" s="45">
        <v>6585052</v>
      </c>
      <c r="J71" s="45"/>
      <c r="K71" s="45">
        <v>206607</v>
      </c>
      <c r="L71" s="45"/>
      <c r="M71" s="45">
        <v>0</v>
      </c>
      <c r="N71" s="45"/>
      <c r="O71" s="45">
        <v>5948878</v>
      </c>
      <c r="P71" s="45"/>
      <c r="Q71" s="45">
        <v>2883882</v>
      </c>
      <c r="R71" s="45"/>
      <c r="S71" s="45">
        <v>410509</v>
      </c>
      <c r="T71" s="45"/>
      <c r="U71" s="45">
        <v>0</v>
      </c>
      <c r="V71" s="45"/>
      <c r="W71" s="45">
        <v>0</v>
      </c>
      <c r="X71" s="45"/>
      <c r="Y71" s="45">
        <v>0</v>
      </c>
      <c r="Z71" s="44"/>
      <c r="AA71" s="45">
        <v>0</v>
      </c>
      <c r="AB71" s="44"/>
      <c r="AC71" s="45">
        <f t="shared" si="0"/>
        <v>38112835</v>
      </c>
      <c r="AD71" s="45"/>
      <c r="AE71" s="48">
        <v>0</v>
      </c>
      <c r="AF71" s="48"/>
      <c r="AG71" s="45">
        <v>18400000</v>
      </c>
      <c r="AH71" s="45"/>
      <c r="AI71" s="45">
        <v>30892310</v>
      </c>
      <c r="AJ71" s="45"/>
      <c r="AK71" s="45">
        <v>0</v>
      </c>
      <c r="AL71" s="45"/>
      <c r="AM71" s="45">
        <f>+'Gen rev'!U71-'Gen exp'!AC71-AG71+'Gen rev'!W71+AI71+AK71-'Gen Bal'!S71-'Gen exp'!AE71</f>
        <v>0</v>
      </c>
      <c r="AN71" s="44"/>
      <c r="AO71" s="44"/>
      <c r="AP71" s="44"/>
      <c r="AQ71" s="44"/>
    </row>
    <row r="72" spans="1:45" s="49" customFormat="1" ht="12.75" customHeight="1">
      <c r="A72" s="28" t="s">
        <v>93</v>
      </c>
      <c r="C72" s="28" t="s">
        <v>94</v>
      </c>
      <c r="E72" s="45">
        <v>1288286</v>
      </c>
      <c r="F72" s="45"/>
      <c r="G72" s="45">
        <v>0</v>
      </c>
      <c r="H72" s="45"/>
      <c r="I72" s="45">
        <v>95157</v>
      </c>
      <c r="J72" s="45"/>
      <c r="K72" s="45">
        <v>138410</v>
      </c>
      <c r="L72" s="45"/>
      <c r="M72" s="45">
        <v>0</v>
      </c>
      <c r="N72" s="45"/>
      <c r="O72" s="45">
        <v>113539</v>
      </c>
      <c r="P72" s="45"/>
      <c r="Q72" s="45">
        <v>0</v>
      </c>
      <c r="R72" s="45"/>
      <c r="S72" s="45">
        <v>0</v>
      </c>
      <c r="T72" s="45"/>
      <c r="U72" s="45">
        <v>0</v>
      </c>
      <c r="V72" s="45"/>
      <c r="W72" s="45">
        <v>182859</v>
      </c>
      <c r="X72" s="45"/>
      <c r="Y72" s="45">
        <v>6678</v>
      </c>
      <c r="Z72" s="44"/>
      <c r="AA72" s="45">
        <v>0</v>
      </c>
      <c r="AB72" s="44"/>
      <c r="AC72" s="45">
        <f t="shared" si="0"/>
        <v>1824929</v>
      </c>
      <c r="AD72" s="45"/>
      <c r="AE72" s="48">
        <v>0</v>
      </c>
      <c r="AF72" s="48"/>
      <c r="AG72" s="45">
        <v>2504029</v>
      </c>
      <c r="AH72" s="45"/>
      <c r="AI72" s="45">
        <v>388324</v>
      </c>
      <c r="AJ72" s="45"/>
      <c r="AK72" s="45">
        <v>0</v>
      </c>
      <c r="AL72" s="45"/>
      <c r="AM72" s="45">
        <f>+'Gen rev'!U72-'Gen exp'!AC72-AG72+'Gen rev'!W72+AI72+AK72-'Gen Bal'!S72-'Gen exp'!AE72</f>
        <v>0</v>
      </c>
      <c r="AN72" s="44"/>
      <c r="AO72" s="44"/>
      <c r="AP72" s="44"/>
      <c r="AQ72" s="44"/>
    </row>
    <row r="73" spans="1:45" s="49" customFormat="1" ht="12.75" customHeight="1">
      <c r="A73" s="28" t="s">
        <v>488</v>
      </c>
      <c r="C73" s="28" t="s">
        <v>27</v>
      </c>
      <c r="E73" s="45">
        <v>6463945</v>
      </c>
      <c r="F73" s="45"/>
      <c r="G73" s="45">
        <v>9650866</v>
      </c>
      <c r="H73" s="45"/>
      <c r="I73" s="45">
        <v>225607</v>
      </c>
      <c r="J73" s="45"/>
      <c r="K73" s="45">
        <v>0</v>
      </c>
      <c r="L73" s="45"/>
      <c r="M73" s="45">
        <v>647803</v>
      </c>
      <c r="N73" s="45"/>
      <c r="O73" s="45">
        <v>228058</v>
      </c>
      <c r="P73" s="45"/>
      <c r="Q73" s="45">
        <v>1008008</v>
      </c>
      <c r="R73" s="45"/>
      <c r="S73" s="45">
        <v>0</v>
      </c>
      <c r="T73" s="45"/>
      <c r="U73" s="45">
        <v>0</v>
      </c>
      <c r="V73" s="45"/>
      <c r="W73" s="45">
        <v>19508</v>
      </c>
      <c r="X73" s="45"/>
      <c r="Y73" s="45">
        <v>64287</v>
      </c>
      <c r="Z73" s="44"/>
      <c r="AA73" s="45">
        <v>0</v>
      </c>
      <c r="AB73" s="44"/>
      <c r="AC73" s="45">
        <f>SUM(E73:AA73)</f>
        <v>18308082</v>
      </c>
      <c r="AD73" s="45"/>
      <c r="AE73" s="48">
        <v>0</v>
      </c>
      <c r="AF73" s="48"/>
      <c r="AG73" s="45">
        <v>1445131</v>
      </c>
      <c r="AH73" s="45"/>
      <c r="AI73" s="45">
        <v>1415992</v>
      </c>
      <c r="AJ73" s="45"/>
      <c r="AK73" s="45">
        <v>0</v>
      </c>
      <c r="AL73" s="45"/>
      <c r="AM73" s="45">
        <f>+'Gen rev'!U73-'Gen exp'!AC73-AG73+'Gen rev'!W73+AI73+AK73-'Gen Bal'!S73-'Gen exp'!AE73</f>
        <v>0</v>
      </c>
      <c r="AN73" s="44"/>
      <c r="AO73" s="44"/>
      <c r="AP73" s="44"/>
      <c r="AQ73" s="44"/>
    </row>
    <row r="74" spans="1:45" s="46" customFormat="1" ht="12.75" customHeight="1">
      <c r="A74" s="64" t="s">
        <v>95</v>
      </c>
      <c r="C74" s="64" t="s">
        <v>94</v>
      </c>
      <c r="E74" s="45">
        <v>538645</v>
      </c>
      <c r="F74" s="45"/>
      <c r="G74" s="45">
        <v>935420</v>
      </c>
      <c r="H74" s="45"/>
      <c r="I74" s="45">
        <v>0</v>
      </c>
      <c r="J74" s="45"/>
      <c r="K74" s="45">
        <v>44628</v>
      </c>
      <c r="L74" s="45"/>
      <c r="M74" s="45">
        <v>0</v>
      </c>
      <c r="N74" s="45"/>
      <c r="O74" s="45">
        <v>0</v>
      </c>
      <c r="P74" s="45"/>
      <c r="Q74" s="45">
        <v>0</v>
      </c>
      <c r="R74" s="45"/>
      <c r="S74" s="45">
        <v>0</v>
      </c>
      <c r="T74" s="45"/>
      <c r="U74" s="45">
        <v>0</v>
      </c>
      <c r="V74" s="45"/>
      <c r="W74" s="45">
        <v>0</v>
      </c>
      <c r="X74" s="45"/>
      <c r="Y74" s="45">
        <v>0</v>
      </c>
      <c r="Z74" s="44"/>
      <c r="AA74" s="45">
        <v>0</v>
      </c>
      <c r="AB74" s="44"/>
      <c r="AC74" s="45">
        <f t="shared" ref="AC74:AC80" si="3">SUM(E74:AA74)</f>
        <v>1518693</v>
      </c>
      <c r="AD74" s="45"/>
      <c r="AE74" s="48">
        <v>0</v>
      </c>
      <c r="AF74" s="48"/>
      <c r="AG74" s="45">
        <v>105797</v>
      </c>
      <c r="AH74" s="45"/>
      <c r="AI74" s="45">
        <v>-662291</v>
      </c>
      <c r="AJ74" s="45"/>
      <c r="AK74" s="45">
        <v>0</v>
      </c>
      <c r="AL74" s="45"/>
      <c r="AM74" s="45">
        <f>+'Gen rev'!U74-'Gen exp'!AC74-AG74+'Gen rev'!W74+AI74+AK74-'Gen Bal'!S74-'Gen exp'!AE74</f>
        <v>0</v>
      </c>
    </row>
    <row r="75" spans="1:45" s="49" customFormat="1" ht="12.75" customHeight="1">
      <c r="A75" s="28" t="s">
        <v>91</v>
      </c>
      <c r="C75" s="28" t="s">
        <v>92</v>
      </c>
      <c r="E75" s="45">
        <v>3668475</v>
      </c>
      <c r="F75" s="45"/>
      <c r="G75" s="45">
        <v>6921342</v>
      </c>
      <c r="H75" s="45"/>
      <c r="I75" s="45">
        <v>311027</v>
      </c>
      <c r="J75" s="45"/>
      <c r="K75" s="45">
        <v>194637</v>
      </c>
      <c r="L75" s="45"/>
      <c r="M75" s="45">
        <v>258328</v>
      </c>
      <c r="N75" s="45"/>
      <c r="O75" s="45">
        <v>495901</v>
      </c>
      <c r="P75" s="45"/>
      <c r="Q75" s="45">
        <v>973305</v>
      </c>
      <c r="R75" s="45"/>
      <c r="S75" s="45">
        <v>0</v>
      </c>
      <c r="T75" s="45"/>
      <c r="U75" s="45">
        <v>0</v>
      </c>
      <c r="V75" s="45"/>
      <c r="W75" s="45">
        <v>5993</v>
      </c>
      <c r="X75" s="45"/>
      <c r="Y75" s="45">
        <v>332</v>
      </c>
      <c r="Z75" s="44"/>
      <c r="AA75" s="45">
        <v>0</v>
      </c>
      <c r="AB75" s="44"/>
      <c r="AC75" s="45">
        <f t="shared" si="3"/>
        <v>12829340</v>
      </c>
      <c r="AD75" s="45"/>
      <c r="AE75" s="48">
        <v>0</v>
      </c>
      <c r="AF75" s="48"/>
      <c r="AG75" s="45">
        <v>1775822</v>
      </c>
      <c r="AH75" s="45"/>
      <c r="AI75" s="45">
        <v>4072853</v>
      </c>
      <c r="AJ75" s="45"/>
      <c r="AK75" s="45">
        <v>0</v>
      </c>
      <c r="AL75" s="45"/>
      <c r="AM75" s="45">
        <f>+'Gen rev'!U75-'Gen exp'!AC75-AG75+'Gen rev'!W75+AI75+AK75-'Gen Bal'!S75-'Gen exp'!AE75</f>
        <v>0</v>
      </c>
      <c r="AN75" s="44"/>
      <c r="AO75" s="44"/>
      <c r="AP75" s="44"/>
      <c r="AQ75" s="44"/>
    </row>
    <row r="76" spans="1:45" s="49" customFormat="1" ht="12.75" customHeight="1">
      <c r="A76" s="28" t="s">
        <v>96</v>
      </c>
      <c r="C76" s="28" t="s">
        <v>97</v>
      </c>
      <c r="E76" s="45">
        <v>1390171</v>
      </c>
      <c r="F76" s="45"/>
      <c r="G76" s="45">
        <v>1179298</v>
      </c>
      <c r="H76" s="45"/>
      <c r="I76" s="45">
        <v>208361</v>
      </c>
      <c r="J76" s="45"/>
      <c r="K76" s="45">
        <v>139587</v>
      </c>
      <c r="L76" s="45"/>
      <c r="M76" s="45">
        <v>239431</v>
      </c>
      <c r="N76" s="45"/>
      <c r="O76" s="45">
        <v>0</v>
      </c>
      <c r="P76" s="45"/>
      <c r="Q76" s="45">
        <v>0</v>
      </c>
      <c r="R76" s="45"/>
      <c r="S76" s="45">
        <v>26285</v>
      </c>
      <c r="T76" s="45"/>
      <c r="U76" s="45">
        <v>0</v>
      </c>
      <c r="V76" s="45"/>
      <c r="W76" s="45">
        <v>0</v>
      </c>
      <c r="X76" s="45"/>
      <c r="Y76" s="45">
        <v>0</v>
      </c>
      <c r="Z76" s="44"/>
      <c r="AA76" s="45">
        <v>0</v>
      </c>
      <c r="AB76" s="44"/>
      <c r="AC76" s="45">
        <f t="shared" si="3"/>
        <v>3183133</v>
      </c>
      <c r="AD76" s="45"/>
      <c r="AE76" s="48">
        <v>0</v>
      </c>
      <c r="AF76" s="48"/>
      <c r="AG76" s="45">
        <v>123829</v>
      </c>
      <c r="AH76" s="45"/>
      <c r="AI76" s="45">
        <v>2553503</v>
      </c>
      <c r="AJ76" s="45"/>
      <c r="AK76" s="45">
        <v>0</v>
      </c>
      <c r="AL76" s="45"/>
      <c r="AM76" s="45">
        <f>+'Gen rev'!U76-'Gen exp'!AC76-AG76+'Gen rev'!W76+AI76+AK76-'Gen Bal'!S76-'Gen exp'!AE76</f>
        <v>0</v>
      </c>
      <c r="AN76" s="44"/>
      <c r="AO76" s="44"/>
      <c r="AP76" s="44"/>
      <c r="AQ76" s="44"/>
    </row>
    <row r="77" spans="1:45" s="49" customFormat="1" ht="12.75" customHeight="1">
      <c r="A77" s="28" t="s">
        <v>98</v>
      </c>
      <c r="C77" s="28" t="s">
        <v>17</v>
      </c>
      <c r="E77" s="45">
        <v>7257698</v>
      </c>
      <c r="F77" s="45"/>
      <c r="G77" s="45">
        <v>17860651</v>
      </c>
      <c r="H77" s="45"/>
      <c r="I77" s="45">
        <v>1026902</v>
      </c>
      <c r="J77" s="45"/>
      <c r="K77" s="45">
        <v>1842858</v>
      </c>
      <c r="L77" s="45"/>
      <c r="M77" s="45">
        <v>0</v>
      </c>
      <c r="N77" s="45"/>
      <c r="O77" s="45">
        <v>2310920</v>
      </c>
      <c r="P77" s="45"/>
      <c r="Q77" s="45">
        <v>0</v>
      </c>
      <c r="R77" s="45"/>
      <c r="S77" s="45">
        <v>703862</v>
      </c>
      <c r="T77" s="45"/>
      <c r="U77" s="45">
        <v>0</v>
      </c>
      <c r="V77" s="45"/>
      <c r="W77" s="45">
        <v>0</v>
      </c>
      <c r="X77" s="45"/>
      <c r="Y77" s="45">
        <v>0</v>
      </c>
      <c r="Z77" s="44"/>
      <c r="AA77" s="45">
        <v>0</v>
      </c>
      <c r="AB77" s="44"/>
      <c r="AC77" s="45">
        <f t="shared" si="3"/>
        <v>31002891</v>
      </c>
      <c r="AD77" s="45"/>
      <c r="AE77" s="48">
        <v>0</v>
      </c>
      <c r="AF77" s="48"/>
      <c r="AG77" s="45">
        <v>82223</v>
      </c>
      <c r="AH77" s="45"/>
      <c r="AI77" s="45">
        <v>5379873</v>
      </c>
      <c r="AJ77" s="45"/>
      <c r="AK77" s="45">
        <v>0</v>
      </c>
      <c r="AL77" s="45"/>
      <c r="AM77" s="45">
        <f>+'Gen rev'!U77-'Gen exp'!AC77-AG77+'Gen rev'!W77+AI77+AK77-'Gen Bal'!S77-'Gen exp'!AE77</f>
        <v>0</v>
      </c>
      <c r="AN77" s="44"/>
      <c r="AO77" s="44"/>
      <c r="AP77" s="44"/>
      <c r="AQ77" s="44"/>
    </row>
    <row r="78" spans="1:45" s="49" customFormat="1" ht="12.75" customHeight="1">
      <c r="A78" s="28" t="s">
        <v>99</v>
      </c>
      <c r="C78" s="28" t="s">
        <v>66</v>
      </c>
      <c r="E78" s="45">
        <v>1521940</v>
      </c>
      <c r="F78" s="45"/>
      <c r="G78" s="45">
        <v>0</v>
      </c>
      <c r="H78" s="45"/>
      <c r="I78" s="45">
        <v>443845</v>
      </c>
      <c r="J78" s="45"/>
      <c r="K78" s="45">
        <v>7790</v>
      </c>
      <c r="L78" s="45"/>
      <c r="M78" s="45">
        <v>0</v>
      </c>
      <c r="N78" s="45"/>
      <c r="O78" s="45">
        <v>142164</v>
      </c>
      <c r="P78" s="45"/>
      <c r="Q78" s="45">
        <v>0</v>
      </c>
      <c r="R78" s="45"/>
      <c r="S78" s="45">
        <v>0</v>
      </c>
      <c r="T78" s="45"/>
      <c r="U78" s="45">
        <v>0</v>
      </c>
      <c r="V78" s="45"/>
      <c r="W78" s="45">
        <v>0</v>
      </c>
      <c r="X78" s="45"/>
      <c r="Y78" s="45">
        <v>0</v>
      </c>
      <c r="Z78" s="44"/>
      <c r="AA78" s="45">
        <v>0</v>
      </c>
      <c r="AB78" s="44"/>
      <c r="AC78" s="45">
        <f t="shared" si="3"/>
        <v>2115739</v>
      </c>
      <c r="AD78" s="45"/>
      <c r="AE78" s="48">
        <v>0</v>
      </c>
      <c r="AF78" s="48"/>
      <c r="AG78" s="45">
        <v>5394105</v>
      </c>
      <c r="AH78" s="45"/>
      <c r="AI78" s="45">
        <v>3047079</v>
      </c>
      <c r="AJ78" s="45"/>
      <c r="AK78" s="45">
        <v>0</v>
      </c>
      <c r="AL78" s="45"/>
      <c r="AM78" s="45">
        <f>+'Gen rev'!U78-'Gen exp'!AC78-AG78+'Gen rev'!W78+AI78+AK78-'Gen Bal'!S78-'Gen exp'!AE78</f>
        <v>0</v>
      </c>
      <c r="AN78" s="44"/>
      <c r="AO78" s="44"/>
      <c r="AP78" s="44"/>
      <c r="AQ78" s="44"/>
    </row>
    <row r="79" spans="1:45" s="49" customFormat="1" ht="12.75" customHeight="1">
      <c r="A79" s="28" t="s">
        <v>100</v>
      </c>
      <c r="C79" s="28" t="s">
        <v>27</v>
      </c>
      <c r="E79" s="45">
        <v>12688462</v>
      </c>
      <c r="F79" s="45"/>
      <c r="G79" s="45">
        <v>22218445</v>
      </c>
      <c r="H79" s="45"/>
      <c r="I79" s="45">
        <v>1473134</v>
      </c>
      <c r="J79" s="45"/>
      <c r="K79" s="45">
        <v>260044</v>
      </c>
      <c r="L79" s="45"/>
      <c r="M79" s="45">
        <v>0</v>
      </c>
      <c r="N79" s="45"/>
      <c r="O79" s="45">
        <v>505009</v>
      </c>
      <c r="P79" s="45"/>
      <c r="Q79" s="45">
        <v>2506683</v>
      </c>
      <c r="R79" s="45"/>
      <c r="S79" s="45">
        <v>0</v>
      </c>
      <c r="T79" s="45"/>
      <c r="U79" s="45">
        <v>0</v>
      </c>
      <c r="V79" s="45"/>
      <c r="W79" s="45">
        <v>204802</v>
      </c>
      <c r="X79" s="45"/>
      <c r="Y79" s="45">
        <v>110550</v>
      </c>
      <c r="Z79" s="44"/>
      <c r="AA79" s="45">
        <v>0</v>
      </c>
      <c r="AB79" s="44"/>
      <c r="AC79" s="45">
        <f t="shared" si="3"/>
        <v>39967129</v>
      </c>
      <c r="AD79" s="45"/>
      <c r="AE79" s="48">
        <v>0</v>
      </c>
      <c r="AF79" s="48"/>
      <c r="AG79" s="45">
        <v>528000</v>
      </c>
      <c r="AH79" s="45"/>
      <c r="AI79" s="45">
        <v>9880082</v>
      </c>
      <c r="AJ79" s="45"/>
      <c r="AK79" s="45">
        <v>0</v>
      </c>
      <c r="AL79" s="45"/>
      <c r="AM79" s="45">
        <f>+'Gen rev'!U79-'Gen exp'!AC79-AG79+'Gen rev'!W79+AI79+AK79-'Gen Bal'!S79-'Gen exp'!AE79</f>
        <v>0</v>
      </c>
      <c r="AN79" s="44"/>
      <c r="AO79" s="44"/>
      <c r="AP79" s="44"/>
      <c r="AQ79" s="44"/>
    </row>
    <row r="80" spans="1:45" s="49" customFormat="1" ht="12.75" customHeight="1">
      <c r="A80" s="28" t="s">
        <v>101</v>
      </c>
      <c r="C80" s="28" t="s">
        <v>30</v>
      </c>
      <c r="E80" s="45">
        <v>6211079</v>
      </c>
      <c r="F80" s="45"/>
      <c r="G80" s="45">
        <v>5652175</v>
      </c>
      <c r="H80" s="45"/>
      <c r="I80" s="45">
        <v>659515</v>
      </c>
      <c r="J80" s="45"/>
      <c r="K80" s="45">
        <v>0</v>
      </c>
      <c r="L80" s="45"/>
      <c r="M80" s="45">
        <v>0</v>
      </c>
      <c r="N80" s="45"/>
      <c r="O80" s="45">
        <v>202120</v>
      </c>
      <c r="P80" s="45"/>
      <c r="Q80" s="45">
        <v>0</v>
      </c>
      <c r="R80" s="45"/>
      <c r="S80" s="45">
        <v>303937</v>
      </c>
      <c r="T80" s="45"/>
      <c r="U80" s="45">
        <v>0</v>
      </c>
      <c r="V80" s="45"/>
      <c r="W80" s="45">
        <v>4842</v>
      </c>
      <c r="X80" s="45"/>
      <c r="Y80" s="45">
        <v>2042</v>
      </c>
      <c r="Z80" s="44"/>
      <c r="AA80" s="45">
        <v>0</v>
      </c>
      <c r="AB80" s="44"/>
      <c r="AC80" s="45">
        <f t="shared" si="3"/>
        <v>13035710</v>
      </c>
      <c r="AD80" s="45"/>
      <c r="AE80" s="48">
        <v>0</v>
      </c>
      <c r="AF80" s="48"/>
      <c r="AG80" s="45">
        <v>4623389</v>
      </c>
      <c r="AH80" s="45"/>
      <c r="AI80" s="45">
        <v>5711404</v>
      </c>
      <c r="AJ80" s="45"/>
      <c r="AK80" s="45">
        <v>0</v>
      </c>
      <c r="AL80" s="45"/>
      <c r="AM80" s="45">
        <f>+'Gen rev'!U80-'Gen exp'!AC80-AG80+'Gen rev'!W80+AI80+AK80-'Gen Bal'!S80-'Gen exp'!AE80</f>
        <v>0</v>
      </c>
      <c r="AN80" s="45"/>
      <c r="AO80" s="45"/>
      <c r="AP80" s="45"/>
      <c r="AQ80" s="45"/>
      <c r="AR80" s="52"/>
      <c r="AS80" s="50"/>
    </row>
    <row r="81" spans="1:45" s="49" customFormat="1" ht="12.75" customHeight="1">
      <c r="A81" s="28" t="s">
        <v>102</v>
      </c>
      <c r="C81" s="28" t="s">
        <v>103</v>
      </c>
      <c r="E81" s="45">
        <v>6996427</v>
      </c>
      <c r="F81" s="45"/>
      <c r="G81" s="45">
        <v>9638649</v>
      </c>
      <c r="H81" s="45"/>
      <c r="I81" s="45">
        <v>1385328</v>
      </c>
      <c r="J81" s="45"/>
      <c r="K81" s="45">
        <v>23457</v>
      </c>
      <c r="L81" s="45"/>
      <c r="M81" s="45">
        <v>0</v>
      </c>
      <c r="N81" s="45"/>
      <c r="O81" s="45">
        <v>2449825</v>
      </c>
      <c r="P81" s="45"/>
      <c r="Q81" s="45">
        <v>453750</v>
      </c>
      <c r="R81" s="45"/>
      <c r="S81" s="45">
        <v>338590</v>
      </c>
      <c r="T81" s="45"/>
      <c r="U81" s="45">
        <v>0</v>
      </c>
      <c r="V81" s="45"/>
      <c r="W81" s="45">
        <v>0</v>
      </c>
      <c r="X81" s="45"/>
      <c r="Y81" s="45">
        <v>0</v>
      </c>
      <c r="Z81" s="44"/>
      <c r="AA81" s="45">
        <v>0</v>
      </c>
      <c r="AB81" s="44"/>
      <c r="AC81" s="45">
        <f t="shared" ref="AC81:AC146" si="4">SUM(E81:AA81)</f>
        <v>21286026</v>
      </c>
      <c r="AD81" s="45"/>
      <c r="AE81" s="48">
        <v>0</v>
      </c>
      <c r="AF81" s="48"/>
      <c r="AG81" s="45">
        <v>3835000</v>
      </c>
      <c r="AH81" s="45"/>
      <c r="AI81" s="45">
        <v>13692773</v>
      </c>
      <c r="AJ81" s="45"/>
      <c r="AK81" s="45">
        <v>0</v>
      </c>
      <c r="AL81" s="45"/>
      <c r="AM81" s="45">
        <f>+'Gen rev'!U81-'Gen exp'!AC81-AG81+'Gen rev'!W81+AI81+AK81-'Gen Bal'!S81-'Gen exp'!AE81</f>
        <v>0</v>
      </c>
      <c r="AN81" s="45"/>
      <c r="AO81" s="45"/>
      <c r="AP81" s="45"/>
      <c r="AQ81" s="45"/>
      <c r="AR81" s="52"/>
      <c r="AS81" s="50"/>
    </row>
    <row r="82" spans="1:45" s="49" customFormat="1" ht="12.75" customHeight="1">
      <c r="A82" s="28" t="s">
        <v>104</v>
      </c>
      <c r="C82" s="28" t="s">
        <v>13</v>
      </c>
      <c r="E82" s="45">
        <v>2725401</v>
      </c>
      <c r="F82" s="45"/>
      <c r="G82" s="45">
        <v>5510246</v>
      </c>
      <c r="H82" s="45"/>
      <c r="I82" s="45">
        <v>61304</v>
      </c>
      <c r="J82" s="45"/>
      <c r="K82" s="45">
        <v>113303</v>
      </c>
      <c r="L82" s="45"/>
      <c r="M82" s="45">
        <v>1836374</v>
      </c>
      <c r="N82" s="45"/>
      <c r="O82" s="45">
        <v>35613</v>
      </c>
      <c r="P82" s="45"/>
      <c r="Q82" s="45">
        <v>197103</v>
      </c>
      <c r="R82" s="45"/>
      <c r="S82" s="45">
        <v>0</v>
      </c>
      <c r="T82" s="45"/>
      <c r="U82" s="45">
        <v>0</v>
      </c>
      <c r="V82" s="45"/>
      <c r="W82" s="45">
        <v>0</v>
      </c>
      <c r="X82" s="45"/>
      <c r="Y82" s="45">
        <v>0</v>
      </c>
      <c r="Z82" s="44"/>
      <c r="AA82" s="45">
        <v>0</v>
      </c>
      <c r="AB82" s="44"/>
      <c r="AC82" s="45">
        <f t="shared" si="4"/>
        <v>10479344</v>
      </c>
      <c r="AD82" s="45"/>
      <c r="AE82" s="48">
        <v>0</v>
      </c>
      <c r="AF82" s="48"/>
      <c r="AG82" s="45">
        <v>301340</v>
      </c>
      <c r="AH82" s="45"/>
      <c r="AI82" s="45">
        <v>6717600</v>
      </c>
      <c r="AJ82" s="45"/>
      <c r="AK82" s="45">
        <v>77826</v>
      </c>
      <c r="AL82" s="45"/>
      <c r="AM82" s="45">
        <f>+'Gen rev'!U82-'Gen exp'!AC82-AG82+'Gen rev'!W82+AI82+AK82-'Gen Bal'!S82-'Gen exp'!AE82</f>
        <v>0</v>
      </c>
      <c r="AN82" s="45"/>
      <c r="AO82" s="45"/>
      <c r="AP82" s="45"/>
      <c r="AQ82" s="45"/>
      <c r="AR82" s="52"/>
      <c r="AS82" s="50"/>
    </row>
    <row r="83" spans="1:45" s="49" customFormat="1" ht="12.75" customHeight="1">
      <c r="A83" s="28" t="s">
        <v>105</v>
      </c>
      <c r="C83" s="28" t="s">
        <v>27</v>
      </c>
      <c r="E83" s="45">
        <v>1601797</v>
      </c>
      <c r="F83" s="45"/>
      <c r="G83" s="45">
        <v>4990635</v>
      </c>
      <c r="H83" s="45"/>
      <c r="I83" s="45">
        <v>292079</v>
      </c>
      <c r="J83" s="45"/>
      <c r="K83" s="45">
        <v>2785</v>
      </c>
      <c r="L83" s="45"/>
      <c r="M83" s="45">
        <v>688294</v>
      </c>
      <c r="N83" s="45"/>
      <c r="O83" s="45">
        <v>979615</v>
      </c>
      <c r="P83" s="45"/>
      <c r="Q83" s="45">
        <v>1104354</v>
      </c>
      <c r="R83" s="45"/>
      <c r="S83" s="45">
        <v>0</v>
      </c>
      <c r="T83" s="45"/>
      <c r="U83" s="45">
        <v>0</v>
      </c>
      <c r="V83" s="45"/>
      <c r="W83" s="45">
        <v>28635</v>
      </c>
      <c r="X83" s="45"/>
      <c r="Y83" s="45">
        <v>1176</v>
      </c>
      <c r="Z83" s="44"/>
      <c r="AA83" s="45">
        <v>0</v>
      </c>
      <c r="AB83" s="44"/>
      <c r="AC83" s="45">
        <f t="shared" si="4"/>
        <v>9689370</v>
      </c>
      <c r="AD83" s="45"/>
      <c r="AE83" s="48">
        <v>0</v>
      </c>
      <c r="AF83" s="48"/>
      <c r="AG83" s="45">
        <v>598200</v>
      </c>
      <c r="AH83" s="45"/>
      <c r="AI83" s="45">
        <v>2279407</v>
      </c>
      <c r="AJ83" s="45"/>
      <c r="AK83" s="45">
        <v>0</v>
      </c>
      <c r="AL83" s="45"/>
      <c r="AM83" s="45">
        <f>+'Gen rev'!U83-'Gen exp'!AC83-AG83+'Gen rev'!W83+AI83+AK83-'Gen Bal'!S83-'Gen exp'!AE83</f>
        <v>0</v>
      </c>
      <c r="AN83" s="44"/>
      <c r="AO83" s="44"/>
      <c r="AP83" s="44"/>
      <c r="AQ83" s="44"/>
    </row>
    <row r="84" spans="1:45" s="49" customFormat="1" ht="12.75" customHeight="1">
      <c r="A84" s="28" t="s">
        <v>106</v>
      </c>
      <c r="C84" s="28" t="s">
        <v>107</v>
      </c>
      <c r="E84" s="45">
        <v>6320296</v>
      </c>
      <c r="F84" s="45"/>
      <c r="G84" s="45">
        <v>14453818</v>
      </c>
      <c r="H84" s="45"/>
      <c r="I84" s="45">
        <v>0</v>
      </c>
      <c r="J84" s="45"/>
      <c r="K84" s="45">
        <v>1622117</v>
      </c>
      <c r="L84" s="45"/>
      <c r="M84" s="45">
        <v>0</v>
      </c>
      <c r="N84" s="45"/>
      <c r="O84" s="45">
        <v>1871879</v>
      </c>
      <c r="P84" s="45"/>
      <c r="Q84" s="45">
        <v>0</v>
      </c>
      <c r="R84" s="45"/>
      <c r="S84" s="45">
        <v>4096135</v>
      </c>
      <c r="T84" s="45"/>
      <c r="U84" s="45">
        <v>0</v>
      </c>
      <c r="V84" s="45"/>
      <c r="W84" s="45">
        <v>0</v>
      </c>
      <c r="X84" s="45"/>
      <c r="Y84" s="45">
        <f>135813+59470+5651</f>
        <v>200934</v>
      </c>
      <c r="Z84" s="44"/>
      <c r="AA84" s="45">
        <v>0</v>
      </c>
      <c r="AB84" s="44"/>
      <c r="AC84" s="45">
        <f t="shared" si="4"/>
        <v>28565179</v>
      </c>
      <c r="AD84" s="45"/>
      <c r="AE84" s="48">
        <v>0</v>
      </c>
      <c r="AF84" s="48"/>
      <c r="AG84" s="45">
        <f>22530+1931440</f>
        <v>1953970</v>
      </c>
      <c r="AH84" s="45"/>
      <c r="AI84" s="45">
        <v>6034547</v>
      </c>
      <c r="AJ84" s="45"/>
      <c r="AK84" s="45">
        <v>-2030</v>
      </c>
      <c r="AL84" s="45"/>
      <c r="AM84" s="45">
        <f>+'Gen rev'!U84-'Gen exp'!AC84-AG84+'Gen rev'!W84+AI84+AK84-'Gen Bal'!S84-'Gen exp'!AE84</f>
        <v>0</v>
      </c>
      <c r="AN84" s="48"/>
      <c r="AO84" s="48"/>
      <c r="AP84" s="48"/>
      <c r="AQ84" s="48"/>
      <c r="AR84" s="52"/>
      <c r="AS84" s="50"/>
    </row>
    <row r="85" spans="1:45" s="49" customFormat="1" ht="12.75" customHeight="1">
      <c r="A85" s="28" t="s">
        <v>108</v>
      </c>
      <c r="C85" s="28" t="s">
        <v>45</v>
      </c>
      <c r="E85" s="45">
        <v>2644514</v>
      </c>
      <c r="F85" s="45"/>
      <c r="G85" s="45">
        <v>5226859</v>
      </c>
      <c r="H85" s="45"/>
      <c r="I85" s="45">
        <v>641676</v>
      </c>
      <c r="J85" s="45"/>
      <c r="K85" s="45">
        <v>21775</v>
      </c>
      <c r="L85" s="45"/>
      <c r="M85" s="45">
        <v>0</v>
      </c>
      <c r="N85" s="45"/>
      <c r="O85" s="45">
        <v>374455</v>
      </c>
      <c r="P85" s="45"/>
      <c r="Q85" s="45">
        <v>1349761</v>
      </c>
      <c r="R85" s="45"/>
      <c r="S85" s="45">
        <v>0</v>
      </c>
      <c r="T85" s="45"/>
      <c r="U85" s="45">
        <v>0</v>
      </c>
      <c r="V85" s="45"/>
      <c r="W85" s="45">
        <v>0</v>
      </c>
      <c r="X85" s="45"/>
      <c r="Y85" s="45">
        <v>0</v>
      </c>
      <c r="Z85" s="44"/>
      <c r="AA85" s="45">
        <v>0</v>
      </c>
      <c r="AB85" s="44"/>
      <c r="AC85" s="45">
        <f t="shared" si="4"/>
        <v>10259040</v>
      </c>
      <c r="AD85" s="45"/>
      <c r="AE85" s="48">
        <v>0</v>
      </c>
      <c r="AF85" s="48"/>
      <c r="AG85" s="45">
        <v>636697</v>
      </c>
      <c r="AH85" s="45"/>
      <c r="AI85" s="45">
        <v>3034346</v>
      </c>
      <c r="AJ85" s="45"/>
      <c r="AK85" s="45">
        <v>0</v>
      </c>
      <c r="AL85" s="45"/>
      <c r="AM85" s="45">
        <f>+'Gen rev'!U85-'Gen exp'!AC85-AG85+'Gen rev'!W85+AI85+AK85-'Gen Bal'!S85-'Gen exp'!AE85</f>
        <v>0</v>
      </c>
      <c r="AN85" s="44"/>
      <c r="AO85" s="44"/>
      <c r="AP85" s="44"/>
      <c r="AQ85" s="44"/>
    </row>
    <row r="86" spans="1:45" s="44" customFormat="1" ht="12.75" customHeight="1">
      <c r="A86" s="35" t="s">
        <v>109</v>
      </c>
      <c r="C86" s="35" t="s">
        <v>110</v>
      </c>
      <c r="E86" s="45">
        <v>1752907</v>
      </c>
      <c r="F86" s="45"/>
      <c r="G86" s="45">
        <v>5199575</v>
      </c>
      <c r="H86" s="45"/>
      <c r="I86" s="45">
        <v>146498</v>
      </c>
      <c r="J86" s="45"/>
      <c r="K86" s="45">
        <v>271839</v>
      </c>
      <c r="L86" s="45"/>
      <c r="M86" s="45">
        <v>55881</v>
      </c>
      <c r="N86" s="45"/>
      <c r="O86" s="45">
        <v>0</v>
      </c>
      <c r="P86" s="45"/>
      <c r="Q86" s="45">
        <v>0</v>
      </c>
      <c r="R86" s="45"/>
      <c r="S86" s="45">
        <v>0</v>
      </c>
      <c r="T86" s="45"/>
      <c r="U86" s="45">
        <v>0</v>
      </c>
      <c r="V86" s="45"/>
      <c r="W86" s="45">
        <v>0</v>
      </c>
      <c r="X86" s="45"/>
      <c r="Y86" s="45">
        <v>0</v>
      </c>
      <c r="AA86" s="45">
        <v>0</v>
      </c>
      <c r="AC86" s="45">
        <f t="shared" si="4"/>
        <v>7426700</v>
      </c>
      <c r="AD86" s="45"/>
      <c r="AE86" s="48">
        <v>0</v>
      </c>
      <c r="AF86" s="48"/>
      <c r="AG86" s="45">
        <v>1085423</v>
      </c>
      <c r="AH86" s="45"/>
      <c r="AI86" s="45">
        <v>1622949</v>
      </c>
      <c r="AJ86" s="45"/>
      <c r="AK86" s="45">
        <v>0</v>
      </c>
      <c r="AL86" s="45"/>
      <c r="AM86" s="45">
        <f>+'Gen rev'!U86-'Gen exp'!AC86-AG86+'Gen rev'!W86+AI86+AK86-'Gen Bal'!S86-'Gen exp'!AE86</f>
        <v>0</v>
      </c>
    </row>
    <row r="87" spans="1:45" s="49" customFormat="1" ht="12.75" customHeight="1">
      <c r="A87" s="28" t="s">
        <v>43</v>
      </c>
      <c r="C87" s="28" t="s">
        <v>111</v>
      </c>
      <c r="E87" s="45">
        <v>2252341</v>
      </c>
      <c r="F87" s="45"/>
      <c r="G87" s="45">
        <f>2876101+139889</f>
        <v>3015990</v>
      </c>
      <c r="H87" s="45"/>
      <c r="I87" s="45">
        <v>0</v>
      </c>
      <c r="J87" s="45"/>
      <c r="K87" s="45">
        <v>30000</v>
      </c>
      <c r="L87" s="45"/>
      <c r="M87" s="45">
        <v>0</v>
      </c>
      <c r="N87" s="45"/>
      <c r="O87" s="45">
        <v>34451</v>
      </c>
      <c r="P87" s="45"/>
      <c r="Q87" s="45">
        <v>0</v>
      </c>
      <c r="R87" s="45"/>
      <c r="S87" s="45">
        <v>0</v>
      </c>
      <c r="T87" s="45"/>
      <c r="U87" s="45">
        <v>0</v>
      </c>
      <c r="V87" s="45"/>
      <c r="W87" s="45">
        <v>0</v>
      </c>
      <c r="X87" s="45"/>
      <c r="Y87" s="45">
        <v>819</v>
      </c>
      <c r="Z87" s="44"/>
      <c r="AA87" s="45">
        <v>0</v>
      </c>
      <c r="AB87" s="44"/>
      <c r="AC87" s="45">
        <f t="shared" si="4"/>
        <v>5333601</v>
      </c>
      <c r="AD87" s="45"/>
      <c r="AE87" s="48">
        <v>0</v>
      </c>
      <c r="AF87" s="48"/>
      <c r="AG87" s="45">
        <v>1650723</v>
      </c>
      <c r="AH87" s="45"/>
      <c r="AI87" s="45">
        <v>1189773</v>
      </c>
      <c r="AJ87" s="45"/>
      <c r="AK87" s="45">
        <v>0</v>
      </c>
      <c r="AL87" s="45"/>
      <c r="AM87" s="45">
        <f>+'Gen rev'!U87-'Gen exp'!AC87-AG87+'Gen rev'!W87+AI87+AK87-'Gen Bal'!S87-'Gen exp'!AE87</f>
        <v>0</v>
      </c>
      <c r="AN87" s="45"/>
      <c r="AO87" s="45"/>
      <c r="AP87" s="45"/>
      <c r="AQ87" s="45"/>
      <c r="AR87" s="52"/>
      <c r="AS87" s="50"/>
    </row>
    <row r="88" spans="1:45" s="49" customFormat="1" ht="12.75" customHeight="1">
      <c r="A88" s="28" t="s">
        <v>112</v>
      </c>
      <c r="C88" s="28" t="s">
        <v>76</v>
      </c>
      <c r="E88" s="45">
        <v>1738246</v>
      </c>
      <c r="F88" s="45"/>
      <c r="G88" s="45">
        <v>5049556</v>
      </c>
      <c r="H88" s="45"/>
      <c r="I88" s="45">
        <f>130337+107525</f>
        <v>237862</v>
      </c>
      <c r="J88" s="45"/>
      <c r="K88" s="45">
        <v>15114</v>
      </c>
      <c r="L88" s="45"/>
      <c r="M88" s="45">
        <v>0</v>
      </c>
      <c r="N88" s="45"/>
      <c r="O88" s="45">
        <v>840227</v>
      </c>
      <c r="P88" s="45"/>
      <c r="Q88" s="45">
        <v>60</v>
      </c>
      <c r="R88" s="45"/>
      <c r="S88" s="45">
        <v>0</v>
      </c>
      <c r="T88" s="45"/>
      <c r="U88" s="45">
        <v>0</v>
      </c>
      <c r="V88" s="45"/>
      <c r="W88" s="45">
        <v>0</v>
      </c>
      <c r="X88" s="45"/>
      <c r="Y88" s="45">
        <v>0</v>
      </c>
      <c r="Z88" s="44"/>
      <c r="AA88" s="45">
        <v>0</v>
      </c>
      <c r="AB88" s="44"/>
      <c r="AC88" s="45">
        <f t="shared" si="4"/>
        <v>7881065</v>
      </c>
      <c r="AD88" s="45"/>
      <c r="AE88" s="48">
        <v>0</v>
      </c>
      <c r="AF88" s="48"/>
      <c r="AG88" s="45">
        <v>545000</v>
      </c>
      <c r="AH88" s="45"/>
      <c r="AI88" s="45">
        <v>3056233</v>
      </c>
      <c r="AJ88" s="45"/>
      <c r="AK88" s="45">
        <v>0</v>
      </c>
      <c r="AL88" s="45"/>
      <c r="AM88" s="45">
        <f>+'Gen rev'!U88-'Gen exp'!AC88-AG88+'Gen rev'!W88+AI88+AK88-'Gen Bal'!S88-'Gen exp'!AE88</f>
        <v>0</v>
      </c>
      <c r="AN88" s="44"/>
      <c r="AO88" s="44"/>
      <c r="AP88" s="44"/>
      <c r="AQ88" s="44"/>
    </row>
    <row r="89" spans="1:45" s="49" customFormat="1" ht="12.75" customHeight="1">
      <c r="A89" s="28" t="s">
        <v>113</v>
      </c>
      <c r="C89" s="28" t="s">
        <v>43</v>
      </c>
      <c r="E89" s="45">
        <v>3623619</v>
      </c>
      <c r="F89" s="45"/>
      <c r="G89" s="45">
        <v>7165280</v>
      </c>
      <c r="H89" s="45"/>
      <c r="I89" s="45">
        <v>3458223</v>
      </c>
      <c r="J89" s="45"/>
      <c r="K89" s="45">
        <v>181060</v>
      </c>
      <c r="L89" s="45"/>
      <c r="M89" s="45">
        <v>1226611</v>
      </c>
      <c r="N89" s="45"/>
      <c r="O89" s="45">
        <v>2691317</v>
      </c>
      <c r="P89" s="45"/>
      <c r="Q89" s="45">
        <v>1691119</v>
      </c>
      <c r="R89" s="45"/>
      <c r="S89" s="45">
        <v>10091250</v>
      </c>
      <c r="T89" s="45"/>
      <c r="U89" s="45">
        <v>0</v>
      </c>
      <c r="V89" s="45"/>
      <c r="W89" s="45">
        <v>30091</v>
      </c>
      <c r="X89" s="45"/>
      <c r="Y89" s="45">
        <v>3965</v>
      </c>
      <c r="Z89" s="44"/>
      <c r="AA89" s="45">
        <v>0</v>
      </c>
      <c r="AB89" s="44"/>
      <c r="AC89" s="45">
        <f t="shared" si="4"/>
        <v>30162535</v>
      </c>
      <c r="AD89" s="45"/>
      <c r="AE89" s="48">
        <v>0</v>
      </c>
      <c r="AF89" s="48"/>
      <c r="AG89" s="45">
        <v>2584593</v>
      </c>
      <c r="AH89" s="45"/>
      <c r="AI89" s="45">
        <v>31670927</v>
      </c>
      <c r="AJ89" s="45"/>
      <c r="AK89" s="45">
        <v>0</v>
      </c>
      <c r="AL89" s="45"/>
      <c r="AM89" s="45">
        <f>+'Gen rev'!U89-'Gen exp'!AC89-AG89+'Gen rev'!W89+AI89+AK89-'Gen Bal'!S89-'Gen exp'!AE89</f>
        <v>0</v>
      </c>
      <c r="AN89" s="44"/>
      <c r="AO89" s="44"/>
      <c r="AP89" s="44"/>
      <c r="AQ89" s="44"/>
    </row>
    <row r="90" spans="1:45" s="49" customFormat="1" ht="12.75" customHeight="1">
      <c r="A90" s="64" t="s">
        <v>490</v>
      </c>
      <c r="B90" s="46"/>
      <c r="C90" s="64" t="s">
        <v>57</v>
      </c>
      <c r="D90" s="46"/>
      <c r="E90" s="45">
        <v>1396526</v>
      </c>
      <c r="F90" s="45"/>
      <c r="G90" s="45">
        <f>488964+372258</f>
        <v>861222</v>
      </c>
      <c r="H90" s="45"/>
      <c r="I90" s="45">
        <v>0</v>
      </c>
      <c r="J90" s="45"/>
      <c r="K90" s="45">
        <v>400329</v>
      </c>
      <c r="L90" s="45"/>
      <c r="M90" s="45">
        <v>0</v>
      </c>
      <c r="N90" s="45"/>
      <c r="O90" s="45">
        <v>0</v>
      </c>
      <c r="P90" s="45"/>
      <c r="Q90" s="45">
        <v>0</v>
      </c>
      <c r="R90" s="45"/>
      <c r="S90" s="45">
        <v>0</v>
      </c>
      <c r="T90" s="45"/>
      <c r="U90" s="45">
        <v>0</v>
      </c>
      <c r="V90" s="45"/>
      <c r="W90" s="45">
        <v>14686</v>
      </c>
      <c r="X90" s="45"/>
      <c r="Y90" s="45">
        <v>38137</v>
      </c>
      <c r="Z90" s="44"/>
      <c r="AA90" s="45">
        <v>0</v>
      </c>
      <c r="AB90" s="44"/>
      <c r="AC90" s="45">
        <f>SUM(E90:AA90)</f>
        <v>2710900</v>
      </c>
      <c r="AD90" s="45"/>
      <c r="AE90" s="48">
        <v>0</v>
      </c>
      <c r="AF90" s="48"/>
      <c r="AG90" s="45">
        <v>1006995</v>
      </c>
      <c r="AH90" s="45"/>
      <c r="AI90" s="45">
        <v>2008932</v>
      </c>
      <c r="AJ90" s="45"/>
      <c r="AK90" s="45">
        <v>0</v>
      </c>
      <c r="AL90" s="45"/>
      <c r="AM90" s="45">
        <f>+'Gen rev'!U90-'Gen exp'!AC90-AG90+'Gen rev'!W90+AI90+AK90-'Gen Bal'!S90-'Gen exp'!AE90</f>
        <v>0</v>
      </c>
      <c r="AN90" s="45"/>
      <c r="AO90" s="45"/>
      <c r="AP90" s="45"/>
      <c r="AQ90" s="45"/>
      <c r="AR90" s="52"/>
      <c r="AS90" s="50"/>
    </row>
    <row r="91" spans="1:45" s="49" customFormat="1" ht="12.75" customHeight="1">
      <c r="A91" s="28" t="s">
        <v>114</v>
      </c>
      <c r="C91" s="28" t="s">
        <v>27</v>
      </c>
      <c r="E91" s="45">
        <v>7979533</v>
      </c>
      <c r="F91" s="45"/>
      <c r="G91" s="45">
        <v>10065545</v>
      </c>
      <c r="H91" s="45"/>
      <c r="I91" s="45">
        <v>164295</v>
      </c>
      <c r="J91" s="45"/>
      <c r="K91" s="45">
        <v>302931</v>
      </c>
      <c r="L91" s="45"/>
      <c r="M91" s="45">
        <v>4520</v>
      </c>
      <c r="N91" s="45"/>
      <c r="O91" s="45">
        <v>0</v>
      </c>
      <c r="P91" s="45"/>
      <c r="Q91" s="45">
        <v>1641604</v>
      </c>
      <c r="R91" s="45"/>
      <c r="S91" s="45">
        <v>0</v>
      </c>
      <c r="T91" s="45"/>
      <c r="U91" s="45">
        <v>0</v>
      </c>
      <c r="V91" s="45"/>
      <c r="W91" s="45">
        <v>0</v>
      </c>
      <c r="X91" s="45"/>
      <c r="Y91" s="45">
        <v>0</v>
      </c>
      <c r="Z91" s="44"/>
      <c r="AA91" s="45">
        <v>0</v>
      </c>
      <c r="AB91" s="44"/>
      <c r="AC91" s="45">
        <f>SUM(E91:AA91)</f>
        <v>20158428</v>
      </c>
      <c r="AD91" s="45"/>
      <c r="AE91" s="48">
        <v>0</v>
      </c>
      <c r="AF91" s="48"/>
      <c r="AG91" s="45">
        <v>1276899</v>
      </c>
      <c r="AH91" s="45"/>
      <c r="AI91" s="45">
        <v>-3203763</v>
      </c>
      <c r="AJ91" s="45"/>
      <c r="AK91" s="45">
        <v>0</v>
      </c>
      <c r="AL91" s="45"/>
      <c r="AM91" s="45">
        <f>+'Gen rev'!U91-'Gen exp'!AC91-AG91+'Gen rev'!W91+AI91+AK91-'Gen Bal'!S91-'Gen exp'!AE91</f>
        <v>0</v>
      </c>
      <c r="AN91" s="45"/>
      <c r="AO91" s="45"/>
      <c r="AP91" s="45"/>
      <c r="AQ91" s="45"/>
      <c r="AR91" s="52"/>
      <c r="AS91" s="50"/>
    </row>
    <row r="92" spans="1:45" s="49" customFormat="1" ht="12.75" customHeight="1">
      <c r="A92" s="28" t="s">
        <v>115</v>
      </c>
      <c r="C92" s="28" t="s">
        <v>19</v>
      </c>
      <c r="E92" s="45">
        <v>737812</v>
      </c>
      <c r="F92" s="45"/>
      <c r="G92" s="45">
        <v>1892658</v>
      </c>
      <c r="H92" s="45"/>
      <c r="I92" s="45">
        <v>130913</v>
      </c>
      <c r="J92" s="45"/>
      <c r="K92" s="45">
        <v>0</v>
      </c>
      <c r="L92" s="45"/>
      <c r="M92" s="45">
        <v>0</v>
      </c>
      <c r="N92" s="45"/>
      <c r="O92" s="45">
        <v>162464</v>
      </c>
      <c r="P92" s="45"/>
      <c r="Q92" s="45">
        <v>0</v>
      </c>
      <c r="R92" s="45"/>
      <c r="S92" s="45">
        <v>0</v>
      </c>
      <c r="T92" s="45"/>
      <c r="U92" s="45">
        <v>0</v>
      </c>
      <c r="V92" s="45"/>
      <c r="W92" s="45">
        <v>3044</v>
      </c>
      <c r="X92" s="45"/>
      <c r="Y92" s="45">
        <v>0</v>
      </c>
      <c r="Z92" s="44"/>
      <c r="AA92" s="45">
        <v>0</v>
      </c>
      <c r="AB92" s="44"/>
      <c r="AC92" s="45">
        <f t="shared" si="4"/>
        <v>2926891</v>
      </c>
      <c r="AD92" s="45"/>
      <c r="AE92" s="48">
        <v>0</v>
      </c>
      <c r="AF92" s="48"/>
      <c r="AG92" s="45">
        <v>1401879</v>
      </c>
      <c r="AH92" s="45"/>
      <c r="AI92" s="45">
        <v>1402130</v>
      </c>
      <c r="AJ92" s="45"/>
      <c r="AK92" s="45">
        <v>0</v>
      </c>
      <c r="AL92" s="45"/>
      <c r="AM92" s="45">
        <f>+'Gen rev'!U92-'Gen exp'!AC92-AG92+'Gen rev'!W92+AI92+AK92-'Gen Bal'!S92-'Gen exp'!AE92</f>
        <v>0</v>
      </c>
      <c r="AN92" s="45"/>
      <c r="AO92" s="45"/>
      <c r="AP92" s="45"/>
      <c r="AQ92" s="45"/>
      <c r="AR92" s="52"/>
      <c r="AS92" s="50"/>
    </row>
    <row r="93" spans="1:45" s="49" customFormat="1" ht="12.75" customHeight="1">
      <c r="A93" s="64" t="s">
        <v>116</v>
      </c>
      <c r="B93" s="46"/>
      <c r="C93" s="64" t="s">
        <v>80</v>
      </c>
      <c r="D93" s="46"/>
      <c r="E93" s="45">
        <v>1844720</v>
      </c>
      <c r="F93" s="45"/>
      <c r="G93" s="45">
        <v>2573582</v>
      </c>
      <c r="H93" s="45"/>
      <c r="I93" s="45">
        <v>0</v>
      </c>
      <c r="J93" s="45"/>
      <c r="K93" s="45">
        <v>22469</v>
      </c>
      <c r="L93" s="45"/>
      <c r="M93" s="45">
        <v>15838</v>
      </c>
      <c r="N93" s="45"/>
      <c r="O93" s="45">
        <v>0</v>
      </c>
      <c r="P93" s="45"/>
      <c r="Q93" s="45">
        <v>0</v>
      </c>
      <c r="R93" s="45"/>
      <c r="S93" s="45">
        <v>0</v>
      </c>
      <c r="T93" s="45"/>
      <c r="U93" s="45">
        <v>0</v>
      </c>
      <c r="V93" s="45"/>
      <c r="W93" s="45">
        <v>0</v>
      </c>
      <c r="X93" s="45"/>
      <c r="Y93" s="45">
        <v>0</v>
      </c>
      <c r="Z93" s="44"/>
      <c r="AA93" s="45">
        <v>0</v>
      </c>
      <c r="AB93" s="44"/>
      <c r="AC93" s="45">
        <f t="shared" si="4"/>
        <v>4456609</v>
      </c>
      <c r="AD93" s="45"/>
      <c r="AE93" s="48">
        <v>0</v>
      </c>
      <c r="AF93" s="48"/>
      <c r="AG93" s="45">
        <v>107000</v>
      </c>
      <c r="AH93" s="45"/>
      <c r="AI93" s="45">
        <v>383941</v>
      </c>
      <c r="AJ93" s="45"/>
      <c r="AK93" s="45">
        <v>0</v>
      </c>
      <c r="AL93" s="45"/>
      <c r="AM93" s="45">
        <f>+'Gen rev'!U93-'Gen exp'!AC93-AG93+'Gen rev'!W93+AI93+AK93-'Gen Bal'!S93-'Gen exp'!AE93</f>
        <v>0</v>
      </c>
      <c r="AN93" s="45"/>
      <c r="AO93" s="45"/>
      <c r="AP93" s="45"/>
      <c r="AQ93" s="45"/>
      <c r="AR93" s="52"/>
      <c r="AS93" s="50"/>
    </row>
    <row r="94" spans="1:45" s="49" customFormat="1" ht="12.75" customHeight="1">
      <c r="A94" s="47" t="s">
        <v>117</v>
      </c>
      <c r="C94" s="28" t="s">
        <v>43</v>
      </c>
      <c r="E94" s="45">
        <v>1847943</v>
      </c>
      <c r="F94" s="45"/>
      <c r="G94" s="45">
        <v>4043363</v>
      </c>
      <c r="H94" s="45"/>
      <c r="I94" s="45">
        <v>0</v>
      </c>
      <c r="J94" s="45"/>
      <c r="K94" s="45">
        <v>0</v>
      </c>
      <c r="L94" s="45"/>
      <c r="M94" s="45">
        <v>958462</v>
      </c>
      <c r="N94" s="45"/>
      <c r="O94" s="45">
        <v>682726</v>
      </c>
      <c r="P94" s="45"/>
      <c r="Q94" s="45">
        <v>107706</v>
      </c>
      <c r="R94" s="45"/>
      <c r="S94" s="45">
        <v>52099</v>
      </c>
      <c r="T94" s="45"/>
      <c r="U94" s="45">
        <v>0</v>
      </c>
      <c r="V94" s="45"/>
      <c r="W94" s="45">
        <v>10594</v>
      </c>
      <c r="X94" s="45"/>
      <c r="Y94" s="45">
        <v>2624</v>
      </c>
      <c r="Z94" s="44"/>
      <c r="AA94" s="45">
        <v>0</v>
      </c>
      <c r="AB94" s="44"/>
      <c r="AC94" s="45">
        <f t="shared" si="4"/>
        <v>7705517</v>
      </c>
      <c r="AD94" s="45"/>
      <c r="AE94" s="48">
        <v>0</v>
      </c>
      <c r="AF94" s="48"/>
      <c r="AG94" s="45">
        <v>556121</v>
      </c>
      <c r="AH94" s="45"/>
      <c r="AI94" s="45">
        <v>2697076</v>
      </c>
      <c r="AJ94" s="45"/>
      <c r="AK94" s="45">
        <v>0</v>
      </c>
      <c r="AL94" s="45"/>
      <c r="AM94" s="45">
        <f>+'Gen rev'!U94-'Gen exp'!AC94-AG94+'Gen rev'!W94+AI94+AK94-'Gen Bal'!S94-'Gen exp'!AE94</f>
        <v>0</v>
      </c>
      <c r="AN94" s="45"/>
      <c r="AO94" s="45"/>
      <c r="AP94" s="45"/>
      <c r="AQ94" s="45"/>
      <c r="AR94" s="52"/>
      <c r="AS94" s="50"/>
    </row>
    <row r="95" spans="1:45" s="49" customFormat="1" ht="12.75" customHeight="1">
      <c r="A95" s="28" t="s">
        <v>118</v>
      </c>
      <c r="C95" s="28" t="s">
        <v>13</v>
      </c>
      <c r="E95" s="45">
        <v>7930030</v>
      </c>
      <c r="F95" s="45"/>
      <c r="G95" s="45">
        <v>1557358</v>
      </c>
      <c r="H95" s="45"/>
      <c r="I95" s="45">
        <v>0</v>
      </c>
      <c r="J95" s="45"/>
      <c r="K95" s="45">
        <v>238368</v>
      </c>
      <c r="L95" s="45"/>
      <c r="M95" s="45">
        <v>0</v>
      </c>
      <c r="N95" s="45"/>
      <c r="O95" s="45">
        <v>0</v>
      </c>
      <c r="P95" s="45"/>
      <c r="Q95" s="45">
        <v>0</v>
      </c>
      <c r="R95" s="45"/>
      <c r="S95" s="45">
        <v>0</v>
      </c>
      <c r="T95" s="45"/>
      <c r="U95" s="45">
        <v>0</v>
      </c>
      <c r="V95" s="45"/>
      <c r="W95" s="45">
        <v>3349905</v>
      </c>
      <c r="X95" s="45"/>
      <c r="Y95" s="45">
        <v>735095</v>
      </c>
      <c r="Z95" s="44"/>
      <c r="AA95" s="45">
        <v>0</v>
      </c>
      <c r="AB95" s="44"/>
      <c r="AC95" s="45">
        <f t="shared" si="4"/>
        <v>13810756</v>
      </c>
      <c r="AD95" s="45"/>
      <c r="AE95" s="48">
        <v>0</v>
      </c>
      <c r="AF95" s="48"/>
      <c r="AG95" s="45">
        <v>8896500</v>
      </c>
      <c r="AH95" s="45"/>
      <c r="AI95" s="45">
        <v>20047374</v>
      </c>
      <c r="AJ95" s="45"/>
      <c r="AK95" s="45">
        <v>0</v>
      </c>
      <c r="AL95" s="45"/>
      <c r="AM95" s="45">
        <f>+'Gen rev'!U95-'Gen exp'!AC95-AG95+'Gen rev'!W95+AI95+AK95-'Gen Bal'!S95-'Gen exp'!AE95</f>
        <v>0</v>
      </c>
      <c r="AN95" s="45"/>
      <c r="AO95" s="45"/>
      <c r="AP95" s="45"/>
      <c r="AQ95" s="45"/>
      <c r="AR95" s="52"/>
      <c r="AS95" s="50"/>
    </row>
    <row r="96" spans="1:45" s="49" customFormat="1" ht="12.75" customHeight="1">
      <c r="A96" s="28" t="s">
        <v>120</v>
      </c>
      <c r="C96" s="28" t="s">
        <v>121</v>
      </c>
      <c r="E96" s="45">
        <v>2197895</v>
      </c>
      <c r="F96" s="45"/>
      <c r="G96" s="45">
        <v>3990878</v>
      </c>
      <c r="H96" s="45"/>
      <c r="I96" s="45">
        <v>2038</v>
      </c>
      <c r="J96" s="45"/>
      <c r="K96" s="45">
        <v>74322</v>
      </c>
      <c r="L96" s="45"/>
      <c r="M96" s="45">
        <v>150898</v>
      </c>
      <c r="N96" s="45"/>
      <c r="O96" s="45">
        <v>578178</v>
      </c>
      <c r="P96" s="45"/>
      <c r="Q96" s="45">
        <v>249121</v>
      </c>
      <c r="R96" s="45"/>
      <c r="S96" s="45">
        <v>570882</v>
      </c>
      <c r="T96" s="45"/>
      <c r="U96" s="45">
        <v>0</v>
      </c>
      <c r="V96" s="45"/>
      <c r="W96" s="45">
        <v>65479</v>
      </c>
      <c r="X96" s="45"/>
      <c r="Y96" s="45">
        <v>32388</v>
      </c>
      <c r="Z96" s="44"/>
      <c r="AA96" s="45">
        <v>0</v>
      </c>
      <c r="AB96" s="44"/>
      <c r="AC96" s="45">
        <f t="shared" si="4"/>
        <v>7912079</v>
      </c>
      <c r="AD96" s="45"/>
      <c r="AE96" s="48">
        <v>0</v>
      </c>
      <c r="AF96" s="48"/>
      <c r="AG96" s="45">
        <v>1502631</v>
      </c>
      <c r="AH96" s="45"/>
      <c r="AI96" s="45">
        <v>3884331</v>
      </c>
      <c r="AJ96" s="45"/>
      <c r="AK96" s="45">
        <v>0</v>
      </c>
      <c r="AL96" s="45"/>
      <c r="AM96" s="45">
        <f>+'Gen rev'!U96-'Gen exp'!AC96-AG96+'Gen rev'!W96+AI96+AK96-'Gen Bal'!S96-'Gen exp'!AE96</f>
        <v>0</v>
      </c>
      <c r="AN96" s="45"/>
      <c r="AO96" s="45"/>
      <c r="AP96" s="45"/>
      <c r="AQ96" s="45"/>
      <c r="AR96" s="52"/>
      <c r="AS96" s="50"/>
    </row>
    <row r="97" spans="1:45" s="49" customFormat="1" ht="12.75" customHeight="1">
      <c r="A97" s="28" t="s">
        <v>122</v>
      </c>
      <c r="C97" s="28" t="s">
        <v>43</v>
      </c>
      <c r="E97" s="45">
        <v>6549898</v>
      </c>
      <c r="F97" s="45"/>
      <c r="G97" s="45">
        <v>8007845</v>
      </c>
      <c r="H97" s="45"/>
      <c r="I97" s="45">
        <v>970049</v>
      </c>
      <c r="J97" s="45"/>
      <c r="K97" s="45">
        <v>250136</v>
      </c>
      <c r="L97" s="45"/>
      <c r="M97" s="45">
        <v>0</v>
      </c>
      <c r="N97" s="45"/>
      <c r="O97" s="45">
        <v>617347</v>
      </c>
      <c r="P97" s="45"/>
      <c r="Q97" s="45">
        <v>0</v>
      </c>
      <c r="R97" s="45"/>
      <c r="S97" s="45">
        <v>2111580</v>
      </c>
      <c r="T97" s="45"/>
      <c r="U97" s="45">
        <v>0</v>
      </c>
      <c r="V97" s="45"/>
      <c r="W97" s="45">
        <v>70585</v>
      </c>
      <c r="X97" s="45"/>
      <c r="Y97" s="45">
        <v>14081</v>
      </c>
      <c r="Z97" s="44"/>
      <c r="AA97" s="45">
        <v>0</v>
      </c>
      <c r="AB97" s="44"/>
      <c r="AC97" s="45">
        <f t="shared" si="4"/>
        <v>18591521</v>
      </c>
      <c r="AD97" s="45"/>
      <c r="AE97" s="48">
        <v>0</v>
      </c>
      <c r="AF97" s="48"/>
      <c r="AG97" s="45">
        <v>4452941</v>
      </c>
      <c r="AH97" s="45"/>
      <c r="AI97" s="45">
        <v>23784226</v>
      </c>
      <c r="AJ97" s="45"/>
      <c r="AK97" s="45">
        <v>0</v>
      </c>
      <c r="AL97" s="45"/>
      <c r="AM97" s="45">
        <f>+'Gen rev'!U97-'Gen exp'!AC97-AG97+'Gen rev'!W97+AI97+AK97-'Gen Bal'!S97-'Gen exp'!AE97</f>
        <v>0</v>
      </c>
      <c r="AN97" s="45"/>
      <c r="AO97" s="45"/>
      <c r="AP97" s="45"/>
      <c r="AQ97" s="45"/>
      <c r="AR97" s="52"/>
      <c r="AS97" s="50"/>
    </row>
    <row r="98" spans="1:45" s="49" customFormat="1" ht="12.75" customHeight="1">
      <c r="A98" s="47" t="s">
        <v>45</v>
      </c>
      <c r="C98" s="28" t="s">
        <v>103</v>
      </c>
      <c r="E98" s="45">
        <v>6606553</v>
      </c>
      <c r="F98" s="45"/>
      <c r="G98" s="45">
        <v>24931939</v>
      </c>
      <c r="H98" s="45"/>
      <c r="I98" s="45">
        <v>1034152</v>
      </c>
      <c r="J98" s="45"/>
      <c r="K98" s="45">
        <v>1641451</v>
      </c>
      <c r="L98" s="45"/>
      <c r="M98" s="45">
        <v>0</v>
      </c>
      <c r="N98" s="45"/>
      <c r="O98" s="45">
        <v>1432496</v>
      </c>
      <c r="P98" s="45"/>
      <c r="Q98" s="45">
        <v>791243</v>
      </c>
      <c r="R98" s="45"/>
      <c r="S98" s="45">
        <v>0</v>
      </c>
      <c r="T98" s="45"/>
      <c r="U98" s="45">
        <v>0</v>
      </c>
      <c r="V98" s="45"/>
      <c r="W98" s="45">
        <v>0</v>
      </c>
      <c r="X98" s="45"/>
      <c r="Y98" s="45">
        <v>0</v>
      </c>
      <c r="Z98" s="44"/>
      <c r="AA98" s="45">
        <v>0</v>
      </c>
      <c r="AB98" s="44"/>
      <c r="AC98" s="45">
        <f t="shared" si="4"/>
        <v>36437834</v>
      </c>
      <c r="AD98" s="45"/>
      <c r="AE98" s="48">
        <v>0</v>
      </c>
      <c r="AF98" s="48"/>
      <c r="AG98" s="45">
        <v>343205</v>
      </c>
      <c r="AH98" s="45"/>
      <c r="AI98" s="45">
        <v>4599995</v>
      </c>
      <c r="AJ98" s="45"/>
      <c r="AK98" s="45">
        <v>473</v>
      </c>
      <c r="AL98" s="45"/>
      <c r="AM98" s="45">
        <f>+'Gen rev'!U98-'Gen exp'!AC98-AG98+'Gen rev'!W98+AI98+AK98-'Gen Bal'!S98-'Gen exp'!AE98</f>
        <v>0</v>
      </c>
      <c r="AN98" s="44"/>
      <c r="AO98" s="44"/>
      <c r="AP98" s="44"/>
      <c r="AQ98" s="44"/>
    </row>
    <row r="99" spans="1:45" s="49" customFormat="1" ht="12.75" customHeight="1">
      <c r="A99" s="47" t="s">
        <v>123</v>
      </c>
      <c r="C99" s="28" t="s">
        <v>45</v>
      </c>
      <c r="E99" s="45">
        <v>1002167</v>
      </c>
      <c r="F99" s="45"/>
      <c r="G99" s="45">
        <v>2211568</v>
      </c>
      <c r="H99" s="45"/>
      <c r="I99" s="45">
        <v>109590</v>
      </c>
      <c r="J99" s="45"/>
      <c r="K99" s="45">
        <v>0</v>
      </c>
      <c r="L99" s="45"/>
      <c r="M99" s="45">
        <v>0</v>
      </c>
      <c r="N99" s="45"/>
      <c r="O99" s="45">
        <v>81561</v>
      </c>
      <c r="P99" s="45"/>
      <c r="Q99" s="45">
        <v>0</v>
      </c>
      <c r="R99" s="45"/>
      <c r="S99" s="45">
        <v>50195</v>
      </c>
      <c r="T99" s="45"/>
      <c r="U99" s="45">
        <v>0</v>
      </c>
      <c r="V99" s="45"/>
      <c r="W99" s="45">
        <v>81859</v>
      </c>
      <c r="X99" s="45"/>
      <c r="Y99" s="45">
        <v>3967</v>
      </c>
      <c r="Z99" s="44"/>
      <c r="AA99" s="45">
        <v>0</v>
      </c>
      <c r="AB99" s="44"/>
      <c r="AC99" s="45">
        <f t="shared" si="4"/>
        <v>3540907</v>
      </c>
      <c r="AD99" s="45"/>
      <c r="AE99" s="48">
        <v>0</v>
      </c>
      <c r="AF99" s="48"/>
      <c r="AG99" s="45">
        <v>1674370</v>
      </c>
      <c r="AH99" s="45"/>
      <c r="AI99" s="45">
        <v>1877478</v>
      </c>
      <c r="AJ99" s="45"/>
      <c r="AK99" s="45">
        <v>0</v>
      </c>
      <c r="AL99" s="45"/>
      <c r="AM99" s="45">
        <f>+'Gen rev'!U99-'Gen exp'!AC99-AG99+'Gen rev'!W99+AI99+AK99-'Gen Bal'!S99-'Gen exp'!AE99</f>
        <v>0</v>
      </c>
      <c r="AN99" s="44"/>
      <c r="AO99" s="44"/>
      <c r="AP99" s="44"/>
      <c r="AQ99" s="44"/>
    </row>
    <row r="100" spans="1:45" s="49" customFormat="1" ht="12.75" customHeight="1">
      <c r="A100" s="28" t="s">
        <v>124</v>
      </c>
      <c r="C100" s="28" t="s">
        <v>125</v>
      </c>
      <c r="E100" s="45">
        <v>1492283</v>
      </c>
      <c r="F100" s="45"/>
      <c r="G100" s="45">
        <v>3467304</v>
      </c>
      <c r="H100" s="45"/>
      <c r="I100" s="45">
        <v>257489</v>
      </c>
      <c r="J100" s="45"/>
      <c r="K100" s="45">
        <v>55500</v>
      </c>
      <c r="L100" s="45"/>
      <c r="M100" s="45">
        <v>0</v>
      </c>
      <c r="N100" s="45"/>
      <c r="O100" s="45">
        <v>0</v>
      </c>
      <c r="P100" s="45">
        <v>824665</v>
      </c>
      <c r="Q100" s="45">
        <v>0</v>
      </c>
      <c r="R100" s="45"/>
      <c r="S100" s="45">
        <v>0</v>
      </c>
      <c r="T100" s="45"/>
      <c r="U100" s="45">
        <v>0</v>
      </c>
      <c r="V100" s="45"/>
      <c r="W100" s="45">
        <v>0</v>
      </c>
      <c r="X100" s="45"/>
      <c r="Y100" s="45">
        <v>0</v>
      </c>
      <c r="Z100" s="44"/>
      <c r="AA100" s="45">
        <v>0</v>
      </c>
      <c r="AB100" s="44"/>
      <c r="AC100" s="45">
        <f t="shared" si="4"/>
        <v>6097241</v>
      </c>
      <c r="AD100" s="45"/>
      <c r="AE100" s="48">
        <v>0</v>
      </c>
      <c r="AF100" s="48"/>
      <c r="AG100" s="45">
        <v>1272500</v>
      </c>
      <c r="AH100" s="45"/>
      <c r="AI100" s="45">
        <v>3709629</v>
      </c>
      <c r="AJ100" s="45"/>
      <c r="AK100" s="45">
        <v>-1549</v>
      </c>
      <c r="AL100" s="45"/>
      <c r="AM100" s="45">
        <f>+'Gen rev'!U100-'Gen exp'!AC100-AG100+'Gen rev'!W100+AI100+AK100-'Gen Bal'!S100-'Gen exp'!AE100</f>
        <v>0</v>
      </c>
      <c r="AN100" s="44"/>
      <c r="AO100" s="44"/>
      <c r="AP100" s="44"/>
      <c r="AQ100" s="44"/>
    </row>
    <row r="101" spans="1:45" s="49" customFormat="1" ht="12.75" customHeight="1">
      <c r="A101" s="28" t="s">
        <v>126</v>
      </c>
      <c r="C101" s="28" t="s">
        <v>27</v>
      </c>
      <c r="E101" s="45">
        <v>2393832</v>
      </c>
      <c r="F101" s="45"/>
      <c r="G101" s="45">
        <v>5096450</v>
      </c>
      <c r="H101" s="45"/>
      <c r="I101" s="45">
        <v>108425</v>
      </c>
      <c r="J101" s="45"/>
      <c r="K101" s="45">
        <v>37812</v>
      </c>
      <c r="L101" s="45"/>
      <c r="M101" s="45">
        <v>5490</v>
      </c>
      <c r="N101" s="45"/>
      <c r="O101" s="45">
        <v>56519</v>
      </c>
      <c r="P101" s="45"/>
      <c r="Q101" s="45">
        <v>1474185</v>
      </c>
      <c r="R101" s="45"/>
      <c r="S101" s="45">
        <v>0</v>
      </c>
      <c r="T101" s="45"/>
      <c r="U101" s="45">
        <v>0</v>
      </c>
      <c r="V101" s="45"/>
      <c r="W101" s="45">
        <v>0</v>
      </c>
      <c r="X101" s="45"/>
      <c r="Y101" s="45">
        <v>0</v>
      </c>
      <c r="Z101" s="44"/>
      <c r="AA101" s="45">
        <v>0</v>
      </c>
      <c r="AB101" s="44"/>
      <c r="AC101" s="45">
        <f t="shared" si="4"/>
        <v>9172713</v>
      </c>
      <c r="AD101" s="45"/>
      <c r="AE101" s="48">
        <v>0</v>
      </c>
      <c r="AF101" s="48"/>
      <c r="AG101" s="45">
        <v>1095545</v>
      </c>
      <c r="AH101" s="45"/>
      <c r="AI101" s="45">
        <v>4253227</v>
      </c>
      <c r="AJ101" s="45"/>
      <c r="AK101" s="45">
        <v>-1492</v>
      </c>
      <c r="AL101" s="45"/>
      <c r="AM101" s="45">
        <f>+'Gen rev'!U101-'Gen exp'!AC101-AG101+'Gen rev'!W101+AI101+AK101-'Gen Bal'!S101-'Gen exp'!AE101</f>
        <v>0</v>
      </c>
      <c r="AN101" s="44"/>
      <c r="AO101" s="44"/>
      <c r="AP101" s="44"/>
      <c r="AQ101" s="44"/>
    </row>
    <row r="102" spans="1:45" s="49" customFormat="1" ht="12.75" customHeight="1">
      <c r="A102" s="28" t="s">
        <v>127</v>
      </c>
      <c r="C102" s="28" t="s">
        <v>43</v>
      </c>
      <c r="E102" s="45">
        <v>4067653</v>
      </c>
      <c r="F102" s="45"/>
      <c r="G102" s="45">
        <v>7663753</v>
      </c>
      <c r="H102" s="45"/>
      <c r="I102" s="45">
        <v>2604144</v>
      </c>
      <c r="J102" s="45"/>
      <c r="K102" s="45">
        <v>157065</v>
      </c>
      <c r="L102" s="45"/>
      <c r="M102" s="45">
        <v>0</v>
      </c>
      <c r="N102" s="45"/>
      <c r="O102" s="45">
        <v>2773484</v>
      </c>
      <c r="P102" s="45"/>
      <c r="Q102" s="45">
        <v>0</v>
      </c>
      <c r="R102" s="45"/>
      <c r="S102" s="45">
        <v>0</v>
      </c>
      <c r="T102" s="45"/>
      <c r="U102" s="45">
        <v>0</v>
      </c>
      <c r="V102" s="45"/>
      <c r="W102" s="45">
        <v>0</v>
      </c>
      <c r="X102" s="45"/>
      <c r="Y102" s="45">
        <v>0</v>
      </c>
      <c r="Z102" s="44"/>
      <c r="AA102" s="45">
        <v>0</v>
      </c>
      <c r="AB102" s="44"/>
      <c r="AC102" s="45">
        <f t="shared" si="4"/>
        <v>17266099</v>
      </c>
      <c r="AD102" s="45"/>
      <c r="AE102" s="48">
        <v>0</v>
      </c>
      <c r="AF102" s="48"/>
      <c r="AG102" s="45">
        <v>0</v>
      </c>
      <c r="AH102" s="45"/>
      <c r="AI102" s="45">
        <v>3760630</v>
      </c>
      <c r="AJ102" s="45"/>
      <c r="AK102" s="45">
        <v>0</v>
      </c>
      <c r="AL102" s="45"/>
      <c r="AM102" s="45">
        <f>+'Gen rev'!U102-'Gen exp'!AC102-AG102+'Gen rev'!W102+AI102+AK102-'Gen Bal'!S102-'Gen exp'!AE102</f>
        <v>0</v>
      </c>
      <c r="AN102" s="44"/>
      <c r="AO102" s="44"/>
      <c r="AP102" s="44"/>
      <c r="AQ102" s="44"/>
    </row>
    <row r="103" spans="1:45" s="49" customFormat="1" ht="12.75" customHeight="1">
      <c r="A103" s="28" t="s">
        <v>128</v>
      </c>
      <c r="C103" s="28" t="s">
        <v>119</v>
      </c>
      <c r="E103" s="45">
        <f>1110763+275274</f>
        <v>1386037</v>
      </c>
      <c r="F103" s="45"/>
      <c r="G103" s="45">
        <v>2942258</v>
      </c>
      <c r="H103" s="45"/>
      <c r="I103" s="45">
        <v>50310</v>
      </c>
      <c r="J103" s="45"/>
      <c r="K103" s="45">
        <v>21724</v>
      </c>
      <c r="L103" s="45"/>
      <c r="M103" s="45">
        <v>0</v>
      </c>
      <c r="N103" s="45"/>
      <c r="O103" s="45">
        <v>0</v>
      </c>
      <c r="P103" s="45"/>
      <c r="Q103" s="45">
        <v>0</v>
      </c>
      <c r="R103" s="45"/>
      <c r="S103" s="45">
        <v>352153</v>
      </c>
      <c r="T103" s="45"/>
      <c r="U103" s="45">
        <v>0</v>
      </c>
      <c r="V103" s="45"/>
      <c r="W103" s="45">
        <v>51941</v>
      </c>
      <c r="X103" s="45"/>
      <c r="Y103" s="45">
        <v>12505</v>
      </c>
      <c r="Z103" s="44"/>
      <c r="AA103" s="45">
        <v>0</v>
      </c>
      <c r="AB103" s="44"/>
      <c r="AC103" s="45">
        <f t="shared" si="4"/>
        <v>4816928</v>
      </c>
      <c r="AD103" s="45"/>
      <c r="AE103" s="48">
        <v>0</v>
      </c>
      <c r="AF103" s="48"/>
      <c r="AG103" s="45">
        <v>788736</v>
      </c>
      <c r="AH103" s="45"/>
      <c r="AI103" s="45">
        <v>2559607</v>
      </c>
      <c r="AJ103" s="45"/>
      <c r="AK103" s="45">
        <v>0</v>
      </c>
      <c r="AL103" s="45"/>
      <c r="AM103" s="45">
        <f>+'Gen rev'!U103-'Gen exp'!AC103-AG103+'Gen rev'!W103+AI103+AK103-'Gen Bal'!S103-'Gen exp'!AE103</f>
        <v>0</v>
      </c>
      <c r="AN103" s="44"/>
      <c r="AO103" s="44"/>
      <c r="AP103" s="44"/>
      <c r="AQ103" s="44"/>
    </row>
    <row r="104" spans="1:45" s="49" customFormat="1" ht="12.75" customHeight="1">
      <c r="A104" s="28" t="s">
        <v>129</v>
      </c>
      <c r="C104" s="28" t="s">
        <v>80</v>
      </c>
      <c r="E104" s="45">
        <v>427787</v>
      </c>
      <c r="F104" s="45"/>
      <c r="G104" s="45">
        <v>1670624</v>
      </c>
      <c r="H104" s="45"/>
      <c r="I104" s="45">
        <v>491</v>
      </c>
      <c r="J104" s="45"/>
      <c r="K104" s="45">
        <v>15032</v>
      </c>
      <c r="L104" s="45"/>
      <c r="M104" s="45">
        <v>0</v>
      </c>
      <c r="N104" s="45"/>
      <c r="O104" s="45">
        <v>4094</v>
      </c>
      <c r="P104" s="45"/>
      <c r="Q104" s="45">
        <v>0</v>
      </c>
      <c r="R104" s="45"/>
      <c r="S104" s="45">
        <v>60093</v>
      </c>
      <c r="T104" s="45"/>
      <c r="U104" s="45">
        <v>0</v>
      </c>
      <c r="V104" s="45"/>
      <c r="W104" s="45">
        <v>13147</v>
      </c>
      <c r="X104" s="45"/>
      <c r="Y104" s="45">
        <v>0</v>
      </c>
      <c r="Z104" s="44"/>
      <c r="AA104" s="45">
        <v>0</v>
      </c>
      <c r="AB104" s="44"/>
      <c r="AC104" s="45">
        <f t="shared" si="4"/>
        <v>2191268</v>
      </c>
      <c r="AD104" s="45"/>
      <c r="AE104" s="48">
        <v>0</v>
      </c>
      <c r="AF104" s="48"/>
      <c r="AG104" s="45">
        <v>876330</v>
      </c>
      <c r="AH104" s="45"/>
      <c r="AI104" s="45">
        <v>625295</v>
      </c>
      <c r="AJ104" s="45"/>
      <c r="AK104" s="45">
        <v>0</v>
      </c>
      <c r="AL104" s="45"/>
      <c r="AM104" s="45">
        <f>+'Gen rev'!U104-'Gen exp'!AC104-AG104+'Gen rev'!W104+AI104+AK104-'Gen Bal'!S104-'Gen exp'!AE104</f>
        <v>0</v>
      </c>
      <c r="AN104" s="45"/>
      <c r="AO104" s="45"/>
      <c r="AP104" s="45"/>
      <c r="AQ104" s="45"/>
      <c r="AR104" s="52"/>
      <c r="AS104" s="50"/>
    </row>
    <row r="105" spans="1:45" s="49" customFormat="1" ht="12.75" customHeight="1">
      <c r="A105" s="64" t="s">
        <v>130</v>
      </c>
      <c r="B105" s="46"/>
      <c r="C105" s="64" t="s">
        <v>66</v>
      </c>
      <c r="D105" s="46"/>
      <c r="E105" s="45">
        <v>3277756</v>
      </c>
      <c r="F105" s="45"/>
      <c r="G105" s="45">
        <v>881786</v>
      </c>
      <c r="H105" s="45"/>
      <c r="I105" s="45">
        <v>844496</v>
      </c>
      <c r="J105" s="45"/>
      <c r="K105" s="45">
        <v>0</v>
      </c>
      <c r="L105" s="45"/>
      <c r="M105" s="45">
        <v>0</v>
      </c>
      <c r="N105" s="45"/>
      <c r="O105" s="45">
        <v>0</v>
      </c>
      <c r="P105" s="45"/>
      <c r="Q105" s="45">
        <v>0</v>
      </c>
      <c r="R105" s="45"/>
      <c r="S105" s="45">
        <v>215135</v>
      </c>
      <c r="T105" s="45"/>
      <c r="U105" s="45">
        <v>0</v>
      </c>
      <c r="V105" s="45"/>
      <c r="W105" s="45">
        <v>10055</v>
      </c>
      <c r="X105" s="45"/>
      <c r="Y105" s="45">
        <v>809</v>
      </c>
      <c r="Z105" s="44"/>
      <c r="AA105" s="45">
        <v>0</v>
      </c>
      <c r="AB105" s="44"/>
      <c r="AC105" s="45">
        <f t="shared" si="4"/>
        <v>5230037</v>
      </c>
      <c r="AD105" s="45"/>
      <c r="AE105" s="48">
        <v>0</v>
      </c>
      <c r="AF105" s="48"/>
      <c r="AG105" s="45">
        <v>5427000</v>
      </c>
      <c r="AH105" s="45"/>
      <c r="AI105" s="45">
        <v>8284179</v>
      </c>
      <c r="AJ105" s="45"/>
      <c r="AK105" s="45">
        <v>-15299</v>
      </c>
      <c r="AL105" s="45"/>
      <c r="AM105" s="45">
        <f>+'Gen rev'!U105-'Gen exp'!AC105-AG105+'Gen rev'!W105+AI105+AK105-'Gen Bal'!S105-'Gen exp'!AE105</f>
        <v>0</v>
      </c>
      <c r="AN105" s="45"/>
      <c r="AO105" s="45"/>
      <c r="AP105" s="45"/>
      <c r="AQ105" s="45"/>
      <c r="AR105" s="52"/>
      <c r="AS105" s="50"/>
    </row>
    <row r="106" spans="1:45" s="49" customFormat="1" ht="12.75" customHeight="1">
      <c r="A106" s="28" t="s">
        <v>131</v>
      </c>
      <c r="C106" s="28" t="s">
        <v>13</v>
      </c>
      <c r="E106" s="45">
        <v>4854387</v>
      </c>
      <c r="F106" s="45"/>
      <c r="G106" s="45">
        <v>3628666</v>
      </c>
      <c r="H106" s="45"/>
      <c r="I106" s="45">
        <v>1327380</v>
      </c>
      <c r="J106" s="45"/>
      <c r="K106" s="45">
        <v>298308</v>
      </c>
      <c r="L106" s="45"/>
      <c r="M106" s="45">
        <v>0</v>
      </c>
      <c r="N106" s="45"/>
      <c r="O106" s="45">
        <v>0</v>
      </c>
      <c r="P106" s="45"/>
      <c r="Q106" s="45">
        <v>0</v>
      </c>
      <c r="R106" s="45"/>
      <c r="S106" s="45">
        <v>348698</v>
      </c>
      <c r="T106" s="45"/>
      <c r="U106" s="45">
        <v>0</v>
      </c>
      <c r="V106" s="45"/>
      <c r="W106" s="45">
        <v>0</v>
      </c>
      <c r="X106" s="45"/>
      <c r="Y106" s="45">
        <v>0</v>
      </c>
      <c r="Z106" s="44"/>
      <c r="AA106" s="45">
        <v>0</v>
      </c>
      <c r="AB106" s="44"/>
      <c r="AC106" s="45">
        <f t="shared" si="4"/>
        <v>10457439</v>
      </c>
      <c r="AD106" s="45"/>
      <c r="AE106" s="48">
        <v>0</v>
      </c>
      <c r="AF106" s="48"/>
      <c r="AG106" s="45">
        <v>10624953</v>
      </c>
      <c r="AH106" s="45"/>
      <c r="AI106" s="45">
        <v>12093069</v>
      </c>
      <c r="AJ106" s="45"/>
      <c r="AK106" s="45">
        <v>0</v>
      </c>
      <c r="AL106" s="45"/>
      <c r="AM106" s="45">
        <f>+'Gen rev'!U106-'Gen exp'!AC106-AG106+'Gen rev'!W106+AI106+AK106-'Gen Bal'!S106-'Gen exp'!AE106</f>
        <v>0</v>
      </c>
      <c r="AN106" s="45"/>
      <c r="AO106" s="45"/>
      <c r="AP106" s="45"/>
      <c r="AQ106" s="45"/>
      <c r="AR106" s="52"/>
      <c r="AS106" s="50"/>
    </row>
    <row r="107" spans="1:45" s="49" customFormat="1" ht="12.75" customHeight="1">
      <c r="A107" s="28" t="s">
        <v>38</v>
      </c>
      <c r="C107" s="28" t="s">
        <v>132</v>
      </c>
      <c r="E107" s="45">
        <v>942131</v>
      </c>
      <c r="F107" s="45"/>
      <c r="G107" s="45">
        <v>1375685</v>
      </c>
      <c r="H107" s="45"/>
      <c r="I107" s="45">
        <v>0</v>
      </c>
      <c r="J107" s="45"/>
      <c r="K107" s="45">
        <v>0</v>
      </c>
      <c r="L107" s="45"/>
      <c r="M107" s="45">
        <v>0</v>
      </c>
      <c r="N107" s="45"/>
      <c r="O107" s="45">
        <v>0</v>
      </c>
      <c r="P107" s="45"/>
      <c r="Q107" s="45">
        <v>607671</v>
      </c>
      <c r="R107" s="45"/>
      <c r="S107" s="45">
        <v>0</v>
      </c>
      <c r="T107" s="45"/>
      <c r="U107" s="45">
        <v>0</v>
      </c>
      <c r="V107" s="45"/>
      <c r="W107" s="45">
        <v>0</v>
      </c>
      <c r="X107" s="45"/>
      <c r="Y107" s="45">
        <v>0</v>
      </c>
      <c r="Z107" s="44"/>
      <c r="AA107" s="45">
        <v>0</v>
      </c>
      <c r="AB107" s="44"/>
      <c r="AC107" s="45">
        <f t="shared" si="4"/>
        <v>2925487</v>
      </c>
      <c r="AD107" s="45"/>
      <c r="AE107" s="48">
        <v>0</v>
      </c>
      <c r="AF107" s="48"/>
      <c r="AG107" s="45">
        <v>1371289</v>
      </c>
      <c r="AH107" s="45"/>
      <c r="AI107" s="45">
        <v>737849</v>
      </c>
      <c r="AJ107" s="45"/>
      <c r="AK107" s="45">
        <v>0</v>
      </c>
      <c r="AL107" s="45"/>
      <c r="AM107" s="45">
        <f>+'Gen rev'!U107-'Gen exp'!AC107-AG107+'Gen rev'!W107+AI107+AK107-'Gen Bal'!S107-'Gen exp'!AE107</f>
        <v>0</v>
      </c>
      <c r="AN107" s="45"/>
      <c r="AO107" s="45"/>
      <c r="AP107" s="45"/>
      <c r="AQ107" s="45"/>
      <c r="AR107" s="52"/>
      <c r="AS107" s="50"/>
    </row>
    <row r="108" spans="1:45" s="49" customFormat="1" ht="12.75" customHeight="1">
      <c r="A108" s="28" t="s">
        <v>133</v>
      </c>
      <c r="C108" s="28" t="s">
        <v>27</v>
      </c>
      <c r="E108" s="45">
        <v>5294631</v>
      </c>
      <c r="F108" s="45"/>
      <c r="G108" s="45">
        <v>7762685</v>
      </c>
      <c r="H108" s="45"/>
      <c r="I108" s="45">
        <v>2472765</v>
      </c>
      <c r="J108" s="45"/>
      <c r="K108" s="45">
        <v>25355</v>
      </c>
      <c r="L108" s="45"/>
      <c r="M108" s="45">
        <v>864976</v>
      </c>
      <c r="N108" s="45"/>
      <c r="O108" s="45">
        <v>2798839</v>
      </c>
      <c r="P108" s="45"/>
      <c r="Q108" s="45">
        <v>552082</v>
      </c>
      <c r="R108" s="45"/>
      <c r="S108" s="45">
        <v>0</v>
      </c>
      <c r="T108" s="45"/>
      <c r="U108" s="45">
        <v>0</v>
      </c>
      <c r="V108" s="45"/>
      <c r="W108" s="45">
        <v>0</v>
      </c>
      <c r="X108" s="45"/>
      <c r="Y108" s="45">
        <v>0</v>
      </c>
      <c r="Z108" s="44"/>
      <c r="AA108" s="45">
        <v>0</v>
      </c>
      <c r="AB108" s="44"/>
      <c r="AC108" s="45">
        <f t="shared" si="4"/>
        <v>19771333</v>
      </c>
      <c r="AD108" s="45"/>
      <c r="AE108" s="48">
        <v>0</v>
      </c>
      <c r="AF108" s="48"/>
      <c r="AG108" s="45">
        <v>7669000</v>
      </c>
      <c r="AH108" s="45"/>
      <c r="AI108" s="45">
        <v>10920268</v>
      </c>
      <c r="AJ108" s="45"/>
      <c r="AK108" s="45">
        <v>0</v>
      </c>
      <c r="AL108" s="45"/>
      <c r="AM108" s="45">
        <f>+'Gen rev'!U108-'Gen exp'!AC108-AG108+'Gen rev'!W108+AI108+AK108-'Gen Bal'!S108-'Gen exp'!AE108</f>
        <v>0</v>
      </c>
      <c r="AN108" s="45"/>
      <c r="AO108" s="45"/>
      <c r="AP108" s="45"/>
      <c r="AQ108" s="45"/>
      <c r="AR108" s="52"/>
      <c r="AS108" s="50"/>
    </row>
    <row r="109" spans="1:45" s="49" customFormat="1" ht="12.75" customHeight="1">
      <c r="A109" s="28" t="s">
        <v>482</v>
      </c>
      <c r="C109" s="28" t="s">
        <v>45</v>
      </c>
      <c r="E109" s="45">
        <v>1575955</v>
      </c>
      <c r="F109" s="45"/>
      <c r="G109" s="45">
        <v>4490328</v>
      </c>
      <c r="H109" s="45"/>
      <c r="I109" s="45">
        <v>1542412</v>
      </c>
      <c r="J109" s="45"/>
      <c r="K109" s="45">
        <v>154967</v>
      </c>
      <c r="L109" s="45"/>
      <c r="M109" s="45">
        <v>0</v>
      </c>
      <c r="N109" s="45"/>
      <c r="O109" s="45">
        <v>976608</v>
      </c>
      <c r="P109" s="45"/>
      <c r="Q109" s="45">
        <v>0</v>
      </c>
      <c r="R109" s="45"/>
      <c r="S109" s="45">
        <v>0</v>
      </c>
      <c r="T109" s="45"/>
      <c r="U109" s="45">
        <v>0</v>
      </c>
      <c r="V109" s="45"/>
      <c r="W109" s="45">
        <v>0</v>
      </c>
      <c r="X109" s="45"/>
      <c r="Y109" s="45">
        <v>0</v>
      </c>
      <c r="Z109" s="44"/>
      <c r="AA109" s="45">
        <v>0</v>
      </c>
      <c r="AB109" s="44"/>
      <c r="AC109" s="45">
        <f t="shared" si="4"/>
        <v>8740270</v>
      </c>
      <c r="AD109" s="45"/>
      <c r="AE109" s="48">
        <v>0</v>
      </c>
      <c r="AF109" s="48"/>
      <c r="AG109" s="45">
        <v>1767334</v>
      </c>
      <c r="AH109" s="45"/>
      <c r="AI109" s="45">
        <v>2128450</v>
      </c>
      <c r="AJ109" s="45"/>
      <c r="AK109" s="45">
        <v>47914</v>
      </c>
      <c r="AL109" s="45"/>
      <c r="AM109" s="45">
        <f>+'Gen rev'!U109-'Gen exp'!AC109-AG109+'Gen rev'!W109+AI109+AK109-'Gen Bal'!S109-'Gen exp'!AE109</f>
        <v>0</v>
      </c>
      <c r="AN109" s="45"/>
      <c r="AO109" s="45"/>
      <c r="AP109" s="45"/>
      <c r="AQ109" s="45"/>
      <c r="AR109" s="52"/>
      <c r="AS109" s="50"/>
    </row>
    <row r="110" spans="1:45" s="49" customFormat="1" ht="12.75" customHeight="1">
      <c r="A110" s="28" t="s">
        <v>136</v>
      </c>
      <c r="C110" s="28" t="s">
        <v>136</v>
      </c>
      <c r="E110" s="45">
        <v>1434371</v>
      </c>
      <c r="F110" s="45"/>
      <c r="G110" s="45">
        <v>1912570</v>
      </c>
      <c r="H110" s="45"/>
      <c r="I110" s="45">
        <v>0</v>
      </c>
      <c r="J110" s="45"/>
      <c r="K110" s="45">
        <v>0</v>
      </c>
      <c r="L110" s="45"/>
      <c r="M110" s="45">
        <v>49012</v>
      </c>
      <c r="N110" s="45"/>
      <c r="O110" s="45">
        <v>0</v>
      </c>
      <c r="P110" s="45"/>
      <c r="Q110" s="45">
        <v>0</v>
      </c>
      <c r="R110" s="45"/>
      <c r="S110" s="45">
        <v>0</v>
      </c>
      <c r="T110" s="45"/>
      <c r="U110" s="45">
        <v>0</v>
      </c>
      <c r="V110" s="45"/>
      <c r="W110" s="45">
        <v>10169</v>
      </c>
      <c r="X110" s="45"/>
      <c r="Y110" s="45">
        <v>2179</v>
      </c>
      <c r="Z110" s="44"/>
      <c r="AA110" s="45">
        <v>0</v>
      </c>
      <c r="AB110" s="44"/>
      <c r="AC110" s="45">
        <f t="shared" si="4"/>
        <v>3408301</v>
      </c>
      <c r="AD110" s="45"/>
      <c r="AE110" s="48">
        <v>0</v>
      </c>
      <c r="AF110" s="48"/>
      <c r="AG110" s="45">
        <v>87800</v>
      </c>
      <c r="AH110" s="45"/>
      <c r="AI110" s="45">
        <v>2730947</v>
      </c>
      <c r="AJ110" s="45"/>
      <c r="AK110" s="45">
        <v>0</v>
      </c>
      <c r="AL110" s="45"/>
      <c r="AM110" s="45">
        <f>+'Gen rev'!U110-'Gen exp'!AC110-AG110+'Gen rev'!W110+AI110+AK110-'Gen Bal'!S110-'Gen exp'!AE110</f>
        <v>0</v>
      </c>
      <c r="AN110" s="45"/>
      <c r="AO110" s="45"/>
      <c r="AP110" s="45"/>
      <c r="AQ110" s="45"/>
      <c r="AR110" s="52"/>
      <c r="AS110" s="50"/>
    </row>
    <row r="111" spans="1:45" s="49" customFormat="1" ht="12.75" customHeight="1">
      <c r="A111" s="28" t="s">
        <v>137</v>
      </c>
      <c r="C111" s="28" t="s">
        <v>22</v>
      </c>
      <c r="E111" s="45">
        <v>2160032</v>
      </c>
      <c r="F111" s="45"/>
      <c r="G111" s="45">
        <v>4222907</v>
      </c>
      <c r="H111" s="45"/>
      <c r="I111" s="45">
        <v>1432515</v>
      </c>
      <c r="J111" s="45"/>
      <c r="K111" s="45">
        <v>498577</v>
      </c>
      <c r="L111" s="45"/>
      <c r="M111" s="45">
        <v>0</v>
      </c>
      <c r="N111" s="45"/>
      <c r="O111" s="45">
        <v>0</v>
      </c>
      <c r="P111" s="45"/>
      <c r="Q111" s="45">
        <v>0</v>
      </c>
      <c r="R111" s="45"/>
      <c r="S111" s="45">
        <v>238692</v>
      </c>
      <c r="T111" s="45"/>
      <c r="U111" s="45">
        <v>0</v>
      </c>
      <c r="V111" s="45"/>
      <c r="W111" s="45">
        <v>0</v>
      </c>
      <c r="X111" s="45"/>
      <c r="Y111" s="45">
        <v>0</v>
      </c>
      <c r="Z111" s="44"/>
      <c r="AA111" s="45">
        <v>0</v>
      </c>
      <c r="AB111" s="44"/>
      <c r="AC111" s="45">
        <f t="shared" si="4"/>
        <v>8552723</v>
      </c>
      <c r="AD111" s="45"/>
      <c r="AE111" s="48">
        <v>0</v>
      </c>
      <c r="AF111" s="48"/>
      <c r="AG111" s="45">
        <v>0</v>
      </c>
      <c r="AH111" s="45"/>
      <c r="AI111" s="45">
        <v>10090914</v>
      </c>
      <c r="AJ111" s="45"/>
      <c r="AK111" s="45">
        <v>0</v>
      </c>
      <c r="AL111" s="45"/>
      <c r="AM111" s="45">
        <f>+'Gen rev'!U111-'Gen exp'!AC111-AG111+'Gen rev'!W111+AI111+AK111-'Gen Bal'!S111-'Gen exp'!AE111</f>
        <v>0</v>
      </c>
      <c r="AN111" s="45"/>
      <c r="AO111" s="45"/>
      <c r="AP111" s="45"/>
      <c r="AQ111" s="45"/>
      <c r="AR111" s="52"/>
      <c r="AS111" s="50"/>
    </row>
    <row r="112" spans="1:45" s="49" customFormat="1" ht="12.75" hidden="1" customHeight="1">
      <c r="A112" s="28" t="s">
        <v>138</v>
      </c>
      <c r="C112" s="28" t="s">
        <v>139</v>
      </c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4"/>
      <c r="AA112" s="45"/>
      <c r="AB112" s="44"/>
      <c r="AC112" s="45">
        <f t="shared" si="4"/>
        <v>0</v>
      </c>
      <c r="AD112" s="45"/>
      <c r="AE112" s="48">
        <v>0</v>
      </c>
      <c r="AF112" s="48"/>
      <c r="AG112" s="45"/>
      <c r="AH112" s="45"/>
      <c r="AI112" s="45"/>
      <c r="AJ112" s="45"/>
      <c r="AK112" s="45"/>
      <c r="AL112" s="45"/>
      <c r="AM112" s="45">
        <f>+'Gen rev'!U112-'Gen exp'!AC112-AG112+'Gen rev'!W112+AI112+AK112-'Gen Bal'!S112-'Gen exp'!AE112</f>
        <v>0</v>
      </c>
      <c r="AN112" s="45"/>
      <c r="AO112" s="45"/>
      <c r="AP112" s="45"/>
      <c r="AQ112" s="45"/>
      <c r="AR112" s="52"/>
      <c r="AS112" s="50"/>
    </row>
    <row r="113" spans="1:45" s="49" customFormat="1" ht="12.75" customHeight="1">
      <c r="A113" s="28" t="s">
        <v>140</v>
      </c>
      <c r="C113" s="28" t="s">
        <v>66</v>
      </c>
      <c r="E113" s="45">
        <v>11438965</v>
      </c>
      <c r="F113" s="45"/>
      <c r="G113" s="45">
        <f>11966663+9458019</f>
        <v>21424682</v>
      </c>
      <c r="H113" s="45"/>
      <c r="I113" s="45">
        <v>0</v>
      </c>
      <c r="J113" s="45"/>
      <c r="K113" s="45">
        <v>0</v>
      </c>
      <c r="L113" s="45"/>
      <c r="M113" s="45">
        <v>0</v>
      </c>
      <c r="N113" s="45"/>
      <c r="O113" s="45">
        <v>0</v>
      </c>
      <c r="P113" s="45"/>
      <c r="Q113" s="45">
        <v>2908775</v>
      </c>
      <c r="R113" s="45"/>
      <c r="S113" s="45">
        <v>0</v>
      </c>
      <c r="T113" s="45"/>
      <c r="U113" s="45">
        <v>0</v>
      </c>
      <c r="V113" s="45"/>
      <c r="W113" s="45">
        <v>0</v>
      </c>
      <c r="X113" s="45"/>
      <c r="Y113" s="45">
        <v>0</v>
      </c>
      <c r="Z113" s="44"/>
      <c r="AA113" s="45">
        <v>0</v>
      </c>
      <c r="AB113" s="44"/>
      <c r="AC113" s="45">
        <f t="shared" si="4"/>
        <v>35772422</v>
      </c>
      <c r="AD113" s="45"/>
      <c r="AE113" s="48">
        <v>0</v>
      </c>
      <c r="AF113" s="48"/>
      <c r="AG113" s="45">
        <v>9835396</v>
      </c>
      <c r="AH113" s="45"/>
      <c r="AI113" s="45">
        <v>32835764</v>
      </c>
      <c r="AJ113" s="45"/>
      <c r="AK113" s="45">
        <v>0</v>
      </c>
      <c r="AL113" s="45"/>
      <c r="AM113" s="45">
        <f>+'Gen rev'!U113-'Gen exp'!AC113-AG113+'Gen rev'!W113+AI113+AK113-'Gen Bal'!S113-'Gen exp'!AE113</f>
        <v>0</v>
      </c>
      <c r="AN113" s="45"/>
      <c r="AO113" s="45"/>
      <c r="AP113" s="45"/>
      <c r="AQ113" s="45"/>
      <c r="AR113" s="52"/>
      <c r="AS113" s="50"/>
    </row>
    <row r="114" spans="1:45" s="49" customFormat="1" ht="12.75" customHeight="1">
      <c r="A114" s="28" t="s">
        <v>478</v>
      </c>
      <c r="C114" s="28" t="s">
        <v>92</v>
      </c>
      <c r="E114" s="45">
        <v>1894090</v>
      </c>
      <c r="F114" s="45"/>
      <c r="G114" s="45">
        <v>1508321</v>
      </c>
      <c r="H114" s="45"/>
      <c r="I114" s="45">
        <v>68725</v>
      </c>
      <c r="J114" s="45"/>
      <c r="K114" s="45">
        <v>76916</v>
      </c>
      <c r="L114" s="45"/>
      <c r="M114" s="45">
        <v>777951</v>
      </c>
      <c r="N114" s="45"/>
      <c r="O114" s="45">
        <v>179717</v>
      </c>
      <c r="P114" s="45"/>
      <c r="Q114" s="45">
        <v>0</v>
      </c>
      <c r="R114" s="45"/>
      <c r="S114" s="45">
        <v>0</v>
      </c>
      <c r="T114" s="45"/>
      <c r="U114" s="45">
        <v>0</v>
      </c>
      <c r="V114" s="45"/>
      <c r="W114" s="45">
        <v>3495</v>
      </c>
      <c r="X114" s="45"/>
      <c r="Y114" s="45">
        <v>1818</v>
      </c>
      <c r="Z114" s="44"/>
      <c r="AA114" s="45">
        <v>0</v>
      </c>
      <c r="AB114" s="44"/>
      <c r="AC114" s="45">
        <f t="shared" si="4"/>
        <v>4511033</v>
      </c>
      <c r="AD114" s="45"/>
      <c r="AE114" s="48">
        <v>0</v>
      </c>
      <c r="AF114" s="48"/>
      <c r="AG114" s="45">
        <v>386225</v>
      </c>
      <c r="AH114" s="45"/>
      <c r="AI114" s="45">
        <v>281015</v>
      </c>
      <c r="AJ114" s="45"/>
      <c r="AK114" s="45">
        <v>0</v>
      </c>
      <c r="AL114" s="45"/>
      <c r="AM114" s="45">
        <f>+'Gen rev'!U114-'Gen exp'!AC114-AG114+'Gen rev'!W114+AI114+AK114-'Gen Bal'!S114-'Gen exp'!AE114</f>
        <v>0</v>
      </c>
      <c r="AN114" s="45"/>
      <c r="AO114" s="45"/>
      <c r="AP114" s="45"/>
      <c r="AQ114" s="45"/>
      <c r="AR114" s="52"/>
      <c r="AS114" s="50"/>
    </row>
    <row r="115" spans="1:45" s="49" customFormat="1" ht="12.75" customHeight="1">
      <c r="A115" s="28" t="s">
        <v>141</v>
      </c>
      <c r="C115" s="28" t="s">
        <v>27</v>
      </c>
      <c r="E115" s="45">
        <v>7597502</v>
      </c>
      <c r="F115" s="45"/>
      <c r="G115" s="45">
        <f>10526845+6949792</f>
        <v>17476637</v>
      </c>
      <c r="H115" s="45"/>
      <c r="I115" s="45">
        <v>2275788</v>
      </c>
      <c r="J115" s="45"/>
      <c r="K115" s="45">
        <v>813380</v>
      </c>
      <c r="L115" s="45"/>
      <c r="M115" s="45">
        <v>0</v>
      </c>
      <c r="N115" s="45"/>
      <c r="O115" s="45">
        <v>1733290</v>
      </c>
      <c r="P115" s="45"/>
      <c r="Q115" s="45">
        <v>4466994</v>
      </c>
      <c r="R115" s="45"/>
      <c r="S115" s="45">
        <v>1815874</v>
      </c>
      <c r="T115" s="45"/>
      <c r="U115" s="45">
        <v>0</v>
      </c>
      <c r="V115" s="45"/>
      <c r="W115" s="45">
        <v>346755</v>
      </c>
      <c r="X115" s="45"/>
      <c r="Y115" s="45">
        <v>293006</v>
      </c>
      <c r="Z115" s="44"/>
      <c r="AA115" s="45">
        <v>0</v>
      </c>
      <c r="AB115" s="44"/>
      <c r="AC115" s="45">
        <f t="shared" si="4"/>
        <v>36819226</v>
      </c>
      <c r="AD115" s="45"/>
      <c r="AE115" s="48">
        <v>0</v>
      </c>
      <c r="AF115" s="48"/>
      <c r="AG115" s="45">
        <v>1479000</v>
      </c>
      <c r="AH115" s="45"/>
      <c r="AI115" s="45">
        <v>2056173</v>
      </c>
      <c r="AJ115" s="45"/>
      <c r="AK115" s="45">
        <v>0</v>
      </c>
      <c r="AL115" s="45"/>
      <c r="AM115" s="45">
        <f>+'Gen rev'!U115-'Gen exp'!AC115-AG115+'Gen rev'!W115+AI115+AK115-'Gen Bal'!S115-'Gen exp'!AE115</f>
        <v>0</v>
      </c>
      <c r="AN115" s="45"/>
      <c r="AO115" s="45"/>
      <c r="AP115" s="45"/>
      <c r="AQ115" s="45"/>
      <c r="AR115" s="52"/>
      <c r="AS115" s="50"/>
    </row>
    <row r="116" spans="1:45" s="46" customFormat="1" ht="12.75" customHeight="1">
      <c r="A116" s="28" t="s">
        <v>142</v>
      </c>
      <c r="B116" s="49"/>
      <c r="C116" s="28" t="s">
        <v>102</v>
      </c>
      <c r="D116" s="49"/>
      <c r="E116" s="45">
        <v>6723951</v>
      </c>
      <c r="F116" s="45"/>
      <c r="G116" s="45">
        <v>17218892</v>
      </c>
      <c r="H116" s="45"/>
      <c r="I116" s="45">
        <v>150977</v>
      </c>
      <c r="J116" s="45"/>
      <c r="K116" s="45">
        <v>274426</v>
      </c>
      <c r="L116" s="45"/>
      <c r="M116" s="45">
        <v>0</v>
      </c>
      <c r="N116" s="45"/>
      <c r="O116" s="45">
        <v>0</v>
      </c>
      <c r="P116" s="45"/>
      <c r="Q116" s="45">
        <v>0</v>
      </c>
      <c r="R116" s="45"/>
      <c r="S116" s="45">
        <v>0</v>
      </c>
      <c r="T116" s="45"/>
      <c r="U116" s="45">
        <v>0</v>
      </c>
      <c r="V116" s="45"/>
      <c r="W116" s="45">
        <v>31247</v>
      </c>
      <c r="X116" s="45"/>
      <c r="Y116" s="45">
        <v>12910</v>
      </c>
      <c r="Z116" s="44"/>
      <c r="AA116" s="45">
        <v>0</v>
      </c>
      <c r="AB116" s="44"/>
      <c r="AC116" s="45">
        <f>SUM(E116:AA116)</f>
        <v>24412403</v>
      </c>
      <c r="AD116" s="45"/>
      <c r="AE116" s="48">
        <v>0</v>
      </c>
      <c r="AF116" s="48"/>
      <c r="AG116" s="45">
        <v>1484669</v>
      </c>
      <c r="AH116" s="45"/>
      <c r="AI116" s="45">
        <v>4050905</v>
      </c>
      <c r="AJ116" s="45"/>
      <c r="AK116" s="45">
        <v>4890</v>
      </c>
      <c r="AL116" s="45"/>
      <c r="AM116" s="45">
        <f>+'Gen rev'!U116-'Gen exp'!AC116-AG116+'Gen rev'!W116+AI116+AK116-'Gen Bal'!S116-'Gen exp'!AE116</f>
        <v>0</v>
      </c>
      <c r="AR116" s="90"/>
      <c r="AS116" s="64"/>
    </row>
    <row r="117" spans="1:45" s="49" customFormat="1" ht="12.75" customHeight="1">
      <c r="A117" s="28" t="s">
        <v>143</v>
      </c>
      <c r="C117" s="28" t="s">
        <v>111</v>
      </c>
      <c r="E117" s="45">
        <v>4289949</v>
      </c>
      <c r="F117" s="45"/>
      <c r="G117" s="45">
        <v>3839011</v>
      </c>
      <c r="H117" s="45"/>
      <c r="I117" s="45">
        <v>689244</v>
      </c>
      <c r="J117" s="45"/>
      <c r="K117" s="45">
        <v>0</v>
      </c>
      <c r="L117" s="45"/>
      <c r="M117" s="45">
        <v>0</v>
      </c>
      <c r="N117" s="45"/>
      <c r="O117" s="45">
        <v>367954</v>
      </c>
      <c r="P117" s="45"/>
      <c r="Q117" s="45">
        <v>0</v>
      </c>
      <c r="R117" s="45"/>
      <c r="S117" s="45">
        <v>159</v>
      </c>
      <c r="T117" s="45"/>
      <c r="U117" s="45">
        <v>0</v>
      </c>
      <c r="V117" s="45"/>
      <c r="W117" s="45">
        <v>403</v>
      </c>
      <c r="X117" s="45"/>
      <c r="Y117" s="45">
        <v>862</v>
      </c>
      <c r="Z117" s="44"/>
      <c r="AA117" s="45">
        <v>0</v>
      </c>
      <c r="AB117" s="44"/>
      <c r="AC117" s="45">
        <f>SUM(E117:AA117)</f>
        <v>9187582</v>
      </c>
      <c r="AD117" s="45"/>
      <c r="AE117" s="48">
        <v>0</v>
      </c>
      <c r="AF117" s="48"/>
      <c r="AG117" s="45">
        <v>76120</v>
      </c>
      <c r="AH117" s="45"/>
      <c r="AI117" s="45">
        <v>4893722</v>
      </c>
      <c r="AJ117" s="45"/>
      <c r="AK117" s="45">
        <v>0</v>
      </c>
      <c r="AL117" s="45"/>
      <c r="AM117" s="45">
        <f>+'Gen rev'!U117-'Gen exp'!AC117-AG117+'Gen rev'!W117+AI117+AK117-'Gen Bal'!S117-'Gen exp'!AE117</f>
        <v>0</v>
      </c>
      <c r="AN117" s="45"/>
      <c r="AO117" s="45"/>
      <c r="AP117" s="45"/>
      <c r="AQ117" s="45"/>
      <c r="AR117" s="52"/>
      <c r="AS117" s="50"/>
    </row>
    <row r="118" spans="1:45" s="49" customFormat="1" ht="12.75" customHeight="1">
      <c r="A118" s="28" t="s">
        <v>144</v>
      </c>
      <c r="C118" s="28" t="s">
        <v>88</v>
      </c>
      <c r="E118" s="45">
        <v>7747663</v>
      </c>
      <c r="F118" s="45"/>
      <c r="G118" s="45">
        <v>15664555</v>
      </c>
      <c r="H118" s="45"/>
      <c r="I118" s="45">
        <v>880449</v>
      </c>
      <c r="J118" s="45"/>
      <c r="K118" s="45">
        <v>0</v>
      </c>
      <c r="L118" s="45"/>
      <c r="M118" s="45">
        <v>1728660</v>
      </c>
      <c r="N118" s="45"/>
      <c r="O118" s="45">
        <v>1042632</v>
      </c>
      <c r="P118" s="45"/>
      <c r="Q118" s="45">
        <v>0</v>
      </c>
      <c r="R118" s="45"/>
      <c r="S118" s="45">
        <v>120459</v>
      </c>
      <c r="T118" s="45"/>
      <c r="U118" s="45">
        <v>0</v>
      </c>
      <c r="V118" s="45"/>
      <c r="W118" s="45">
        <v>860000</v>
      </c>
      <c r="X118" s="45"/>
      <c r="Y118" s="45">
        <v>34819</v>
      </c>
      <c r="Z118" s="44"/>
      <c r="AA118" s="45">
        <v>0</v>
      </c>
      <c r="AB118" s="44"/>
      <c r="AC118" s="45">
        <f t="shared" si="4"/>
        <v>28079237</v>
      </c>
      <c r="AD118" s="45"/>
      <c r="AE118" s="48">
        <v>0</v>
      </c>
      <c r="AF118" s="48"/>
      <c r="AG118" s="45">
        <v>330299</v>
      </c>
      <c r="AH118" s="45"/>
      <c r="AI118" s="45">
        <v>3853538</v>
      </c>
      <c r="AJ118" s="45"/>
      <c r="AK118" s="45">
        <v>0</v>
      </c>
      <c r="AL118" s="45"/>
      <c r="AM118" s="45">
        <f>+'Gen rev'!U118-'Gen exp'!AC118-AG118+'Gen rev'!W118+AI118+AK118-'Gen Bal'!S118-'Gen exp'!AE118</f>
        <v>0</v>
      </c>
      <c r="AN118" s="45"/>
      <c r="AO118" s="45"/>
      <c r="AP118" s="45"/>
      <c r="AQ118" s="45"/>
      <c r="AR118" s="52"/>
      <c r="AS118" s="50"/>
    </row>
    <row r="119" spans="1:45" s="49" customFormat="1" ht="12.75" customHeight="1">
      <c r="A119" s="28" t="s">
        <v>36</v>
      </c>
      <c r="C119" s="28" t="s">
        <v>145</v>
      </c>
      <c r="E119" s="45">
        <v>512715</v>
      </c>
      <c r="F119" s="45"/>
      <c r="G119" s="45">
        <f>1338933+568175</f>
        <v>1907108</v>
      </c>
      <c r="H119" s="45"/>
      <c r="I119" s="45">
        <v>0</v>
      </c>
      <c r="J119" s="45"/>
      <c r="K119" s="45">
        <v>283972</v>
      </c>
      <c r="L119" s="45"/>
      <c r="M119" s="45">
        <v>236595</v>
      </c>
      <c r="N119" s="45"/>
      <c r="O119" s="45">
        <v>33</v>
      </c>
      <c r="P119" s="45"/>
      <c r="Q119" s="45">
        <v>2798</v>
      </c>
      <c r="R119" s="45"/>
      <c r="S119" s="45">
        <v>0</v>
      </c>
      <c r="T119" s="45"/>
      <c r="U119" s="45">
        <v>0</v>
      </c>
      <c r="V119" s="45"/>
      <c r="W119" s="45">
        <v>0</v>
      </c>
      <c r="X119" s="45"/>
      <c r="Y119" s="45">
        <v>0</v>
      </c>
      <c r="Z119" s="44"/>
      <c r="AA119" s="45">
        <v>0</v>
      </c>
      <c r="AB119" s="44"/>
      <c r="AC119" s="45">
        <f t="shared" si="4"/>
        <v>2943221</v>
      </c>
      <c r="AD119" s="45"/>
      <c r="AE119" s="48">
        <v>0</v>
      </c>
      <c r="AF119" s="48"/>
      <c r="AG119" s="45">
        <v>128000</v>
      </c>
      <c r="AH119" s="45"/>
      <c r="AI119" s="45">
        <v>1167956</v>
      </c>
      <c r="AJ119" s="45"/>
      <c r="AK119" s="45">
        <v>0</v>
      </c>
      <c r="AL119" s="45"/>
      <c r="AM119" s="45">
        <f>+'Gen rev'!U119-'Gen exp'!AC119-AG119+'Gen rev'!W119+AI119+AK119-'Gen Bal'!S119-'Gen exp'!AE119</f>
        <v>0</v>
      </c>
      <c r="AN119" s="35"/>
      <c r="AO119" s="35"/>
      <c r="AP119" s="35"/>
      <c r="AQ119" s="35"/>
      <c r="AR119" s="50"/>
      <c r="AS119" s="50"/>
    </row>
    <row r="120" spans="1:45" s="49" customFormat="1" ht="12.75" customHeight="1">
      <c r="A120" s="28" t="s">
        <v>146</v>
      </c>
      <c r="C120" s="28" t="s">
        <v>147</v>
      </c>
      <c r="E120" s="45">
        <v>952345</v>
      </c>
      <c r="F120" s="45"/>
      <c r="G120" s="45">
        <v>2670559</v>
      </c>
      <c r="H120" s="45"/>
      <c r="I120" s="45">
        <v>1670</v>
      </c>
      <c r="J120" s="45"/>
      <c r="K120" s="45">
        <v>800</v>
      </c>
      <c r="L120" s="45"/>
      <c r="M120" s="45">
        <v>0</v>
      </c>
      <c r="N120" s="45"/>
      <c r="O120" s="45">
        <v>227037</v>
      </c>
      <c r="P120" s="45"/>
      <c r="Q120" s="45">
        <v>0</v>
      </c>
      <c r="R120" s="45"/>
      <c r="S120" s="45">
        <v>0</v>
      </c>
      <c r="T120" s="45"/>
      <c r="U120" s="45">
        <v>0</v>
      </c>
      <c r="V120" s="45"/>
      <c r="W120" s="45">
        <v>3062</v>
      </c>
      <c r="X120" s="45"/>
      <c r="Y120" s="45">
        <v>64</v>
      </c>
      <c r="Z120" s="44"/>
      <c r="AA120" s="45">
        <v>0</v>
      </c>
      <c r="AB120" s="44"/>
      <c r="AC120" s="45">
        <f>SUM(E120:AA120)</f>
        <v>3855537</v>
      </c>
      <c r="AD120" s="45"/>
      <c r="AE120" s="48">
        <v>0</v>
      </c>
      <c r="AF120" s="48"/>
      <c r="AG120" s="45">
        <v>529829</v>
      </c>
      <c r="AH120" s="45"/>
      <c r="AI120" s="45">
        <v>1432229</v>
      </c>
      <c r="AJ120" s="45"/>
      <c r="AK120" s="45">
        <v>0</v>
      </c>
      <c r="AL120" s="45"/>
      <c r="AM120" s="45">
        <f>+'Gen rev'!U120-'Gen exp'!AC120-AG120+'Gen rev'!W120+AI120+AK120-'Gen Bal'!S120-'Gen exp'!AE120</f>
        <v>0</v>
      </c>
      <c r="AN120" s="44"/>
      <c r="AO120" s="44"/>
      <c r="AP120" s="44"/>
      <c r="AQ120" s="44"/>
    </row>
    <row r="121" spans="1:45" s="49" customFormat="1" ht="12.75" customHeight="1">
      <c r="A121" s="28" t="s">
        <v>17</v>
      </c>
      <c r="C121" s="28" t="s">
        <v>17</v>
      </c>
      <c r="E121" s="45">
        <v>9547246</v>
      </c>
      <c r="F121" s="45"/>
      <c r="G121" s="45">
        <v>16647178</v>
      </c>
      <c r="H121" s="45"/>
      <c r="I121" s="45">
        <v>590301</v>
      </c>
      <c r="J121" s="45"/>
      <c r="K121" s="45">
        <v>307100</v>
      </c>
      <c r="L121" s="45"/>
      <c r="M121" s="45">
        <v>0</v>
      </c>
      <c r="N121" s="45"/>
      <c r="O121" s="45">
        <v>1266039</v>
      </c>
      <c r="P121" s="45"/>
      <c r="Q121" s="45">
        <v>0</v>
      </c>
      <c r="R121" s="45"/>
      <c r="S121" s="45">
        <v>0</v>
      </c>
      <c r="T121" s="45"/>
      <c r="U121" s="45">
        <v>0</v>
      </c>
      <c r="V121" s="45"/>
      <c r="W121" s="45">
        <v>350315</v>
      </c>
      <c r="X121" s="45"/>
      <c r="Y121" s="45">
        <v>105437</v>
      </c>
      <c r="Z121" s="44"/>
      <c r="AA121" s="45">
        <v>0</v>
      </c>
      <c r="AB121" s="44"/>
      <c r="AC121" s="45">
        <f>SUM(E121:AA121)</f>
        <v>28813616</v>
      </c>
      <c r="AD121" s="45"/>
      <c r="AE121" s="48">
        <v>0</v>
      </c>
      <c r="AF121" s="48"/>
      <c r="AG121" s="45">
        <v>1631833</v>
      </c>
      <c r="AH121" s="45"/>
      <c r="AI121" s="45">
        <v>1300669</v>
      </c>
      <c r="AJ121" s="45"/>
      <c r="AK121" s="45">
        <v>0</v>
      </c>
      <c r="AL121" s="45"/>
      <c r="AM121" s="45">
        <f>+'Gen rev'!U121-'Gen exp'!AC121-AG121+'Gen rev'!W121+AI121+AK121-'Gen Bal'!S121-'Gen exp'!AE121</f>
        <v>0</v>
      </c>
      <c r="AN121" s="44"/>
      <c r="AO121" s="44"/>
      <c r="AP121" s="44"/>
      <c r="AQ121" s="44"/>
    </row>
    <row r="122" spans="1:45" s="49" customFormat="1" ht="12.75" customHeight="1">
      <c r="A122" s="28" t="s">
        <v>148</v>
      </c>
      <c r="C122" s="28" t="s">
        <v>15</v>
      </c>
      <c r="E122" s="45">
        <v>967127</v>
      </c>
      <c r="F122" s="45"/>
      <c r="G122" s="45">
        <v>1767585</v>
      </c>
      <c r="H122" s="45"/>
      <c r="I122" s="45">
        <v>205416</v>
      </c>
      <c r="J122" s="45"/>
      <c r="K122" s="45">
        <v>44190</v>
      </c>
      <c r="L122" s="45"/>
      <c r="M122" s="45">
        <v>0</v>
      </c>
      <c r="N122" s="45"/>
      <c r="O122" s="45">
        <v>330352</v>
      </c>
      <c r="P122" s="45"/>
      <c r="Q122" s="45">
        <v>301317</v>
      </c>
      <c r="R122" s="45"/>
      <c r="S122" s="45">
        <v>0</v>
      </c>
      <c r="T122" s="45"/>
      <c r="U122" s="45">
        <v>0</v>
      </c>
      <c r="V122" s="45"/>
      <c r="W122" s="45">
        <v>0</v>
      </c>
      <c r="X122" s="45"/>
      <c r="Y122" s="45">
        <v>0</v>
      </c>
      <c r="Z122" s="44"/>
      <c r="AA122" s="45">
        <v>0</v>
      </c>
      <c r="AB122" s="44"/>
      <c r="AC122" s="45">
        <f t="shared" si="4"/>
        <v>3615987</v>
      </c>
      <c r="AD122" s="45"/>
      <c r="AE122" s="48">
        <v>0</v>
      </c>
      <c r="AF122" s="48"/>
      <c r="AG122" s="45">
        <v>707408</v>
      </c>
      <c r="AH122" s="45"/>
      <c r="AI122" s="45">
        <v>1836400</v>
      </c>
      <c r="AJ122" s="45"/>
      <c r="AK122" s="45">
        <v>0</v>
      </c>
      <c r="AL122" s="45"/>
      <c r="AM122" s="45">
        <f>+'Gen rev'!U122-'Gen exp'!AC122-AG122+'Gen rev'!W122+AI122+AK122-'Gen Bal'!S122-'Gen exp'!AE122</f>
        <v>0</v>
      </c>
      <c r="AN122" s="44"/>
      <c r="AO122" s="44"/>
      <c r="AP122" s="44"/>
      <c r="AQ122" s="44"/>
    </row>
    <row r="123" spans="1:45" s="46" customFormat="1" ht="12.75" customHeight="1">
      <c r="A123" s="28" t="s">
        <v>149</v>
      </c>
      <c r="B123" s="49"/>
      <c r="C123" s="28" t="s">
        <v>45</v>
      </c>
      <c r="D123" s="49"/>
      <c r="E123" s="45">
        <v>1974032</v>
      </c>
      <c r="F123" s="45"/>
      <c r="G123" s="45">
        <v>2774387</v>
      </c>
      <c r="H123" s="45"/>
      <c r="I123" s="45">
        <v>203022</v>
      </c>
      <c r="J123" s="45"/>
      <c r="K123" s="45">
        <v>0</v>
      </c>
      <c r="L123" s="45"/>
      <c r="M123" s="45">
        <v>0</v>
      </c>
      <c r="N123" s="45"/>
      <c r="O123" s="45">
        <v>0</v>
      </c>
      <c r="P123" s="45"/>
      <c r="Q123" s="45">
        <v>0</v>
      </c>
      <c r="R123" s="45"/>
      <c r="S123" s="45">
        <v>0</v>
      </c>
      <c r="T123" s="45"/>
      <c r="U123" s="45">
        <v>0</v>
      </c>
      <c r="V123" s="45"/>
      <c r="W123" s="45">
        <v>45900</v>
      </c>
      <c r="X123" s="45"/>
      <c r="Y123" s="45">
        <v>20304</v>
      </c>
      <c r="Z123" s="44"/>
      <c r="AA123" s="45">
        <v>0</v>
      </c>
      <c r="AB123" s="44"/>
      <c r="AC123" s="45">
        <f t="shared" si="4"/>
        <v>5017645</v>
      </c>
      <c r="AD123" s="45"/>
      <c r="AE123" s="48">
        <v>0</v>
      </c>
      <c r="AF123" s="48"/>
      <c r="AG123" s="45">
        <v>0</v>
      </c>
      <c r="AH123" s="45"/>
      <c r="AI123" s="45">
        <v>-84511</v>
      </c>
      <c r="AJ123" s="45"/>
      <c r="AK123" s="45">
        <v>-1689</v>
      </c>
      <c r="AL123" s="45"/>
      <c r="AM123" s="45">
        <f>+'Gen rev'!U123-'Gen exp'!AC123-AG123+'Gen rev'!W123+AI123+AK123-'Gen Bal'!S123-'Gen exp'!AE123</f>
        <v>0</v>
      </c>
    </row>
    <row r="124" spans="1:45" s="49" customFormat="1" ht="12.75" customHeight="1">
      <c r="A124" s="28" t="s">
        <v>150</v>
      </c>
      <c r="C124" s="28" t="s">
        <v>27</v>
      </c>
      <c r="E124" s="45">
        <v>3769020</v>
      </c>
      <c r="F124" s="45"/>
      <c r="G124" s="45">
        <v>6761946</v>
      </c>
      <c r="H124" s="45"/>
      <c r="I124" s="45">
        <v>383889</v>
      </c>
      <c r="J124" s="45"/>
      <c r="K124" s="45">
        <v>55004</v>
      </c>
      <c r="L124" s="45"/>
      <c r="M124" s="45">
        <v>0</v>
      </c>
      <c r="N124" s="45"/>
      <c r="O124" s="45">
        <v>789281</v>
      </c>
      <c r="P124" s="45"/>
      <c r="Q124" s="45">
        <v>1325907</v>
      </c>
      <c r="R124" s="45"/>
      <c r="S124" s="45">
        <v>0</v>
      </c>
      <c r="T124" s="45"/>
      <c r="U124" s="45">
        <v>0</v>
      </c>
      <c r="V124" s="45"/>
      <c r="W124" s="45">
        <v>0</v>
      </c>
      <c r="X124" s="45"/>
      <c r="Y124" s="45">
        <v>0</v>
      </c>
      <c r="Z124" s="44"/>
      <c r="AA124" s="45">
        <v>0</v>
      </c>
      <c r="AB124" s="44"/>
      <c r="AC124" s="45">
        <f t="shared" si="4"/>
        <v>13085047</v>
      </c>
      <c r="AD124" s="45"/>
      <c r="AE124" s="48">
        <v>0</v>
      </c>
      <c r="AF124" s="48"/>
      <c r="AG124" s="45">
        <v>840000</v>
      </c>
      <c r="AH124" s="45"/>
      <c r="AI124" s="45">
        <v>4301297</v>
      </c>
      <c r="AJ124" s="45"/>
      <c r="AK124" s="45">
        <v>754</v>
      </c>
      <c r="AL124" s="45"/>
      <c r="AM124" s="45">
        <f>+'Gen rev'!U124-'Gen exp'!AC124-AG124+'Gen rev'!W124+AI124+AK124-'Gen Bal'!S124-'Gen exp'!AE124</f>
        <v>0</v>
      </c>
      <c r="AN124" s="44"/>
      <c r="AO124" s="44"/>
      <c r="AP124" s="44"/>
      <c r="AQ124" s="44"/>
    </row>
    <row r="125" spans="1:45" s="46" customFormat="1" ht="12.75" customHeight="1">
      <c r="A125" s="28" t="s">
        <v>151</v>
      </c>
      <c r="B125" s="49"/>
      <c r="C125" s="28" t="s">
        <v>13</v>
      </c>
      <c r="D125" s="49"/>
      <c r="E125" s="45">
        <v>2613143</v>
      </c>
      <c r="F125" s="45"/>
      <c r="G125" s="45">
        <v>4723900</v>
      </c>
      <c r="H125" s="45"/>
      <c r="I125" s="45">
        <v>481068</v>
      </c>
      <c r="J125" s="45"/>
      <c r="K125" s="45">
        <v>201280</v>
      </c>
      <c r="L125" s="45"/>
      <c r="M125" s="45">
        <v>0</v>
      </c>
      <c r="N125" s="45"/>
      <c r="O125" s="45">
        <v>3694</v>
      </c>
      <c r="P125" s="45"/>
      <c r="Q125" s="45">
        <v>238162</v>
      </c>
      <c r="R125" s="45"/>
      <c r="S125" s="45">
        <v>0</v>
      </c>
      <c r="T125" s="45"/>
      <c r="U125" s="45">
        <v>0</v>
      </c>
      <c r="V125" s="45"/>
      <c r="W125" s="45">
        <v>0</v>
      </c>
      <c r="X125" s="45"/>
      <c r="Y125" s="45">
        <v>0</v>
      </c>
      <c r="Z125" s="44"/>
      <c r="AA125" s="45">
        <v>0</v>
      </c>
      <c r="AB125" s="44"/>
      <c r="AC125" s="45">
        <f t="shared" si="4"/>
        <v>8261247</v>
      </c>
      <c r="AD125" s="45"/>
      <c r="AE125" s="48">
        <v>0</v>
      </c>
      <c r="AF125" s="48"/>
      <c r="AG125" s="45">
        <v>1868009</v>
      </c>
      <c r="AH125" s="45"/>
      <c r="AI125" s="45">
        <v>1483983</v>
      </c>
      <c r="AJ125" s="45"/>
      <c r="AK125" s="45">
        <v>0</v>
      </c>
      <c r="AL125" s="45"/>
      <c r="AM125" s="45">
        <f>+'Gen rev'!U125-'Gen exp'!AC125-AG125+'Gen rev'!W125+AI125+AK125-'Gen Bal'!S125-'Gen exp'!AE125</f>
        <v>0</v>
      </c>
    </row>
    <row r="126" spans="1:45" s="46" customFormat="1" ht="12.75" customHeight="1">
      <c r="A126" s="28" t="s">
        <v>481</v>
      </c>
      <c r="B126" s="49"/>
      <c r="C126" s="28" t="s">
        <v>45</v>
      </c>
      <c r="D126" s="49"/>
      <c r="E126" s="45">
        <v>1052349</v>
      </c>
      <c r="F126" s="45"/>
      <c r="G126" s="45">
        <v>3091988</v>
      </c>
      <c r="H126" s="45"/>
      <c r="I126" s="45">
        <v>152301</v>
      </c>
      <c r="J126" s="45"/>
      <c r="K126" s="45">
        <v>0</v>
      </c>
      <c r="L126" s="45"/>
      <c r="M126" s="45">
        <v>823574</v>
      </c>
      <c r="N126" s="45"/>
      <c r="O126" s="45">
        <v>156584</v>
      </c>
      <c r="P126" s="45"/>
      <c r="Q126" s="45">
        <v>498387</v>
      </c>
      <c r="R126" s="45"/>
      <c r="S126" s="45">
        <v>0</v>
      </c>
      <c r="T126" s="45"/>
      <c r="U126" s="45">
        <v>0</v>
      </c>
      <c r="V126" s="45"/>
      <c r="W126" s="45">
        <v>0</v>
      </c>
      <c r="X126" s="45"/>
      <c r="Y126" s="45">
        <v>0</v>
      </c>
      <c r="Z126" s="44"/>
      <c r="AA126" s="45">
        <v>0</v>
      </c>
      <c r="AB126" s="44"/>
      <c r="AC126" s="45">
        <f t="shared" si="4"/>
        <v>5775183</v>
      </c>
      <c r="AD126" s="45"/>
      <c r="AE126" s="48">
        <v>0</v>
      </c>
      <c r="AF126" s="48"/>
      <c r="AG126" s="45">
        <v>712000</v>
      </c>
      <c r="AH126" s="45"/>
      <c r="AI126" s="45">
        <v>2467078</v>
      </c>
      <c r="AJ126" s="45"/>
      <c r="AK126" s="45">
        <v>0</v>
      </c>
      <c r="AL126" s="45"/>
      <c r="AM126" s="45">
        <f>+'Gen rev'!U126-'Gen exp'!AC126-AG126+'Gen rev'!W126+AI126+AK126-'Gen Bal'!S126-'Gen exp'!AE126</f>
        <v>0</v>
      </c>
    </row>
    <row r="127" spans="1:45" s="49" customFormat="1" ht="12.75" customHeight="1">
      <c r="A127" s="28" t="s">
        <v>152</v>
      </c>
      <c r="C127" s="28" t="s">
        <v>153</v>
      </c>
      <c r="E127" s="45">
        <v>7447875</v>
      </c>
      <c r="F127" s="45"/>
      <c r="G127" s="45">
        <v>1406792</v>
      </c>
      <c r="H127" s="45"/>
      <c r="I127" s="45">
        <v>571085</v>
      </c>
      <c r="J127" s="45"/>
      <c r="K127" s="45">
        <v>47212</v>
      </c>
      <c r="L127" s="45"/>
      <c r="M127" s="45">
        <v>0</v>
      </c>
      <c r="N127" s="45"/>
      <c r="O127" s="45">
        <v>734976</v>
      </c>
      <c r="P127" s="45"/>
      <c r="Q127" s="45">
        <v>0</v>
      </c>
      <c r="R127" s="45"/>
      <c r="S127" s="45">
        <v>0</v>
      </c>
      <c r="T127" s="45"/>
      <c r="U127" s="45">
        <v>0</v>
      </c>
      <c r="V127" s="45"/>
      <c r="W127" s="45">
        <v>0</v>
      </c>
      <c r="X127" s="45"/>
      <c r="Y127" s="45">
        <v>0</v>
      </c>
      <c r="Z127" s="44"/>
      <c r="AA127" s="45">
        <v>0</v>
      </c>
      <c r="AB127" s="44"/>
      <c r="AC127" s="45">
        <f t="shared" si="4"/>
        <v>10207940</v>
      </c>
      <c r="AD127" s="45"/>
      <c r="AE127" s="48">
        <v>0</v>
      </c>
      <c r="AF127" s="48"/>
      <c r="AG127" s="45">
        <v>1242139</v>
      </c>
      <c r="AH127" s="45"/>
      <c r="AI127" s="45">
        <v>2373998</v>
      </c>
      <c r="AJ127" s="45"/>
      <c r="AK127" s="45">
        <v>-4478</v>
      </c>
      <c r="AL127" s="45"/>
      <c r="AM127" s="45">
        <f>+'Gen rev'!U127-'Gen exp'!AC127-AG127+'Gen rev'!W127+AI127+AK127-'Gen Bal'!S127-'Gen exp'!AE127</f>
        <v>0</v>
      </c>
      <c r="AN127" s="44"/>
      <c r="AO127" s="44"/>
      <c r="AP127" s="44"/>
      <c r="AQ127" s="44"/>
    </row>
    <row r="128" spans="1:45" s="123" customFormat="1" ht="12.75" hidden="1" customHeight="1">
      <c r="A128" s="131" t="s">
        <v>154</v>
      </c>
      <c r="B128" s="130"/>
      <c r="C128" s="131" t="s">
        <v>27</v>
      </c>
      <c r="D128" s="130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1"/>
      <c r="AA128" s="127"/>
      <c r="AB128" s="121"/>
      <c r="AC128" s="127">
        <f t="shared" si="4"/>
        <v>0</v>
      </c>
      <c r="AD128" s="127"/>
      <c r="AE128" s="132">
        <v>0</v>
      </c>
      <c r="AF128" s="132"/>
      <c r="AG128" s="127"/>
      <c r="AH128" s="127"/>
      <c r="AI128" s="127"/>
      <c r="AJ128" s="127"/>
      <c r="AK128" s="127"/>
      <c r="AL128" s="127"/>
      <c r="AM128" s="127">
        <f>+'Gen rev'!U128-'Gen exp'!AC128-AG128+'Gen rev'!W128+AI128+AK128-'Gen Bal'!S128-'Gen exp'!AE128</f>
        <v>0</v>
      </c>
    </row>
    <row r="129" spans="1:45" s="49" customFormat="1" ht="12.75" customHeight="1">
      <c r="A129" s="28" t="s">
        <v>155</v>
      </c>
      <c r="C129" s="28" t="s">
        <v>40</v>
      </c>
      <c r="E129" s="45">
        <f>3616794+679716</f>
        <v>4296510</v>
      </c>
      <c r="F129" s="45"/>
      <c r="G129" s="45">
        <f>2909490+2079398</f>
        <v>4988888</v>
      </c>
      <c r="H129" s="45"/>
      <c r="I129" s="45">
        <v>0</v>
      </c>
      <c r="J129" s="45"/>
      <c r="K129" s="45">
        <v>414337</v>
      </c>
      <c r="L129" s="45"/>
      <c r="M129" s="45">
        <v>0</v>
      </c>
      <c r="N129" s="45"/>
      <c r="O129" s="45">
        <v>0</v>
      </c>
      <c r="P129" s="45"/>
      <c r="Q129" s="45">
        <v>0</v>
      </c>
      <c r="R129" s="45"/>
      <c r="S129" s="45">
        <v>0</v>
      </c>
      <c r="T129" s="45"/>
      <c r="U129" s="45">
        <v>0</v>
      </c>
      <c r="V129" s="45"/>
      <c r="W129" s="45">
        <v>0</v>
      </c>
      <c r="X129" s="45"/>
      <c r="Y129" s="45">
        <v>9676</v>
      </c>
      <c r="Z129" s="44"/>
      <c r="AA129" s="45">
        <v>0</v>
      </c>
      <c r="AB129" s="44"/>
      <c r="AC129" s="45">
        <f t="shared" si="4"/>
        <v>9709411</v>
      </c>
      <c r="AD129" s="45"/>
      <c r="AE129" s="48">
        <v>0</v>
      </c>
      <c r="AF129" s="48"/>
      <c r="AG129" s="45">
        <v>685180</v>
      </c>
      <c r="AH129" s="45"/>
      <c r="AI129" s="45">
        <v>2899641</v>
      </c>
      <c r="AJ129" s="45"/>
      <c r="AK129" s="45">
        <v>0</v>
      </c>
      <c r="AL129" s="45"/>
      <c r="AM129" s="45">
        <f>+'Gen rev'!U129-'Gen exp'!AC129-AG129+'Gen rev'!W129+AI129+AK129-'Gen Bal'!S129-'Gen exp'!AE129</f>
        <v>0</v>
      </c>
      <c r="AN129" s="44"/>
      <c r="AO129" s="44"/>
      <c r="AP129" s="44"/>
      <c r="AQ129" s="44"/>
    </row>
    <row r="130" spans="1:45" s="49" customFormat="1" ht="12.75" customHeight="1">
      <c r="A130" s="28"/>
      <c r="C130" s="28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4"/>
      <c r="AA130" s="45"/>
      <c r="AB130" s="44"/>
      <c r="AC130" s="45"/>
      <c r="AD130" s="45"/>
      <c r="AE130" s="48"/>
      <c r="AF130" s="48"/>
      <c r="AG130" s="48" t="s">
        <v>484</v>
      </c>
      <c r="AH130" s="45"/>
      <c r="AI130" s="45"/>
      <c r="AJ130" s="45"/>
      <c r="AK130" s="45"/>
      <c r="AL130" s="45"/>
      <c r="AM130" s="45"/>
      <c r="AN130" s="44"/>
      <c r="AO130" s="44"/>
      <c r="AP130" s="44"/>
      <c r="AQ130" s="44"/>
    </row>
    <row r="131" spans="1:45" s="49" customFormat="1" ht="12.75" customHeight="1">
      <c r="A131" s="28" t="s">
        <v>156</v>
      </c>
      <c r="C131" s="28" t="s">
        <v>156</v>
      </c>
      <c r="E131" s="94">
        <f>683974+3070608</f>
        <v>3754582</v>
      </c>
      <c r="F131" s="94"/>
      <c r="G131" s="94">
        <f>6906095+6022562+257366</f>
        <v>13186023</v>
      </c>
      <c r="H131" s="94"/>
      <c r="I131" s="94">
        <v>381272</v>
      </c>
      <c r="J131" s="94"/>
      <c r="K131" s="94">
        <v>1231500</v>
      </c>
      <c r="L131" s="94"/>
      <c r="M131" s="94">
        <v>406415</v>
      </c>
      <c r="N131" s="94"/>
      <c r="O131" s="94">
        <v>653839</v>
      </c>
      <c r="P131" s="94"/>
      <c r="Q131" s="94">
        <v>0</v>
      </c>
      <c r="R131" s="94"/>
      <c r="S131" s="94">
        <v>0</v>
      </c>
      <c r="T131" s="94"/>
      <c r="U131" s="94">
        <v>0</v>
      </c>
      <c r="V131" s="94"/>
      <c r="W131" s="94">
        <v>0</v>
      </c>
      <c r="X131" s="94"/>
      <c r="Y131" s="94">
        <v>0</v>
      </c>
      <c r="Z131" s="46"/>
      <c r="AA131" s="94">
        <v>0</v>
      </c>
      <c r="AB131" s="46"/>
      <c r="AC131" s="94">
        <f t="shared" si="4"/>
        <v>19613631</v>
      </c>
      <c r="AD131" s="94"/>
      <c r="AE131" s="68">
        <v>0</v>
      </c>
      <c r="AF131" s="68"/>
      <c r="AG131" s="94">
        <v>1707715</v>
      </c>
      <c r="AH131" s="94"/>
      <c r="AI131" s="94">
        <v>4105924</v>
      </c>
      <c r="AJ131" s="94"/>
      <c r="AK131" s="94">
        <v>0</v>
      </c>
      <c r="AL131" s="94"/>
      <c r="AM131" s="94">
        <f>+'Gen rev'!U131-'Gen exp'!AC131-AG131+'Gen rev'!W131+AI131+AK131-'Gen Bal'!S131-'Gen exp'!AE131</f>
        <v>0</v>
      </c>
      <c r="AN131" s="94"/>
      <c r="AO131" s="94"/>
      <c r="AP131" s="45"/>
      <c r="AQ131" s="45"/>
      <c r="AR131" s="52"/>
      <c r="AS131" s="50"/>
    </row>
    <row r="132" spans="1:45" s="49" customFormat="1" ht="12.75" customHeight="1">
      <c r="A132" s="28" t="s">
        <v>157</v>
      </c>
      <c r="C132" s="28" t="s">
        <v>33</v>
      </c>
      <c r="E132" s="45">
        <v>594912</v>
      </c>
      <c r="F132" s="45"/>
      <c r="G132" s="45">
        <v>1283420</v>
      </c>
      <c r="H132" s="45"/>
      <c r="I132" s="45">
        <v>0</v>
      </c>
      <c r="J132" s="45"/>
      <c r="K132" s="45">
        <v>20780</v>
      </c>
      <c r="L132" s="45"/>
      <c r="M132" s="45">
        <v>0</v>
      </c>
      <c r="N132" s="45"/>
      <c r="O132" s="45">
        <v>0</v>
      </c>
      <c r="P132" s="45"/>
      <c r="Q132" s="45">
        <v>0</v>
      </c>
      <c r="R132" s="45"/>
      <c r="S132" s="45">
        <v>0</v>
      </c>
      <c r="T132" s="45"/>
      <c r="U132" s="45">
        <v>0</v>
      </c>
      <c r="V132" s="45"/>
      <c r="W132" s="45">
        <v>0</v>
      </c>
      <c r="X132" s="45"/>
      <c r="Y132" s="45">
        <v>0</v>
      </c>
      <c r="Z132" s="44"/>
      <c r="AA132" s="45">
        <v>0</v>
      </c>
      <c r="AB132" s="44"/>
      <c r="AC132" s="45">
        <f t="shared" si="4"/>
        <v>1899112</v>
      </c>
      <c r="AD132" s="45"/>
      <c r="AE132" s="48">
        <v>0</v>
      </c>
      <c r="AF132" s="48"/>
      <c r="AG132" s="45">
        <v>168000</v>
      </c>
      <c r="AH132" s="45"/>
      <c r="AI132" s="45">
        <v>364828</v>
      </c>
      <c r="AJ132" s="45"/>
      <c r="AK132" s="45">
        <v>0</v>
      </c>
      <c r="AL132" s="45"/>
      <c r="AM132" s="45">
        <f>+'Gen rev'!U132-'Gen exp'!AC132-AG132+'Gen rev'!W132+AI132+AK132-'Gen Bal'!S132-'Gen exp'!AE132</f>
        <v>0</v>
      </c>
      <c r="AN132" s="44"/>
      <c r="AO132" s="44"/>
      <c r="AP132" s="44"/>
      <c r="AQ132" s="44"/>
    </row>
    <row r="133" spans="1:45" s="49" customFormat="1" ht="12.75" customHeight="1">
      <c r="A133" s="64" t="s">
        <v>158</v>
      </c>
      <c r="B133" s="46"/>
      <c r="C133" s="64" t="s">
        <v>159</v>
      </c>
      <c r="D133" s="46"/>
      <c r="E133" s="45">
        <v>2386491</v>
      </c>
      <c r="F133" s="45"/>
      <c r="G133" s="45">
        <f>3225631+2892267+650704</f>
        <v>6768602</v>
      </c>
      <c r="H133" s="45"/>
      <c r="I133" s="45">
        <v>506705</v>
      </c>
      <c r="J133" s="45"/>
      <c r="K133" s="45">
        <v>488671</v>
      </c>
      <c r="L133" s="45"/>
      <c r="M133" s="45">
        <v>0</v>
      </c>
      <c r="N133" s="45"/>
      <c r="O133" s="45">
        <v>263906</v>
      </c>
      <c r="P133" s="45"/>
      <c r="Q133" s="45">
        <v>0</v>
      </c>
      <c r="R133" s="45"/>
      <c r="S133" s="45">
        <v>479994</v>
      </c>
      <c r="T133" s="45"/>
      <c r="U133" s="45">
        <v>0</v>
      </c>
      <c r="V133" s="45"/>
      <c r="W133" s="45">
        <v>14363</v>
      </c>
      <c r="X133" s="45"/>
      <c r="Y133" s="45">
        <v>1384</v>
      </c>
      <c r="Z133" s="44"/>
      <c r="AA133" s="45">
        <v>0</v>
      </c>
      <c r="AB133" s="44"/>
      <c r="AC133" s="45">
        <f t="shared" si="4"/>
        <v>10910116</v>
      </c>
      <c r="AD133" s="45"/>
      <c r="AE133" s="48">
        <v>0</v>
      </c>
      <c r="AF133" s="48"/>
      <c r="AG133" s="45">
        <f>127422+2999061</f>
        <v>3126483</v>
      </c>
      <c r="AH133" s="45"/>
      <c r="AI133" s="45">
        <v>6148311</v>
      </c>
      <c r="AJ133" s="45"/>
      <c r="AK133" s="45">
        <v>0</v>
      </c>
      <c r="AL133" s="45"/>
      <c r="AM133" s="45">
        <f>+'Gen rev'!U133-'Gen exp'!AC133-AG133+'Gen rev'!W133+AI133+AK133-'Gen Bal'!S133-'Gen exp'!AE133</f>
        <v>0</v>
      </c>
      <c r="AN133" s="45"/>
      <c r="AO133" s="45"/>
      <c r="AP133" s="45"/>
      <c r="AQ133" s="45"/>
      <c r="AR133" s="52"/>
      <c r="AS133" s="50"/>
    </row>
    <row r="134" spans="1:45" s="46" customFormat="1" ht="12.75" customHeight="1">
      <c r="A134" s="64" t="s">
        <v>160</v>
      </c>
      <c r="C134" s="64" t="s">
        <v>111</v>
      </c>
      <c r="E134" s="45">
        <v>7598481</v>
      </c>
      <c r="F134" s="45"/>
      <c r="G134" s="45">
        <v>6481757</v>
      </c>
      <c r="H134" s="45"/>
      <c r="I134" s="45">
        <v>1066453</v>
      </c>
      <c r="J134" s="45"/>
      <c r="K134" s="45">
        <v>0</v>
      </c>
      <c r="L134" s="45"/>
      <c r="M134" s="45">
        <v>3224980</v>
      </c>
      <c r="N134" s="45"/>
      <c r="O134" s="45">
        <v>2488160</v>
      </c>
      <c r="P134" s="45"/>
      <c r="Q134" s="45">
        <v>251649</v>
      </c>
      <c r="R134" s="45"/>
      <c r="S134" s="45">
        <v>2003019</v>
      </c>
      <c r="T134" s="45"/>
      <c r="U134" s="45">
        <v>0</v>
      </c>
      <c r="V134" s="45"/>
      <c r="W134" s="45">
        <v>6850000</v>
      </c>
      <c r="X134" s="45"/>
      <c r="Y134" s="45">
        <v>540793</v>
      </c>
      <c r="Z134" s="44"/>
      <c r="AA134" s="45">
        <v>0</v>
      </c>
      <c r="AB134" s="44"/>
      <c r="AC134" s="45">
        <f t="shared" si="4"/>
        <v>30505292</v>
      </c>
      <c r="AD134" s="45"/>
      <c r="AE134" s="48">
        <v>0</v>
      </c>
      <c r="AF134" s="48"/>
      <c r="AG134" s="45">
        <v>5781700</v>
      </c>
      <c r="AH134" s="45"/>
      <c r="AI134" s="45">
        <v>22734700</v>
      </c>
      <c r="AJ134" s="45"/>
      <c r="AK134" s="45">
        <v>-31517</v>
      </c>
      <c r="AL134" s="45"/>
      <c r="AM134" s="45">
        <f>+'Gen rev'!U134-'Gen exp'!AC134-AG134+'Gen rev'!W134+AI134+AK134-'Gen Bal'!S134-'Gen exp'!AE134</f>
        <v>0</v>
      </c>
      <c r="AN134" s="90"/>
      <c r="AO134" s="90"/>
      <c r="AP134" s="90"/>
      <c r="AQ134" s="90"/>
      <c r="AR134" s="90"/>
      <c r="AS134" s="64"/>
    </row>
    <row r="135" spans="1:45" s="49" customFormat="1" ht="12.75" customHeight="1">
      <c r="A135" s="28" t="s">
        <v>161</v>
      </c>
      <c r="C135" s="28" t="s">
        <v>15</v>
      </c>
      <c r="E135" s="45">
        <v>5921896</v>
      </c>
      <c r="F135" s="45"/>
      <c r="G135" s="45">
        <v>8651579</v>
      </c>
      <c r="H135" s="45"/>
      <c r="I135" s="45">
        <v>0</v>
      </c>
      <c r="J135" s="45"/>
      <c r="K135" s="45">
        <v>396249</v>
      </c>
      <c r="L135" s="45"/>
      <c r="M135" s="45">
        <v>1392313</v>
      </c>
      <c r="N135" s="45"/>
      <c r="O135" s="45">
        <v>0</v>
      </c>
      <c r="P135" s="45"/>
      <c r="Q135" s="45">
        <v>0</v>
      </c>
      <c r="R135" s="45"/>
      <c r="S135" s="45">
        <v>0</v>
      </c>
      <c r="T135" s="45"/>
      <c r="U135" s="45">
        <v>0</v>
      </c>
      <c r="V135" s="45"/>
      <c r="W135" s="45">
        <v>20487</v>
      </c>
      <c r="X135" s="45"/>
      <c r="Y135" s="45">
        <v>464</v>
      </c>
      <c r="Z135" s="44"/>
      <c r="AA135" s="45">
        <v>0</v>
      </c>
      <c r="AB135" s="44"/>
      <c r="AC135" s="45">
        <f t="shared" si="4"/>
        <v>16382988</v>
      </c>
      <c r="AD135" s="45"/>
      <c r="AE135" s="48">
        <v>0</v>
      </c>
      <c r="AF135" s="48"/>
      <c r="AG135" s="45">
        <v>1393831</v>
      </c>
      <c r="AH135" s="45"/>
      <c r="AI135" s="45">
        <v>1639063</v>
      </c>
      <c r="AJ135" s="45"/>
      <c r="AK135" s="45">
        <v>0</v>
      </c>
      <c r="AL135" s="45"/>
      <c r="AM135" s="45">
        <f>+'Gen rev'!U135-'Gen exp'!AC135-AG135+'Gen rev'!W135+AI135+AK135-'Gen Bal'!S135-'Gen exp'!AE135</f>
        <v>0</v>
      </c>
      <c r="AN135" s="45"/>
      <c r="AO135" s="45"/>
      <c r="AP135" s="45"/>
      <c r="AQ135" s="45"/>
      <c r="AR135" s="52"/>
      <c r="AS135" s="50"/>
    </row>
    <row r="136" spans="1:45" s="49" customFormat="1" ht="12.75" customHeight="1">
      <c r="A136" s="28" t="s">
        <v>162</v>
      </c>
      <c r="C136" s="28" t="s">
        <v>163</v>
      </c>
      <c r="E136" s="45">
        <v>3073969</v>
      </c>
      <c r="F136" s="45"/>
      <c r="G136" s="45">
        <v>9348858</v>
      </c>
      <c r="H136" s="45"/>
      <c r="I136" s="45">
        <v>493893</v>
      </c>
      <c r="J136" s="45"/>
      <c r="K136" s="45">
        <v>178416</v>
      </c>
      <c r="L136" s="45"/>
      <c r="M136" s="45">
        <v>2164733</v>
      </c>
      <c r="N136" s="45"/>
      <c r="O136" s="45">
        <v>2219650</v>
      </c>
      <c r="P136" s="45"/>
      <c r="Q136" s="45">
        <v>1080390</v>
      </c>
      <c r="R136" s="45"/>
      <c r="S136" s="45">
        <v>0</v>
      </c>
      <c r="T136" s="45"/>
      <c r="U136" s="45">
        <v>0</v>
      </c>
      <c r="V136" s="45"/>
      <c r="W136" s="45">
        <v>0</v>
      </c>
      <c r="X136" s="45"/>
      <c r="Y136" s="45">
        <v>0</v>
      </c>
      <c r="Z136" s="44"/>
      <c r="AA136" s="45">
        <v>0</v>
      </c>
      <c r="AB136" s="44"/>
      <c r="AC136" s="45">
        <f t="shared" si="4"/>
        <v>18559909</v>
      </c>
      <c r="AD136" s="45"/>
      <c r="AE136" s="48">
        <v>0</v>
      </c>
      <c r="AF136" s="48"/>
      <c r="AG136" s="45">
        <v>692000</v>
      </c>
      <c r="AH136" s="45"/>
      <c r="AI136" s="45">
        <v>66899</v>
      </c>
      <c r="AJ136" s="45"/>
      <c r="AK136" s="45">
        <v>-8186</v>
      </c>
      <c r="AL136" s="45"/>
      <c r="AM136" s="45">
        <f>+'Gen rev'!U136-'Gen exp'!AC136-AG136+'Gen rev'!W136+AI136+AK136-'Gen Bal'!S136-'Gen exp'!AE136</f>
        <v>0</v>
      </c>
      <c r="AN136" s="44"/>
      <c r="AO136" s="44"/>
      <c r="AP136" s="44"/>
      <c r="AQ136" s="44"/>
    </row>
    <row r="137" spans="1:45" s="49" customFormat="1" ht="12.75" customHeight="1">
      <c r="A137" s="28" t="s">
        <v>164</v>
      </c>
      <c r="C137" s="28" t="s">
        <v>27</v>
      </c>
      <c r="E137" s="45">
        <v>2418183</v>
      </c>
      <c r="F137" s="45"/>
      <c r="G137" s="45">
        <v>10047382</v>
      </c>
      <c r="H137" s="45"/>
      <c r="I137" s="45">
        <v>611802</v>
      </c>
      <c r="J137" s="45"/>
      <c r="K137" s="45">
        <v>300414</v>
      </c>
      <c r="L137" s="45"/>
      <c r="M137" s="45">
        <v>1075322</v>
      </c>
      <c r="N137" s="45"/>
      <c r="O137" s="45">
        <v>1376688</v>
      </c>
      <c r="P137" s="45"/>
      <c r="Q137" s="45">
        <v>858576</v>
      </c>
      <c r="R137" s="45"/>
      <c r="S137" s="45">
        <v>0</v>
      </c>
      <c r="T137" s="45"/>
      <c r="U137" s="45">
        <v>0</v>
      </c>
      <c r="V137" s="45"/>
      <c r="W137" s="45">
        <v>0</v>
      </c>
      <c r="X137" s="45"/>
      <c r="Y137" s="45">
        <v>0</v>
      </c>
      <c r="Z137" s="44"/>
      <c r="AA137" s="45">
        <v>0</v>
      </c>
      <c r="AB137" s="44"/>
      <c r="AC137" s="45">
        <f t="shared" si="4"/>
        <v>16688367</v>
      </c>
      <c r="AD137" s="45"/>
      <c r="AE137" s="48">
        <v>0</v>
      </c>
      <c r="AF137" s="48"/>
      <c r="AG137" s="45">
        <v>2322500</v>
      </c>
      <c r="AH137" s="45"/>
      <c r="AI137" s="45">
        <v>9960925</v>
      </c>
      <c r="AJ137" s="45"/>
      <c r="AK137" s="45">
        <v>1485</v>
      </c>
      <c r="AL137" s="45"/>
      <c r="AM137" s="45">
        <f>+'Gen rev'!U137-'Gen exp'!AC137-AG137+'Gen rev'!W137+AI137+AK137-'Gen Bal'!S137-'Gen exp'!AE137</f>
        <v>0</v>
      </c>
      <c r="AN137" s="44"/>
      <c r="AO137" s="44"/>
      <c r="AP137" s="44"/>
      <c r="AQ137" s="44"/>
    </row>
    <row r="138" spans="1:45" s="49" customFormat="1" ht="12.75" customHeight="1">
      <c r="A138" s="28" t="s">
        <v>53</v>
      </c>
      <c r="C138" s="28" t="s">
        <v>53</v>
      </c>
      <c r="E138" s="45">
        <v>5562658</v>
      </c>
      <c r="F138" s="45"/>
      <c r="G138" s="45">
        <v>152480</v>
      </c>
      <c r="H138" s="45"/>
      <c r="I138" s="45">
        <v>665895</v>
      </c>
      <c r="J138" s="45"/>
      <c r="K138" s="45">
        <v>166441</v>
      </c>
      <c r="L138" s="45"/>
      <c r="M138" s="45">
        <v>0</v>
      </c>
      <c r="N138" s="45"/>
      <c r="O138" s="45">
        <v>0</v>
      </c>
      <c r="P138" s="45"/>
      <c r="Q138" s="45">
        <v>0</v>
      </c>
      <c r="R138" s="45"/>
      <c r="S138" s="45">
        <v>0</v>
      </c>
      <c r="T138" s="45"/>
      <c r="U138" s="45">
        <v>0</v>
      </c>
      <c r="V138" s="45"/>
      <c r="W138" s="45">
        <v>0</v>
      </c>
      <c r="X138" s="45"/>
      <c r="Y138" s="45">
        <v>0</v>
      </c>
      <c r="Z138" s="44"/>
      <c r="AA138" s="45">
        <v>0</v>
      </c>
      <c r="AB138" s="44"/>
      <c r="AC138" s="45">
        <f t="shared" si="4"/>
        <v>6547474</v>
      </c>
      <c r="AD138" s="45"/>
      <c r="AE138" s="48">
        <v>0</v>
      </c>
      <c r="AF138" s="48"/>
      <c r="AG138" s="45">
        <v>30000</v>
      </c>
      <c r="AH138" s="45"/>
      <c r="AI138" s="45">
        <v>7311562</v>
      </c>
      <c r="AJ138" s="45"/>
      <c r="AK138" s="45">
        <v>0</v>
      </c>
      <c r="AL138" s="45"/>
      <c r="AM138" s="45">
        <f>+'Gen rev'!U138-'Gen exp'!AC138-AG138+'Gen rev'!W138+AI138+AK138-'Gen Bal'!S138-'Gen exp'!AE138</f>
        <v>0</v>
      </c>
      <c r="AN138" s="45"/>
      <c r="AO138" s="45"/>
      <c r="AP138" s="45"/>
      <c r="AQ138" s="45"/>
      <c r="AR138" s="52"/>
      <c r="AS138" s="50"/>
    </row>
    <row r="139" spans="1:45" s="49" customFormat="1" ht="12.75" customHeight="1">
      <c r="A139" s="28" t="s">
        <v>165</v>
      </c>
      <c r="C139" s="28" t="s">
        <v>92</v>
      </c>
      <c r="E139" s="45">
        <v>7275723</v>
      </c>
      <c r="F139" s="45"/>
      <c r="G139" s="45">
        <f>11105428+9262337</f>
        <v>20367765</v>
      </c>
      <c r="H139" s="45"/>
      <c r="I139" s="45">
        <v>1452747</v>
      </c>
      <c r="J139" s="45"/>
      <c r="K139" s="45">
        <v>0</v>
      </c>
      <c r="L139" s="45"/>
      <c r="M139" s="45">
        <v>7472596</v>
      </c>
      <c r="N139" s="45"/>
      <c r="O139" s="45">
        <v>6480397</v>
      </c>
      <c r="P139" s="45"/>
      <c r="Q139" s="45">
        <v>2090630</v>
      </c>
      <c r="R139" s="45"/>
      <c r="S139" s="45">
        <v>977452</v>
      </c>
      <c r="T139" s="45"/>
      <c r="U139" s="45">
        <v>0</v>
      </c>
      <c r="V139" s="45"/>
      <c r="W139" s="45">
        <v>21221</v>
      </c>
      <c r="X139" s="45"/>
      <c r="Y139" s="45">
        <v>0</v>
      </c>
      <c r="Z139" s="44"/>
      <c r="AA139" s="45">
        <v>0</v>
      </c>
      <c r="AB139" s="44"/>
      <c r="AC139" s="45">
        <f t="shared" si="4"/>
        <v>46138531</v>
      </c>
      <c r="AD139" s="45"/>
      <c r="AE139" s="48">
        <v>0</v>
      </c>
      <c r="AF139" s="48"/>
      <c r="AG139" s="45">
        <v>53396</v>
      </c>
      <c r="AH139" s="45"/>
      <c r="AI139" s="45">
        <v>17993112</v>
      </c>
      <c r="AJ139" s="45"/>
      <c r="AK139" s="45">
        <v>-20294</v>
      </c>
      <c r="AL139" s="45"/>
      <c r="AM139" s="45">
        <f>+'Gen rev'!U139-'Gen exp'!AC139-AG139+'Gen rev'!W139+AI139+AK139-'Gen Bal'!S139-'Gen exp'!AE139</f>
        <v>0</v>
      </c>
      <c r="AN139" s="44"/>
      <c r="AO139" s="44"/>
      <c r="AP139" s="44"/>
      <c r="AQ139" s="44"/>
    </row>
    <row r="140" spans="1:45" s="49" customFormat="1" ht="12.75" customHeight="1">
      <c r="A140" s="28" t="s">
        <v>166</v>
      </c>
      <c r="C140" s="28" t="s">
        <v>92</v>
      </c>
      <c r="E140" s="45">
        <v>629591</v>
      </c>
      <c r="F140" s="45"/>
      <c r="G140" s="45">
        <v>935222</v>
      </c>
      <c r="H140" s="45"/>
      <c r="I140" s="45">
        <v>0</v>
      </c>
      <c r="J140" s="45"/>
      <c r="K140" s="45">
        <v>64865</v>
      </c>
      <c r="L140" s="45"/>
      <c r="M140" s="45">
        <v>310770</v>
      </c>
      <c r="N140" s="45"/>
      <c r="O140" s="45">
        <v>34833</v>
      </c>
      <c r="P140" s="45"/>
      <c r="Q140" s="45">
        <v>291947</v>
      </c>
      <c r="R140" s="45"/>
      <c r="S140" s="45">
        <v>269543</v>
      </c>
      <c r="T140" s="45"/>
      <c r="U140" s="45">
        <v>0</v>
      </c>
      <c r="V140" s="45"/>
      <c r="W140" s="45">
        <v>4612</v>
      </c>
      <c r="X140" s="45"/>
      <c r="Y140" s="45">
        <v>2701</v>
      </c>
      <c r="Z140" s="44"/>
      <c r="AA140" s="45">
        <v>0</v>
      </c>
      <c r="AB140" s="44"/>
      <c r="AC140" s="45">
        <f t="shared" si="4"/>
        <v>2544084</v>
      </c>
      <c r="AD140" s="45"/>
      <c r="AE140" s="48">
        <v>0</v>
      </c>
      <c r="AF140" s="48"/>
      <c r="AG140" s="45">
        <v>88320</v>
      </c>
      <c r="AH140" s="45"/>
      <c r="AI140" s="45">
        <v>523660</v>
      </c>
      <c r="AJ140" s="45"/>
      <c r="AK140" s="45">
        <v>0</v>
      </c>
      <c r="AL140" s="45"/>
      <c r="AM140" s="45">
        <f>+'Gen rev'!U140-'Gen exp'!AC140-AG140+'Gen rev'!W140+AI140+AK140-'Gen Bal'!S140-'Gen exp'!AE140</f>
        <v>0</v>
      </c>
      <c r="AN140" s="44"/>
      <c r="AO140" s="44"/>
      <c r="AP140" s="44"/>
      <c r="AQ140" s="44"/>
    </row>
    <row r="141" spans="1:45" s="49" customFormat="1" ht="12.75" customHeight="1">
      <c r="A141" s="28" t="s">
        <v>167</v>
      </c>
      <c r="C141" s="28" t="s">
        <v>66</v>
      </c>
      <c r="E141" s="45">
        <v>4408672</v>
      </c>
      <c r="F141" s="45"/>
      <c r="G141" s="45">
        <v>7297801</v>
      </c>
      <c r="H141" s="45"/>
      <c r="I141" s="45">
        <v>885914</v>
      </c>
      <c r="J141" s="45"/>
      <c r="K141" s="45">
        <v>1380</v>
      </c>
      <c r="L141" s="45"/>
      <c r="M141" s="45">
        <v>186820</v>
      </c>
      <c r="N141" s="45"/>
      <c r="O141" s="45">
        <v>1929607</v>
      </c>
      <c r="P141" s="45"/>
      <c r="Q141" s="45">
        <v>694472</v>
      </c>
      <c r="R141" s="45"/>
      <c r="S141" s="45">
        <v>0</v>
      </c>
      <c r="T141" s="45"/>
      <c r="U141" s="45">
        <v>0</v>
      </c>
      <c r="V141" s="45"/>
      <c r="W141" s="45">
        <v>0</v>
      </c>
      <c r="X141" s="45"/>
      <c r="Y141" s="45">
        <v>0</v>
      </c>
      <c r="Z141" s="44"/>
      <c r="AA141" s="45">
        <v>0</v>
      </c>
      <c r="AB141" s="44"/>
      <c r="AC141" s="45">
        <f t="shared" si="4"/>
        <v>15404666</v>
      </c>
      <c r="AD141" s="45"/>
      <c r="AE141" s="48">
        <v>0</v>
      </c>
      <c r="AF141" s="48"/>
      <c r="AG141" s="45">
        <v>112432</v>
      </c>
      <c r="AH141" s="45"/>
      <c r="AI141" s="45">
        <v>5286435</v>
      </c>
      <c r="AJ141" s="45"/>
      <c r="AK141" s="45">
        <v>0</v>
      </c>
      <c r="AL141" s="45"/>
      <c r="AM141" s="45">
        <f>+'Gen rev'!U141-'Gen exp'!AC141-AG141+'Gen rev'!W141+AI141+AK141-'Gen Bal'!S141-'Gen exp'!AE141</f>
        <v>0</v>
      </c>
      <c r="AN141" s="44"/>
      <c r="AO141" s="44"/>
      <c r="AP141" s="44"/>
      <c r="AQ141" s="44"/>
    </row>
    <row r="142" spans="1:45" s="49" customFormat="1" ht="12.75" customHeight="1">
      <c r="A142" s="44" t="s">
        <v>168</v>
      </c>
      <c r="C142" s="44" t="s">
        <v>27</v>
      </c>
      <c r="E142" s="45">
        <v>6365851</v>
      </c>
      <c r="F142" s="45"/>
      <c r="G142" s="45">
        <f>4341146+3102513+55726</f>
        <v>7499385</v>
      </c>
      <c r="H142" s="45"/>
      <c r="I142" s="45">
        <f>613927+150505</f>
        <v>764432</v>
      </c>
      <c r="J142" s="45"/>
      <c r="K142" s="45">
        <v>68135</v>
      </c>
      <c r="L142" s="45"/>
      <c r="M142" s="45">
        <v>0</v>
      </c>
      <c r="N142" s="45"/>
      <c r="O142" s="45">
        <v>0</v>
      </c>
      <c r="P142" s="45"/>
      <c r="Q142" s="45">
        <v>939330</v>
      </c>
      <c r="R142" s="45"/>
      <c r="S142" s="45">
        <v>0</v>
      </c>
      <c r="T142" s="45"/>
      <c r="U142" s="45">
        <v>0</v>
      </c>
      <c r="V142" s="45"/>
      <c r="W142" s="45">
        <v>0</v>
      </c>
      <c r="X142" s="45"/>
      <c r="Y142" s="45">
        <v>0</v>
      </c>
      <c r="Z142" s="44"/>
      <c r="AA142" s="45">
        <v>0</v>
      </c>
      <c r="AB142" s="44"/>
      <c r="AC142" s="45">
        <f>SUM(E142:AA142)</f>
        <v>15637133</v>
      </c>
      <c r="AD142" s="45"/>
      <c r="AE142" s="48">
        <v>0</v>
      </c>
      <c r="AF142" s="48"/>
      <c r="AG142" s="45">
        <v>850000</v>
      </c>
      <c r="AH142" s="45"/>
      <c r="AI142" s="45">
        <v>4256932</v>
      </c>
      <c r="AJ142" s="45"/>
      <c r="AK142" s="45">
        <v>0</v>
      </c>
      <c r="AL142" s="45"/>
      <c r="AM142" s="45">
        <f>+'Gen rev'!U142-'Gen exp'!AC142-AG142+'Gen rev'!W142+AI142+AK142-'Gen Bal'!S142-'Gen exp'!AE142</f>
        <v>0</v>
      </c>
      <c r="AN142" s="45"/>
      <c r="AO142" s="45"/>
      <c r="AP142" s="45"/>
      <c r="AQ142" s="45"/>
      <c r="AR142" s="52"/>
      <c r="AS142" s="50"/>
    </row>
    <row r="143" spans="1:45" s="49" customFormat="1" ht="12.75" customHeight="1">
      <c r="A143" s="28" t="s">
        <v>169</v>
      </c>
      <c r="C143" s="28" t="s">
        <v>103</v>
      </c>
      <c r="E143" s="45">
        <v>4106652</v>
      </c>
      <c r="F143" s="45"/>
      <c r="G143" s="45">
        <v>18207406</v>
      </c>
      <c r="H143" s="45"/>
      <c r="I143" s="45">
        <v>1185922</v>
      </c>
      <c r="J143" s="45"/>
      <c r="K143" s="45">
        <v>148969</v>
      </c>
      <c r="L143" s="45"/>
      <c r="M143" s="45">
        <v>0</v>
      </c>
      <c r="N143" s="45"/>
      <c r="O143" s="45">
        <v>920315</v>
      </c>
      <c r="P143" s="45"/>
      <c r="Q143" s="45">
        <v>886868</v>
      </c>
      <c r="R143" s="45"/>
      <c r="S143" s="45">
        <v>0</v>
      </c>
      <c r="T143" s="45"/>
      <c r="U143" s="45">
        <v>0</v>
      </c>
      <c r="V143" s="45"/>
      <c r="W143" s="45">
        <v>0</v>
      </c>
      <c r="X143" s="45"/>
      <c r="Y143" s="45">
        <v>0</v>
      </c>
      <c r="Z143" s="44"/>
      <c r="AA143" s="45">
        <v>0</v>
      </c>
      <c r="AB143" s="44"/>
      <c r="AC143" s="45">
        <f t="shared" si="4"/>
        <v>25456132</v>
      </c>
      <c r="AD143" s="45"/>
      <c r="AE143" s="48">
        <v>0</v>
      </c>
      <c r="AF143" s="48"/>
      <c r="AG143" s="45">
        <v>198000</v>
      </c>
      <c r="AH143" s="45"/>
      <c r="AI143" s="45">
        <v>9074577</v>
      </c>
      <c r="AJ143" s="45"/>
      <c r="AK143" s="45">
        <v>0</v>
      </c>
      <c r="AL143" s="45"/>
      <c r="AM143" s="45">
        <f>+'Gen rev'!U143-'Gen exp'!AC143-AG143+'Gen rev'!W143+AI143+AK143-'Gen Bal'!S143-'Gen exp'!AE143</f>
        <v>0</v>
      </c>
      <c r="AN143" s="44"/>
      <c r="AO143" s="44"/>
      <c r="AP143" s="44"/>
      <c r="AQ143" s="44"/>
    </row>
    <row r="144" spans="1:45" s="49" customFormat="1" ht="12.75" customHeight="1">
      <c r="A144" s="28" t="s">
        <v>170</v>
      </c>
      <c r="C144" s="28" t="s">
        <v>171</v>
      </c>
      <c r="E144" s="45">
        <v>1227123</v>
      </c>
      <c r="F144" s="45"/>
      <c r="G144" s="45">
        <v>2031866</v>
      </c>
      <c r="H144" s="45"/>
      <c r="I144" s="45">
        <v>0</v>
      </c>
      <c r="J144" s="45"/>
      <c r="K144" s="45">
        <v>380168</v>
      </c>
      <c r="L144" s="45"/>
      <c r="M144" s="45">
        <v>17</v>
      </c>
      <c r="N144" s="45"/>
      <c r="O144" s="45">
        <v>0</v>
      </c>
      <c r="P144" s="45"/>
      <c r="Q144" s="45">
        <v>302022</v>
      </c>
      <c r="R144" s="45"/>
      <c r="S144" s="45">
        <v>0</v>
      </c>
      <c r="T144" s="45"/>
      <c r="U144" s="45">
        <v>0</v>
      </c>
      <c r="V144" s="45"/>
      <c r="W144" s="45">
        <v>0</v>
      </c>
      <c r="X144" s="45"/>
      <c r="Y144" s="45">
        <v>0</v>
      </c>
      <c r="Z144" s="44"/>
      <c r="AA144" s="45">
        <v>0</v>
      </c>
      <c r="AB144" s="44"/>
      <c r="AC144" s="45">
        <f t="shared" si="4"/>
        <v>3941196</v>
      </c>
      <c r="AD144" s="45"/>
      <c r="AE144" s="48">
        <v>0</v>
      </c>
      <c r="AF144" s="48"/>
      <c r="AG144" s="45">
        <v>155000</v>
      </c>
      <c r="AH144" s="45"/>
      <c r="AI144" s="45">
        <v>2886752</v>
      </c>
      <c r="AJ144" s="45"/>
      <c r="AK144" s="45">
        <v>0</v>
      </c>
      <c r="AL144" s="45"/>
      <c r="AM144" s="45">
        <f>+'Gen rev'!U144-'Gen exp'!AC144-AG144+'Gen rev'!W144+AI144+AK144-'Gen Bal'!S144-'Gen exp'!AE144</f>
        <v>0</v>
      </c>
      <c r="AN144" s="44"/>
      <c r="AO144" s="44"/>
      <c r="AP144" s="44"/>
      <c r="AQ144" s="44"/>
    </row>
    <row r="145" spans="1:45" s="49" customFormat="1" ht="12.75" customHeight="1">
      <c r="A145" s="28" t="s">
        <v>172</v>
      </c>
      <c r="C145" s="28" t="s">
        <v>103</v>
      </c>
      <c r="E145" s="45">
        <v>2326962</v>
      </c>
      <c r="F145" s="45"/>
      <c r="G145" s="45">
        <v>280803</v>
      </c>
      <c r="H145" s="45"/>
      <c r="I145" s="45">
        <v>0</v>
      </c>
      <c r="J145" s="45"/>
      <c r="K145" s="45">
        <v>104640</v>
      </c>
      <c r="L145" s="45"/>
      <c r="M145" s="45">
        <v>172231</v>
      </c>
      <c r="N145" s="45"/>
      <c r="O145" s="45">
        <v>27074</v>
      </c>
      <c r="P145" s="45"/>
      <c r="Q145" s="45">
        <v>6653</v>
      </c>
      <c r="R145" s="45"/>
      <c r="S145" s="45">
        <v>0</v>
      </c>
      <c r="T145" s="45"/>
      <c r="U145" s="45">
        <v>0</v>
      </c>
      <c r="V145" s="45"/>
      <c r="W145" s="45">
        <v>4558</v>
      </c>
      <c r="X145" s="45"/>
      <c r="Y145" s="45">
        <v>2568</v>
      </c>
      <c r="Z145" s="44"/>
      <c r="AA145" s="45">
        <v>0</v>
      </c>
      <c r="AB145" s="44"/>
      <c r="AC145" s="45">
        <f t="shared" si="4"/>
        <v>2925489</v>
      </c>
      <c r="AD145" s="45"/>
      <c r="AE145" s="48">
        <v>0</v>
      </c>
      <c r="AF145" s="48"/>
      <c r="AG145" s="45">
        <v>4405379</v>
      </c>
      <c r="AH145" s="45"/>
      <c r="AI145" s="45">
        <v>4285921</v>
      </c>
      <c r="AJ145" s="45"/>
      <c r="AK145" s="45">
        <v>0</v>
      </c>
      <c r="AL145" s="45"/>
      <c r="AM145" s="45">
        <f>+'[3]Gen rev'!U145-'[3]Gen exp'!AC145-AG145+'[3]Gen rev'!W145+AI145+AK145-'[3]Gen Bal'!S145-'[3]Gen exp'!AE145</f>
        <v>0</v>
      </c>
      <c r="AN145" s="44"/>
      <c r="AO145" s="44"/>
      <c r="AP145" s="44"/>
      <c r="AQ145" s="44"/>
    </row>
    <row r="146" spans="1:45" s="49" customFormat="1" ht="12.75" customHeight="1">
      <c r="A146" s="28" t="s">
        <v>66</v>
      </c>
      <c r="C146" s="28" t="s">
        <v>45</v>
      </c>
      <c r="E146" s="45">
        <v>3044252</v>
      </c>
      <c r="F146" s="45"/>
      <c r="G146" s="45">
        <v>2818564</v>
      </c>
      <c r="H146" s="45"/>
      <c r="I146" s="45">
        <v>427323</v>
      </c>
      <c r="J146" s="45"/>
      <c r="K146" s="45">
        <v>0</v>
      </c>
      <c r="L146" s="45"/>
      <c r="M146" s="45">
        <v>434539</v>
      </c>
      <c r="N146" s="45"/>
      <c r="O146" s="45">
        <v>780713</v>
      </c>
      <c r="P146" s="45"/>
      <c r="Q146" s="45">
        <v>0</v>
      </c>
      <c r="R146" s="45"/>
      <c r="S146" s="45">
        <v>2564</v>
      </c>
      <c r="T146" s="45"/>
      <c r="U146" s="45">
        <v>0</v>
      </c>
      <c r="V146" s="45"/>
      <c r="W146" s="45">
        <v>0</v>
      </c>
      <c r="X146" s="45"/>
      <c r="Y146" s="45">
        <v>0</v>
      </c>
      <c r="Z146" s="44"/>
      <c r="AA146" s="45">
        <v>0</v>
      </c>
      <c r="AB146" s="44"/>
      <c r="AC146" s="45">
        <f t="shared" si="4"/>
        <v>7507955</v>
      </c>
      <c r="AD146" s="45"/>
      <c r="AE146" s="48">
        <v>0</v>
      </c>
      <c r="AF146" s="48"/>
      <c r="AG146" s="45">
        <v>1448845</v>
      </c>
      <c r="AH146" s="45"/>
      <c r="AI146" s="45">
        <v>12565923</v>
      </c>
      <c r="AJ146" s="45"/>
      <c r="AK146" s="45">
        <v>0</v>
      </c>
      <c r="AL146" s="45"/>
      <c r="AM146" s="45">
        <f>+'[3]Gen rev'!U146-'[3]Gen exp'!AC146-AG146+'[3]Gen rev'!W146+AI146+AK146-'[3]Gen Bal'!S146-'[3]Gen exp'!AE146</f>
        <v>0</v>
      </c>
      <c r="AN146" s="44"/>
      <c r="AO146" s="44"/>
      <c r="AP146" s="44"/>
      <c r="AQ146" s="44"/>
    </row>
    <row r="147" spans="1:45" s="49" customFormat="1" ht="12.75" customHeight="1">
      <c r="A147" s="28" t="s">
        <v>173</v>
      </c>
      <c r="C147" s="28" t="s">
        <v>66</v>
      </c>
      <c r="E147" s="45">
        <v>4887768</v>
      </c>
      <c r="F147" s="45"/>
      <c r="G147" s="45">
        <v>8080330</v>
      </c>
      <c r="H147" s="45"/>
      <c r="I147" s="45">
        <v>189523</v>
      </c>
      <c r="J147" s="45"/>
      <c r="K147" s="45">
        <v>84646</v>
      </c>
      <c r="L147" s="45"/>
      <c r="M147" s="45">
        <v>501997</v>
      </c>
      <c r="N147" s="45"/>
      <c r="O147" s="45">
        <v>119310</v>
      </c>
      <c r="P147" s="45"/>
      <c r="Q147" s="45">
        <v>346657</v>
      </c>
      <c r="R147" s="45"/>
      <c r="S147" s="45">
        <v>0</v>
      </c>
      <c r="T147" s="45"/>
      <c r="U147" s="45">
        <v>0</v>
      </c>
      <c r="V147" s="45"/>
      <c r="W147" s="45">
        <v>0</v>
      </c>
      <c r="X147" s="45"/>
      <c r="Y147" s="45">
        <v>0</v>
      </c>
      <c r="Z147" s="44"/>
      <c r="AA147" s="45">
        <v>0</v>
      </c>
      <c r="AB147" s="44"/>
      <c r="AC147" s="45">
        <f t="shared" ref="AC147:AC213" si="5">SUM(E147:AA147)</f>
        <v>14210231</v>
      </c>
      <c r="AD147" s="45"/>
      <c r="AE147" s="48">
        <v>0</v>
      </c>
      <c r="AF147" s="48"/>
      <c r="AG147" s="45">
        <v>5125000</v>
      </c>
      <c r="AH147" s="45"/>
      <c r="AI147" s="45">
        <v>16887714</v>
      </c>
      <c r="AJ147" s="45"/>
      <c r="AK147" s="45">
        <v>0</v>
      </c>
      <c r="AL147" s="45"/>
      <c r="AM147" s="45">
        <f>+'[3]Gen rev'!U147-'[3]Gen exp'!AC147-AG147+'[3]Gen rev'!W147+AI147+AK147-'[3]Gen Bal'!S147-'[3]Gen exp'!AE147</f>
        <v>0</v>
      </c>
      <c r="AN147" s="44"/>
      <c r="AO147" s="44"/>
      <c r="AP147" s="44"/>
      <c r="AQ147" s="44"/>
    </row>
    <row r="148" spans="1:45" s="49" customFormat="1" ht="12.75" customHeight="1">
      <c r="A148" s="28" t="s">
        <v>174</v>
      </c>
      <c r="C148" s="28" t="s">
        <v>45</v>
      </c>
      <c r="E148" s="45">
        <v>586829</v>
      </c>
      <c r="F148" s="45"/>
      <c r="G148" s="45">
        <v>1317888</v>
      </c>
      <c r="H148" s="45"/>
      <c r="I148" s="45">
        <v>97875</v>
      </c>
      <c r="J148" s="45"/>
      <c r="K148" s="45">
        <v>465512</v>
      </c>
      <c r="L148" s="45"/>
      <c r="M148" s="45">
        <v>0</v>
      </c>
      <c r="N148" s="45"/>
      <c r="O148" s="45">
        <v>185617</v>
      </c>
      <c r="P148" s="45"/>
      <c r="Q148" s="45">
        <v>0</v>
      </c>
      <c r="R148" s="45"/>
      <c r="S148" s="45">
        <v>50791</v>
      </c>
      <c r="T148" s="45"/>
      <c r="U148" s="45">
        <v>0</v>
      </c>
      <c r="V148" s="45"/>
      <c r="W148" s="45">
        <v>7455</v>
      </c>
      <c r="X148" s="45"/>
      <c r="Y148" s="45">
        <v>3469</v>
      </c>
      <c r="Z148" s="44"/>
      <c r="AA148" s="45">
        <v>0</v>
      </c>
      <c r="AB148" s="44"/>
      <c r="AC148" s="45">
        <f t="shared" si="5"/>
        <v>2715436</v>
      </c>
      <c r="AD148" s="45"/>
      <c r="AE148" s="48">
        <v>0</v>
      </c>
      <c r="AF148" s="48"/>
      <c r="AG148" s="45">
        <v>375462</v>
      </c>
      <c r="AH148" s="45"/>
      <c r="AI148" s="45">
        <v>416394</v>
      </c>
      <c r="AJ148" s="45"/>
      <c r="AK148" s="45">
        <v>0</v>
      </c>
      <c r="AL148" s="45"/>
      <c r="AM148" s="45">
        <f>+'[3]Gen rev'!U148-'[3]Gen exp'!AC148-AG148+'[3]Gen rev'!W148+AI148+AK148-'[3]Gen Bal'!S148-'[3]Gen exp'!AE148</f>
        <v>0</v>
      </c>
      <c r="AN148" s="44"/>
      <c r="AO148" s="44"/>
      <c r="AP148" s="44"/>
      <c r="AQ148" s="44"/>
    </row>
    <row r="149" spans="1:45" s="49" customFormat="1" ht="12.75" customHeight="1">
      <c r="A149" s="28" t="s">
        <v>175</v>
      </c>
      <c r="C149" s="28" t="s">
        <v>176</v>
      </c>
      <c r="E149" s="45">
        <v>4871571</v>
      </c>
      <c r="F149" s="45"/>
      <c r="G149" s="45">
        <v>4784001</v>
      </c>
      <c r="H149" s="45"/>
      <c r="I149" s="45">
        <v>34647</v>
      </c>
      <c r="J149" s="45"/>
      <c r="K149" s="45">
        <v>344517</v>
      </c>
      <c r="L149" s="45"/>
      <c r="M149" s="45">
        <v>69143</v>
      </c>
      <c r="N149" s="45"/>
      <c r="O149" s="45">
        <v>679325</v>
      </c>
      <c r="P149" s="45"/>
      <c r="Q149" s="45">
        <v>0</v>
      </c>
      <c r="R149" s="45"/>
      <c r="S149" s="45">
        <v>0</v>
      </c>
      <c r="T149" s="45"/>
      <c r="U149" s="45">
        <v>0</v>
      </c>
      <c r="V149" s="45"/>
      <c r="W149" s="45">
        <v>8879</v>
      </c>
      <c r="X149" s="45"/>
      <c r="Y149" s="45">
        <v>18996</v>
      </c>
      <c r="Z149" s="44"/>
      <c r="AA149" s="45">
        <v>0</v>
      </c>
      <c r="AB149" s="44"/>
      <c r="AC149" s="45">
        <f t="shared" si="5"/>
        <v>10811079</v>
      </c>
      <c r="AD149" s="45"/>
      <c r="AE149" s="48">
        <v>0</v>
      </c>
      <c r="AF149" s="48"/>
      <c r="AG149" s="45">
        <f>2493139</f>
        <v>2493139</v>
      </c>
      <c r="AH149" s="45"/>
      <c r="AI149" s="45">
        <v>4820198</v>
      </c>
      <c r="AJ149" s="45"/>
      <c r="AK149" s="45">
        <v>-92</v>
      </c>
      <c r="AL149" s="45"/>
      <c r="AM149" s="45">
        <f>+'[3]Gen rev'!U149-'[3]Gen exp'!AC149-AG149+'[3]Gen rev'!W149+AI149+AK149-'[3]Gen Bal'!S149-'[3]Gen exp'!AE149</f>
        <v>0</v>
      </c>
      <c r="AN149" s="44"/>
      <c r="AO149" s="44"/>
      <c r="AP149" s="44"/>
      <c r="AQ149" s="44"/>
    </row>
    <row r="150" spans="1:45" s="49" customFormat="1" ht="12.75" customHeight="1">
      <c r="A150" s="28" t="s">
        <v>177</v>
      </c>
      <c r="C150" s="28" t="s">
        <v>13</v>
      </c>
      <c r="E150" s="45">
        <v>687950</v>
      </c>
      <c r="F150" s="45"/>
      <c r="G150" s="45">
        <v>1043651</v>
      </c>
      <c r="H150" s="45"/>
      <c r="I150" s="45">
        <v>0</v>
      </c>
      <c r="J150" s="45"/>
      <c r="K150" s="45">
        <v>39437</v>
      </c>
      <c r="L150" s="45"/>
      <c r="M150" s="45">
        <v>107604</v>
      </c>
      <c r="N150" s="45"/>
      <c r="O150" s="45">
        <v>26352</v>
      </c>
      <c r="P150" s="45"/>
      <c r="Q150" s="45">
        <v>0</v>
      </c>
      <c r="R150" s="45"/>
      <c r="S150" s="45">
        <v>0</v>
      </c>
      <c r="T150" s="45"/>
      <c r="U150" s="45">
        <v>0</v>
      </c>
      <c r="V150" s="45"/>
      <c r="W150" s="45">
        <v>0</v>
      </c>
      <c r="X150" s="45"/>
      <c r="Y150" s="45">
        <v>0</v>
      </c>
      <c r="Z150" s="44"/>
      <c r="AA150" s="45">
        <v>0</v>
      </c>
      <c r="AB150" s="44"/>
      <c r="AC150" s="45">
        <f t="shared" si="5"/>
        <v>1904994</v>
      </c>
      <c r="AD150" s="45"/>
      <c r="AE150" s="48">
        <v>0</v>
      </c>
      <c r="AF150" s="48"/>
      <c r="AG150" s="45">
        <v>0</v>
      </c>
      <c r="AH150" s="45"/>
      <c r="AI150" s="45">
        <v>1554010</v>
      </c>
      <c r="AJ150" s="45"/>
      <c r="AK150" s="45">
        <v>0</v>
      </c>
      <c r="AL150" s="45"/>
      <c r="AM150" s="45">
        <f>+'[3]Gen rev'!U150-'[3]Gen exp'!AC150-AG150+'[3]Gen rev'!W150+AI150+AK150-'[3]Gen Bal'!S150-'[3]Gen exp'!AE150</f>
        <v>0</v>
      </c>
      <c r="AN150" s="44"/>
      <c r="AO150" s="44"/>
      <c r="AP150" s="44"/>
      <c r="AQ150" s="44"/>
      <c r="AR150" s="52"/>
      <c r="AS150" s="50"/>
    </row>
    <row r="151" spans="1:45" s="49" customFormat="1" ht="12.75" customHeight="1">
      <c r="A151" s="28" t="s">
        <v>178</v>
      </c>
      <c r="C151" s="28" t="s">
        <v>179</v>
      </c>
      <c r="E151" s="45">
        <v>1024388</v>
      </c>
      <c r="F151" s="45"/>
      <c r="G151" s="45">
        <v>2364571</v>
      </c>
      <c r="H151" s="45"/>
      <c r="I151" s="45">
        <v>104558</v>
      </c>
      <c r="J151" s="45"/>
      <c r="K151" s="45">
        <v>98955</v>
      </c>
      <c r="L151" s="45"/>
      <c r="M151" s="45">
        <v>0</v>
      </c>
      <c r="N151" s="45"/>
      <c r="O151" s="45">
        <v>0</v>
      </c>
      <c r="P151" s="45"/>
      <c r="Q151" s="45">
        <v>0</v>
      </c>
      <c r="R151" s="45"/>
      <c r="S151" s="45">
        <v>0</v>
      </c>
      <c r="T151" s="45"/>
      <c r="U151" s="45">
        <v>0</v>
      </c>
      <c r="V151" s="45"/>
      <c r="W151" s="45">
        <v>0</v>
      </c>
      <c r="X151" s="45"/>
      <c r="Y151" s="45">
        <v>0</v>
      </c>
      <c r="Z151" s="44"/>
      <c r="AA151" s="45">
        <v>0</v>
      </c>
      <c r="AB151" s="44"/>
      <c r="AC151" s="45">
        <f t="shared" si="5"/>
        <v>3592472</v>
      </c>
      <c r="AD151" s="45"/>
      <c r="AE151" s="48">
        <v>0</v>
      </c>
      <c r="AF151" s="48"/>
      <c r="AG151" s="45">
        <v>1803400</v>
      </c>
      <c r="AH151" s="45"/>
      <c r="AI151" s="45">
        <v>2253147</v>
      </c>
      <c r="AJ151" s="45"/>
      <c r="AK151" s="45">
        <v>-380</v>
      </c>
      <c r="AL151" s="45"/>
      <c r="AM151" s="45">
        <f>+'[3]Gen rev'!U151-'[3]Gen exp'!AC151-AG151+'[3]Gen rev'!W151+AI151+AK151-'[3]Gen Bal'!S151-'[3]Gen exp'!AE151</f>
        <v>0</v>
      </c>
      <c r="AN151" s="45"/>
      <c r="AO151" s="45"/>
      <c r="AP151" s="45"/>
      <c r="AQ151" s="45"/>
      <c r="AR151" s="52"/>
      <c r="AS151" s="50"/>
    </row>
    <row r="152" spans="1:45" s="130" customFormat="1" ht="12.75" hidden="1" customHeight="1">
      <c r="A152" s="28" t="s">
        <v>180</v>
      </c>
      <c r="B152" s="49"/>
      <c r="C152" s="28" t="s">
        <v>20</v>
      </c>
      <c r="D152" s="49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4"/>
      <c r="AA152" s="45"/>
      <c r="AB152" s="44"/>
      <c r="AC152" s="45">
        <f t="shared" si="5"/>
        <v>0</v>
      </c>
      <c r="AD152" s="45"/>
      <c r="AE152" s="48">
        <v>0</v>
      </c>
      <c r="AF152" s="48"/>
      <c r="AG152" s="45"/>
      <c r="AH152" s="45"/>
      <c r="AI152" s="45"/>
      <c r="AJ152" s="45"/>
      <c r="AK152" s="45">
        <v>0</v>
      </c>
      <c r="AL152" s="45"/>
      <c r="AM152" s="45">
        <f>+'[3]Gen rev'!U152-'[3]Gen exp'!AC152-AG152+'[3]Gen rev'!W152+AI152+AK152-'[3]Gen Bal'!S152-'[3]Gen exp'!AE152</f>
        <v>0</v>
      </c>
      <c r="AN152" s="121"/>
      <c r="AO152" s="121"/>
      <c r="AP152" s="121"/>
      <c r="AQ152" s="121"/>
    </row>
    <row r="153" spans="1:45" s="49" customFormat="1" ht="12.75" customHeight="1">
      <c r="A153" s="28" t="s">
        <v>182</v>
      </c>
      <c r="C153" s="28" t="s">
        <v>183</v>
      </c>
      <c r="E153" s="45">
        <v>752364</v>
      </c>
      <c r="F153" s="45"/>
      <c r="G153" s="45">
        <v>370313</v>
      </c>
      <c r="H153" s="45"/>
      <c r="I153" s="45">
        <v>11907</v>
      </c>
      <c r="J153" s="45"/>
      <c r="K153" s="45">
        <v>0</v>
      </c>
      <c r="L153" s="45"/>
      <c r="M153" s="45">
        <v>0</v>
      </c>
      <c r="N153" s="45"/>
      <c r="O153" s="45">
        <v>50763</v>
      </c>
      <c r="P153" s="45"/>
      <c r="Q153" s="45">
        <v>0</v>
      </c>
      <c r="R153" s="45"/>
      <c r="S153" s="45">
        <v>65810</v>
      </c>
      <c r="T153" s="45"/>
      <c r="U153" s="45">
        <v>0</v>
      </c>
      <c r="V153" s="45"/>
      <c r="W153" s="45">
        <v>0</v>
      </c>
      <c r="X153" s="45"/>
      <c r="Y153" s="45">
        <v>36734</v>
      </c>
      <c r="Z153" s="44"/>
      <c r="AA153" s="45">
        <v>0</v>
      </c>
      <c r="AB153" s="44"/>
      <c r="AC153" s="45">
        <f t="shared" si="5"/>
        <v>1287891</v>
      </c>
      <c r="AD153" s="45"/>
      <c r="AE153" s="48">
        <v>0</v>
      </c>
      <c r="AF153" s="48"/>
      <c r="AG153" s="45">
        <v>99729</v>
      </c>
      <c r="AH153" s="45"/>
      <c r="AI153" s="45">
        <v>-61702</v>
      </c>
      <c r="AJ153" s="45"/>
      <c r="AK153" s="45">
        <v>0</v>
      </c>
      <c r="AL153" s="45"/>
      <c r="AM153" s="45">
        <f>+'[3]Gen rev'!U153-'[3]Gen exp'!AC153-AG153+'[3]Gen rev'!W153+AI153+AK153-'[3]Gen Bal'!S153-'[3]Gen exp'!AE153</f>
        <v>0</v>
      </c>
      <c r="AN153" s="44"/>
      <c r="AO153" s="44"/>
      <c r="AP153" s="44"/>
      <c r="AQ153" s="44"/>
    </row>
    <row r="154" spans="1:45" s="49" customFormat="1" ht="12.75" customHeight="1">
      <c r="A154" s="28" t="s">
        <v>487</v>
      </c>
      <c r="C154" s="28" t="s">
        <v>13</v>
      </c>
      <c r="E154" s="45">
        <v>1086660</v>
      </c>
      <c r="F154" s="45"/>
      <c r="G154" s="45">
        <v>826724</v>
      </c>
      <c r="H154" s="45"/>
      <c r="I154" s="45">
        <v>121526</v>
      </c>
      <c r="J154" s="45"/>
      <c r="K154" s="45">
        <v>110584</v>
      </c>
      <c r="L154" s="45"/>
      <c r="M154" s="45">
        <v>0</v>
      </c>
      <c r="N154" s="45"/>
      <c r="O154" s="45">
        <v>4850</v>
      </c>
      <c r="P154" s="45"/>
      <c r="Q154" s="45">
        <v>0</v>
      </c>
      <c r="R154" s="45"/>
      <c r="S154" s="45">
        <v>15147</v>
      </c>
      <c r="T154" s="45"/>
      <c r="U154" s="45">
        <v>0</v>
      </c>
      <c r="V154" s="45"/>
      <c r="W154" s="45">
        <v>0</v>
      </c>
      <c r="X154" s="45"/>
      <c r="Y154" s="45">
        <v>0</v>
      </c>
      <c r="Z154" s="44"/>
      <c r="AA154" s="45">
        <v>0</v>
      </c>
      <c r="AB154" s="44"/>
      <c r="AC154" s="45">
        <f>SUM(E154:AA154)</f>
        <v>2165491</v>
      </c>
      <c r="AD154" s="45"/>
      <c r="AE154" s="48">
        <v>0</v>
      </c>
      <c r="AF154" s="48"/>
      <c r="AG154" s="45">
        <v>0</v>
      </c>
      <c r="AH154" s="45"/>
      <c r="AI154" s="45">
        <v>1590427</v>
      </c>
      <c r="AJ154" s="45"/>
      <c r="AK154" s="45">
        <v>0</v>
      </c>
      <c r="AL154" s="45"/>
      <c r="AM154" s="45">
        <f>+'[3]Gen rev'!U154-'[3]Gen exp'!AC154-AG154+'[3]Gen rev'!W154+AI154+AK154-'[3]Gen Bal'!S154-'[3]Gen exp'!AE154</f>
        <v>0</v>
      </c>
      <c r="AN154" s="45"/>
      <c r="AO154" s="45"/>
      <c r="AP154" s="45"/>
      <c r="AQ154" s="45"/>
      <c r="AR154" s="52"/>
      <c r="AS154" s="50"/>
    </row>
    <row r="155" spans="1:45" s="49" customFormat="1" ht="12.75" customHeight="1">
      <c r="A155" s="28" t="s">
        <v>184</v>
      </c>
      <c r="C155" s="28" t="s">
        <v>89</v>
      </c>
      <c r="E155" s="45">
        <v>2632137</v>
      </c>
      <c r="F155" s="45"/>
      <c r="G155" s="45">
        <v>1270764</v>
      </c>
      <c r="H155" s="45"/>
      <c r="I155" s="45">
        <v>0</v>
      </c>
      <c r="J155" s="45"/>
      <c r="K155" s="45">
        <v>247894</v>
      </c>
      <c r="L155" s="45"/>
      <c r="M155" s="45">
        <v>38802</v>
      </c>
      <c r="N155" s="45"/>
      <c r="O155" s="45">
        <v>674756</v>
      </c>
      <c r="P155" s="45"/>
      <c r="Q155" s="45">
        <v>0</v>
      </c>
      <c r="R155" s="45"/>
      <c r="S155" s="45">
        <v>638834</v>
      </c>
      <c r="T155" s="45"/>
      <c r="U155" s="45">
        <v>0</v>
      </c>
      <c r="V155" s="45"/>
      <c r="W155" s="45">
        <v>40985</v>
      </c>
      <c r="X155" s="45"/>
      <c r="Y155" s="45">
        <v>0</v>
      </c>
      <c r="Z155" s="44"/>
      <c r="AA155" s="45">
        <v>0</v>
      </c>
      <c r="AB155" s="44"/>
      <c r="AC155" s="45">
        <f t="shared" si="5"/>
        <v>5544172</v>
      </c>
      <c r="AD155" s="45"/>
      <c r="AE155" s="48">
        <v>0</v>
      </c>
      <c r="AF155" s="48"/>
      <c r="AG155" s="45">
        <v>97574</v>
      </c>
      <c r="AH155" s="45"/>
      <c r="AI155" s="45">
        <v>2613250</v>
      </c>
      <c r="AJ155" s="45"/>
      <c r="AK155" s="45">
        <v>0</v>
      </c>
      <c r="AL155" s="45"/>
      <c r="AM155" s="45">
        <f>+'[3]Gen rev'!U155-'[3]Gen exp'!AC155-AG155+'[3]Gen rev'!W155+AI155+AK155-'[3]Gen Bal'!S155-'[3]Gen exp'!AE155</f>
        <v>0</v>
      </c>
      <c r="AN155" s="45"/>
      <c r="AO155" s="45"/>
      <c r="AP155" s="45"/>
      <c r="AQ155" s="45"/>
      <c r="AR155" s="52"/>
      <c r="AS155" s="50"/>
    </row>
    <row r="156" spans="1:45" s="49" customFormat="1" ht="12.75" customHeight="1">
      <c r="A156" s="28" t="s">
        <v>181</v>
      </c>
      <c r="C156" s="28" t="s">
        <v>125</v>
      </c>
      <c r="E156" s="45">
        <v>8863548</v>
      </c>
      <c r="F156" s="45"/>
      <c r="G156" s="45">
        <v>18323834</v>
      </c>
      <c r="H156" s="45"/>
      <c r="I156" s="45">
        <v>1282436</v>
      </c>
      <c r="J156" s="45"/>
      <c r="K156" s="45">
        <v>439850</v>
      </c>
      <c r="L156" s="45"/>
      <c r="M156" s="45">
        <v>0</v>
      </c>
      <c r="N156" s="45"/>
      <c r="O156" s="45">
        <v>0</v>
      </c>
      <c r="P156" s="45"/>
      <c r="Q156" s="45">
        <v>0</v>
      </c>
      <c r="R156" s="45"/>
      <c r="S156" s="45">
        <v>0</v>
      </c>
      <c r="T156" s="45"/>
      <c r="U156" s="45">
        <v>0</v>
      </c>
      <c r="V156" s="45"/>
      <c r="W156" s="45">
        <v>0</v>
      </c>
      <c r="X156" s="45"/>
      <c r="Y156" s="45">
        <v>0</v>
      </c>
      <c r="Z156" s="44"/>
      <c r="AA156" s="45">
        <v>0</v>
      </c>
      <c r="AB156" s="44"/>
      <c r="AC156" s="45">
        <f>SUM(E156:AA156)</f>
        <v>28909668</v>
      </c>
      <c r="AD156" s="45"/>
      <c r="AE156" s="48">
        <v>0</v>
      </c>
      <c r="AF156" s="48"/>
      <c r="AG156" s="45">
        <v>1748281</v>
      </c>
      <c r="AH156" s="45"/>
      <c r="AI156" s="45">
        <v>3565843</v>
      </c>
      <c r="AJ156" s="45"/>
      <c r="AK156" s="45">
        <v>-62997</v>
      </c>
      <c r="AL156" s="45"/>
      <c r="AM156" s="45">
        <f>+'[3]Gen rev'!U156-'[3]Gen exp'!AC156-AG156+'[3]Gen rev'!W156+AI156+AK156-'[3]Gen Bal'!S156-'[3]Gen exp'!AE156</f>
        <v>0</v>
      </c>
      <c r="AN156" s="45"/>
      <c r="AO156" s="45"/>
      <c r="AP156" s="45"/>
      <c r="AQ156" s="45"/>
      <c r="AR156" s="52"/>
      <c r="AS156" s="50"/>
    </row>
    <row r="157" spans="1:45" s="49" customFormat="1" ht="12.75" customHeight="1">
      <c r="A157" s="28" t="s">
        <v>185</v>
      </c>
      <c r="C157" s="28" t="s">
        <v>80</v>
      </c>
      <c r="E157" s="45">
        <v>1680738</v>
      </c>
      <c r="F157" s="45"/>
      <c r="G157" s="45">
        <v>370824</v>
      </c>
      <c r="H157" s="45"/>
      <c r="I157" s="45">
        <v>283554</v>
      </c>
      <c r="J157" s="45"/>
      <c r="K157" s="45">
        <v>270357</v>
      </c>
      <c r="L157" s="45"/>
      <c r="M157" s="45">
        <v>519468</v>
      </c>
      <c r="N157" s="45"/>
      <c r="O157" s="45">
        <v>34766</v>
      </c>
      <c r="P157" s="45"/>
      <c r="Q157" s="45">
        <v>0</v>
      </c>
      <c r="R157" s="45"/>
      <c r="S157" s="45">
        <v>10053</v>
      </c>
      <c r="T157" s="45"/>
      <c r="U157" s="45">
        <v>0</v>
      </c>
      <c r="V157" s="45"/>
      <c r="W157" s="45">
        <v>1275</v>
      </c>
      <c r="X157" s="45"/>
      <c r="Y157" s="45">
        <v>417</v>
      </c>
      <c r="Z157" s="44"/>
      <c r="AA157" s="45">
        <v>198272</v>
      </c>
      <c r="AB157" s="44"/>
      <c r="AC157" s="45">
        <f t="shared" si="5"/>
        <v>3369724</v>
      </c>
      <c r="AD157" s="45"/>
      <c r="AE157" s="48">
        <v>0</v>
      </c>
      <c r="AF157" s="48"/>
      <c r="AG157" s="45">
        <v>7252781</v>
      </c>
      <c r="AH157" s="45"/>
      <c r="AI157" s="45">
        <v>15877479</v>
      </c>
      <c r="AJ157" s="45"/>
      <c r="AK157" s="45">
        <v>0</v>
      </c>
      <c r="AL157" s="45"/>
      <c r="AM157" s="45">
        <f>+'[3]Gen rev'!U157-'[3]Gen exp'!AC157-AG157+'[3]Gen rev'!W157+AI157+AK157-'[3]Gen Bal'!S157-'[3]Gen exp'!AE157</f>
        <v>0</v>
      </c>
      <c r="AN157" s="44"/>
      <c r="AO157" s="44"/>
      <c r="AP157" s="44"/>
      <c r="AQ157" s="44"/>
      <c r="AR157" s="52"/>
      <c r="AS157" s="50"/>
    </row>
    <row r="158" spans="1:45" s="49" customFormat="1" ht="12.75" customHeight="1">
      <c r="A158" s="28" t="s">
        <v>186</v>
      </c>
      <c r="C158" s="28" t="s">
        <v>15</v>
      </c>
      <c r="E158" s="45">
        <v>2085249</v>
      </c>
      <c r="F158" s="45"/>
      <c r="G158" s="45">
        <v>3033881</v>
      </c>
      <c r="H158" s="45"/>
      <c r="I158" s="45">
        <v>589150</v>
      </c>
      <c r="J158" s="45"/>
      <c r="K158" s="45">
        <v>94238</v>
      </c>
      <c r="L158" s="45"/>
      <c r="M158" s="45">
        <v>0</v>
      </c>
      <c r="N158" s="45"/>
      <c r="O158" s="45">
        <v>921375</v>
      </c>
      <c r="P158" s="45"/>
      <c r="Q158" s="45">
        <v>0</v>
      </c>
      <c r="R158" s="45"/>
      <c r="S158" s="45">
        <v>0</v>
      </c>
      <c r="T158" s="45"/>
      <c r="U158" s="45">
        <v>0</v>
      </c>
      <c r="V158" s="45"/>
      <c r="W158" s="45">
        <v>100000</v>
      </c>
      <c r="X158" s="45"/>
      <c r="Y158" s="45">
        <v>60854</v>
      </c>
      <c r="Z158" s="44"/>
      <c r="AA158" s="45">
        <v>0</v>
      </c>
      <c r="AB158" s="44"/>
      <c r="AC158" s="45">
        <f t="shared" si="5"/>
        <v>6884747</v>
      </c>
      <c r="AD158" s="45"/>
      <c r="AE158" s="48">
        <v>0</v>
      </c>
      <c r="AF158" s="48"/>
      <c r="AG158" s="45">
        <f>800000+1852684</f>
        <v>2652684</v>
      </c>
      <c r="AH158" s="45"/>
      <c r="AI158" s="45">
        <v>4571707</v>
      </c>
      <c r="AJ158" s="45"/>
      <c r="AK158" s="45">
        <v>0</v>
      </c>
      <c r="AL158" s="45"/>
      <c r="AM158" s="45">
        <f>+'[3]Gen rev'!U158-'[3]Gen exp'!AC158-AG158+'[3]Gen rev'!W158+AI158+AK158-'[3]Gen Bal'!S158-'[3]Gen exp'!AE158</f>
        <v>0</v>
      </c>
      <c r="AN158" s="45"/>
      <c r="AO158" s="45"/>
      <c r="AP158" s="45"/>
      <c r="AQ158" s="45"/>
      <c r="AR158" s="52"/>
      <c r="AS158" s="50"/>
    </row>
    <row r="159" spans="1:45" s="44" customFormat="1" ht="12.75" customHeight="1">
      <c r="A159" s="35" t="s">
        <v>187</v>
      </c>
      <c r="C159" s="35" t="s">
        <v>27</v>
      </c>
      <c r="E159" s="45">
        <v>4123967</v>
      </c>
      <c r="F159" s="45"/>
      <c r="G159" s="45">
        <v>13404589</v>
      </c>
      <c r="H159" s="45"/>
      <c r="I159" s="45">
        <v>449297</v>
      </c>
      <c r="J159" s="45"/>
      <c r="K159" s="45">
        <v>502700</v>
      </c>
      <c r="L159" s="45"/>
      <c r="M159" s="45">
        <v>2953137</v>
      </c>
      <c r="N159" s="45"/>
      <c r="O159" s="45">
        <v>0</v>
      </c>
      <c r="P159" s="45"/>
      <c r="Q159" s="45">
        <v>0</v>
      </c>
      <c r="R159" s="45"/>
      <c r="S159" s="45">
        <v>0</v>
      </c>
      <c r="T159" s="45"/>
      <c r="U159" s="45">
        <v>0</v>
      </c>
      <c r="V159" s="45"/>
      <c r="W159" s="45">
        <v>20269</v>
      </c>
      <c r="X159" s="45"/>
      <c r="Y159" s="45">
        <v>6136</v>
      </c>
      <c r="AA159" s="45">
        <v>0</v>
      </c>
      <c r="AC159" s="45">
        <f t="shared" si="5"/>
        <v>21460095</v>
      </c>
      <c r="AD159" s="45"/>
      <c r="AE159" s="48">
        <v>0</v>
      </c>
      <c r="AF159" s="48"/>
      <c r="AG159" s="45">
        <v>56500</v>
      </c>
      <c r="AH159" s="45"/>
      <c r="AI159" s="45">
        <v>4043713</v>
      </c>
      <c r="AJ159" s="45"/>
      <c r="AK159" s="45">
        <v>0</v>
      </c>
      <c r="AL159" s="45"/>
      <c r="AM159" s="45">
        <f>+'[3]Gen rev'!U159-'[3]Gen exp'!AC159-AG159+'[3]Gen rev'!W159+AI159+AK159-'[3]Gen Bal'!S159-'[3]Gen exp'!AE159</f>
        <v>0</v>
      </c>
      <c r="AN159" s="45"/>
      <c r="AO159" s="45"/>
      <c r="AP159" s="45"/>
      <c r="AQ159" s="45"/>
      <c r="AR159" s="55"/>
      <c r="AS159" s="35"/>
    </row>
    <row r="160" spans="1:45" s="49" customFormat="1" ht="12.75" customHeight="1">
      <c r="A160" s="28" t="s">
        <v>189</v>
      </c>
      <c r="C160" s="28" t="s">
        <v>17</v>
      </c>
      <c r="E160" s="45">
        <v>2850261</v>
      </c>
      <c r="F160" s="45"/>
      <c r="G160" s="45">
        <v>5235490</v>
      </c>
      <c r="H160" s="45"/>
      <c r="I160" s="45">
        <v>1555401</v>
      </c>
      <c r="J160" s="45"/>
      <c r="K160" s="45">
        <v>347887</v>
      </c>
      <c r="L160" s="45"/>
      <c r="M160" s="45">
        <v>0</v>
      </c>
      <c r="N160" s="45"/>
      <c r="O160" s="45">
        <v>230114</v>
      </c>
      <c r="P160" s="45"/>
      <c r="Q160" s="45">
        <v>0</v>
      </c>
      <c r="R160" s="45"/>
      <c r="S160" s="45">
        <v>0</v>
      </c>
      <c r="T160" s="45"/>
      <c r="U160" s="45">
        <v>0</v>
      </c>
      <c r="V160" s="45"/>
      <c r="W160" s="45">
        <v>0</v>
      </c>
      <c r="X160" s="45"/>
      <c r="Y160" s="45">
        <v>0</v>
      </c>
      <c r="Z160" s="44"/>
      <c r="AA160" s="45">
        <v>0</v>
      </c>
      <c r="AB160" s="44"/>
      <c r="AC160" s="45">
        <f t="shared" si="5"/>
        <v>10219153</v>
      </c>
      <c r="AD160" s="45"/>
      <c r="AE160" s="48">
        <v>0</v>
      </c>
      <c r="AF160" s="48"/>
      <c r="AG160" s="45">
        <v>0</v>
      </c>
      <c r="AH160" s="45"/>
      <c r="AI160" s="45">
        <v>1307058</v>
      </c>
      <c r="AJ160" s="45"/>
      <c r="AK160" s="45">
        <v>0</v>
      </c>
      <c r="AL160" s="45"/>
      <c r="AM160" s="45">
        <f>+'[3]Gen rev'!U160-'[3]Gen exp'!AC160-AG160+'[3]Gen rev'!W160+AI160+AK160-'[3]Gen Bal'!S160-'[3]Gen exp'!AE160</f>
        <v>0</v>
      </c>
      <c r="AN160" s="55"/>
      <c r="AO160" s="55"/>
      <c r="AP160" s="55"/>
      <c r="AQ160" s="55"/>
      <c r="AR160" s="52"/>
      <c r="AS160" s="50"/>
    </row>
    <row r="161" spans="1:45" s="49" customFormat="1" ht="12.75" customHeight="1">
      <c r="A161" s="28" t="s">
        <v>188</v>
      </c>
      <c r="C161" s="28" t="s">
        <v>27</v>
      </c>
      <c r="E161" s="45">
        <v>2599811</v>
      </c>
      <c r="F161" s="45"/>
      <c r="G161" s="45">
        <v>5188177</v>
      </c>
      <c r="H161" s="45"/>
      <c r="I161" s="45">
        <v>767104</v>
      </c>
      <c r="J161" s="45"/>
      <c r="K161" s="45">
        <v>214862</v>
      </c>
      <c r="L161" s="45"/>
      <c r="M161" s="45">
        <v>1600</v>
      </c>
      <c r="N161" s="45"/>
      <c r="O161" s="45">
        <v>436212</v>
      </c>
      <c r="P161" s="45"/>
      <c r="Q161" s="45">
        <v>2045387</v>
      </c>
      <c r="R161" s="45"/>
      <c r="S161" s="45">
        <v>75991</v>
      </c>
      <c r="T161" s="45"/>
      <c r="U161" s="45">
        <v>0</v>
      </c>
      <c r="V161" s="45"/>
      <c r="W161" s="45">
        <v>125865</v>
      </c>
      <c r="X161" s="45"/>
      <c r="Y161" s="45">
        <v>9562</v>
      </c>
      <c r="Z161" s="44"/>
      <c r="AA161" s="45">
        <v>0</v>
      </c>
      <c r="AB161" s="44"/>
      <c r="AC161" s="45">
        <f t="shared" si="5"/>
        <v>11464571</v>
      </c>
      <c r="AD161" s="45"/>
      <c r="AE161" s="48">
        <v>0</v>
      </c>
      <c r="AF161" s="48"/>
      <c r="AG161" s="45">
        <v>1937000</v>
      </c>
      <c r="AH161" s="45"/>
      <c r="AI161" s="45">
        <v>3222002</v>
      </c>
      <c r="AJ161" s="45"/>
      <c r="AK161" s="45">
        <v>0</v>
      </c>
      <c r="AL161" s="45"/>
      <c r="AM161" s="45">
        <f>+'[3]Gen rev'!U161-'[3]Gen exp'!AC161-AG161+'[3]Gen rev'!W161+AI161+AK161-'[3]Gen Bal'!S161-'[3]Gen exp'!AE161</f>
        <v>0</v>
      </c>
      <c r="AN161" s="44"/>
      <c r="AO161" s="44"/>
      <c r="AP161" s="44"/>
      <c r="AQ161" s="44"/>
    </row>
    <row r="162" spans="1:45" s="49" customFormat="1" ht="12.75" customHeight="1">
      <c r="A162" s="28" t="s">
        <v>190</v>
      </c>
      <c r="C162" s="28" t="s">
        <v>47</v>
      </c>
      <c r="E162" s="45">
        <v>2124815</v>
      </c>
      <c r="F162" s="45"/>
      <c r="G162" s="45">
        <v>2794468</v>
      </c>
      <c r="H162" s="45"/>
      <c r="I162" s="45">
        <v>175164</v>
      </c>
      <c r="J162" s="45"/>
      <c r="K162" s="45">
        <v>8164</v>
      </c>
      <c r="L162" s="45"/>
      <c r="M162" s="45">
        <v>203849</v>
      </c>
      <c r="N162" s="45"/>
      <c r="O162" s="45">
        <v>71334</v>
      </c>
      <c r="P162" s="45"/>
      <c r="Q162" s="45">
        <v>0</v>
      </c>
      <c r="R162" s="45"/>
      <c r="S162" s="45">
        <v>0</v>
      </c>
      <c r="T162" s="45"/>
      <c r="U162" s="45">
        <v>0</v>
      </c>
      <c r="V162" s="45"/>
      <c r="W162" s="45">
        <v>0</v>
      </c>
      <c r="X162" s="45"/>
      <c r="Y162" s="45">
        <v>0</v>
      </c>
      <c r="Z162" s="44"/>
      <c r="AA162" s="45">
        <v>0</v>
      </c>
      <c r="AB162" s="44"/>
      <c r="AC162" s="45">
        <f t="shared" si="5"/>
        <v>5377794</v>
      </c>
      <c r="AD162" s="45"/>
      <c r="AE162" s="48">
        <v>0</v>
      </c>
      <c r="AF162" s="48"/>
      <c r="AG162" s="45">
        <v>0</v>
      </c>
      <c r="AH162" s="45"/>
      <c r="AI162" s="45">
        <v>1731349</v>
      </c>
      <c r="AJ162" s="45"/>
      <c r="AK162" s="45">
        <v>-127</v>
      </c>
      <c r="AL162" s="45"/>
      <c r="AM162" s="45">
        <f>+'[3]Gen rev'!U162-'[3]Gen exp'!AC162-AG162+'[3]Gen rev'!W162+AI162+AK162-'[3]Gen Bal'!S162-'[3]Gen exp'!AE162</f>
        <v>0</v>
      </c>
      <c r="AN162" s="44"/>
      <c r="AO162" s="44"/>
      <c r="AP162" s="44"/>
      <c r="AQ162" s="44"/>
    </row>
    <row r="163" spans="1:45" s="49" customFormat="1" ht="12.75" customHeight="1">
      <c r="A163" s="28" t="s">
        <v>191</v>
      </c>
      <c r="C163" s="28" t="s">
        <v>13</v>
      </c>
      <c r="E163" s="45">
        <v>1886733</v>
      </c>
      <c r="F163" s="45"/>
      <c r="G163" s="45">
        <v>2209760</v>
      </c>
      <c r="H163" s="45"/>
      <c r="I163" s="45">
        <v>258562</v>
      </c>
      <c r="J163" s="45"/>
      <c r="K163" s="45">
        <v>0</v>
      </c>
      <c r="L163" s="45"/>
      <c r="M163" s="45">
        <v>0</v>
      </c>
      <c r="N163" s="45"/>
      <c r="O163" s="45">
        <v>145231</v>
      </c>
      <c r="P163" s="45"/>
      <c r="Q163" s="45">
        <v>0</v>
      </c>
      <c r="R163" s="45"/>
      <c r="S163" s="45">
        <v>0</v>
      </c>
      <c r="T163" s="45"/>
      <c r="U163" s="45">
        <v>0</v>
      </c>
      <c r="V163" s="45"/>
      <c r="W163" s="45">
        <v>2931</v>
      </c>
      <c r="X163" s="45"/>
      <c r="Y163" s="45">
        <v>1521</v>
      </c>
      <c r="Z163" s="44"/>
      <c r="AA163" s="45">
        <v>0</v>
      </c>
      <c r="AB163" s="44"/>
      <c r="AC163" s="45">
        <f t="shared" si="5"/>
        <v>4504738</v>
      </c>
      <c r="AD163" s="45"/>
      <c r="AE163" s="48">
        <v>0</v>
      </c>
      <c r="AF163" s="48"/>
      <c r="AG163" s="45">
        <v>1627890</v>
      </c>
      <c r="AH163" s="45"/>
      <c r="AI163" s="45">
        <v>1901660</v>
      </c>
      <c r="AJ163" s="45"/>
      <c r="AK163" s="45">
        <v>0</v>
      </c>
      <c r="AL163" s="45"/>
      <c r="AM163" s="45">
        <f>+'[3]Gen rev'!U163-'[3]Gen exp'!AC163-AG163+'[3]Gen rev'!W163+AI163+AK163-'[3]Gen Bal'!S163-'[3]Gen exp'!AE163</f>
        <v>0</v>
      </c>
      <c r="AN163" s="44"/>
      <c r="AO163" s="44"/>
      <c r="AP163" s="44"/>
      <c r="AQ163" s="44"/>
    </row>
    <row r="164" spans="1:45" s="49" customFormat="1" ht="12.75" customHeight="1">
      <c r="A164" s="28" t="s">
        <v>192</v>
      </c>
      <c r="C164" s="28" t="s">
        <v>38</v>
      </c>
      <c r="E164" s="45">
        <v>2249459</v>
      </c>
      <c r="F164" s="45"/>
      <c r="G164" s="45">
        <v>4285235</v>
      </c>
      <c r="H164" s="45"/>
      <c r="I164" s="45">
        <v>67496</v>
      </c>
      <c r="J164" s="45"/>
      <c r="K164" s="45">
        <v>132103</v>
      </c>
      <c r="L164" s="45"/>
      <c r="M164" s="45">
        <v>20653</v>
      </c>
      <c r="N164" s="45"/>
      <c r="O164" s="45">
        <v>0</v>
      </c>
      <c r="P164" s="45"/>
      <c r="Q164" s="45">
        <v>0</v>
      </c>
      <c r="R164" s="45"/>
      <c r="S164" s="45">
        <v>109366</v>
      </c>
      <c r="T164" s="45"/>
      <c r="U164" s="45">
        <v>0</v>
      </c>
      <c r="V164" s="45"/>
      <c r="W164" s="45">
        <v>13415</v>
      </c>
      <c r="X164" s="45"/>
      <c r="Y164" s="45">
        <v>10245</v>
      </c>
      <c r="Z164" s="44"/>
      <c r="AA164" s="45">
        <v>0</v>
      </c>
      <c r="AB164" s="44"/>
      <c r="AC164" s="45">
        <f>SUM(E164:AA164)</f>
        <v>6887972</v>
      </c>
      <c r="AD164" s="45"/>
      <c r="AE164" s="48">
        <v>0</v>
      </c>
      <c r="AF164" s="48"/>
      <c r="AG164" s="45">
        <v>1213850</v>
      </c>
      <c r="AH164" s="45"/>
      <c r="AI164" s="45">
        <v>3304503</v>
      </c>
      <c r="AJ164" s="45"/>
      <c r="AK164" s="45">
        <v>0</v>
      </c>
      <c r="AL164" s="45"/>
      <c r="AM164" s="45">
        <f>+'[3]Gen rev'!U164-'[3]Gen exp'!AC164-AG164+'[3]Gen rev'!W164+AI164+AK164-'[3]Gen Bal'!S164-'[3]Gen exp'!AE164</f>
        <v>0</v>
      </c>
      <c r="AN164" s="44"/>
      <c r="AO164" s="44"/>
      <c r="AP164" s="44"/>
      <c r="AQ164" s="44"/>
    </row>
    <row r="165" spans="1:45" s="123" customFormat="1" ht="12.75" hidden="1" customHeight="1">
      <c r="A165" s="28" t="s">
        <v>193</v>
      </c>
      <c r="B165" s="49"/>
      <c r="C165" s="28" t="s">
        <v>45</v>
      </c>
      <c r="D165" s="49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4"/>
      <c r="AA165" s="45"/>
      <c r="AB165" s="44"/>
      <c r="AC165" s="45">
        <f t="shared" si="5"/>
        <v>0</v>
      </c>
      <c r="AD165" s="45"/>
      <c r="AE165" s="48">
        <v>0</v>
      </c>
      <c r="AF165" s="48"/>
      <c r="AG165" s="45"/>
      <c r="AH165" s="45"/>
      <c r="AI165" s="45"/>
      <c r="AJ165" s="45"/>
      <c r="AK165" s="45"/>
      <c r="AL165" s="45"/>
      <c r="AM165" s="45">
        <f>+'[3]Gen rev'!U165-'[3]Gen exp'!AC165-AG165+'[3]Gen rev'!W165+AI165+AK165-'[3]Gen Bal'!S165-'[3]Gen exp'!AE165</f>
        <v>0</v>
      </c>
      <c r="AN165" s="125"/>
    </row>
    <row r="166" spans="1:45" s="49" customFormat="1" ht="12.75" customHeight="1">
      <c r="A166" s="28" t="s">
        <v>194</v>
      </c>
      <c r="C166" s="28" t="s">
        <v>66</v>
      </c>
      <c r="E166" s="45">
        <v>2622163</v>
      </c>
      <c r="F166" s="45"/>
      <c r="G166" s="45">
        <v>4787002</v>
      </c>
      <c r="H166" s="45"/>
      <c r="I166" s="45">
        <v>591969</v>
      </c>
      <c r="J166" s="45"/>
      <c r="K166" s="45">
        <v>0</v>
      </c>
      <c r="L166" s="45"/>
      <c r="M166" s="45">
        <v>0</v>
      </c>
      <c r="N166" s="45"/>
      <c r="O166" s="45">
        <v>0</v>
      </c>
      <c r="P166" s="45"/>
      <c r="Q166" s="45">
        <v>0</v>
      </c>
      <c r="R166" s="45"/>
      <c r="S166" s="45">
        <v>0</v>
      </c>
      <c r="T166" s="45"/>
      <c r="U166" s="45">
        <v>0</v>
      </c>
      <c r="V166" s="45"/>
      <c r="W166" s="45">
        <v>0</v>
      </c>
      <c r="X166" s="45"/>
      <c r="Y166" s="45">
        <v>101672</v>
      </c>
      <c r="Z166" s="44"/>
      <c r="AA166" s="45">
        <v>0</v>
      </c>
      <c r="AB166" s="44"/>
      <c r="AC166" s="45">
        <f>SUM(E166:AA166)</f>
        <v>8102806</v>
      </c>
      <c r="AD166" s="45"/>
      <c r="AE166" s="48">
        <v>0</v>
      </c>
      <c r="AF166" s="48"/>
      <c r="AG166" s="45">
        <v>2055060</v>
      </c>
      <c r="AH166" s="45"/>
      <c r="AI166" s="45">
        <v>5672661</v>
      </c>
      <c r="AJ166" s="45"/>
      <c r="AK166" s="45">
        <v>0</v>
      </c>
      <c r="AL166" s="45"/>
      <c r="AM166" s="45">
        <f>+'[3]Gen rev'!U166-'[3]Gen exp'!AC166-AG166+'[3]Gen rev'!W166+AI166+AK166-'[3]Gen Bal'!S166-'[3]Gen exp'!AE166</f>
        <v>0</v>
      </c>
      <c r="AN166" s="44"/>
      <c r="AO166" s="44"/>
      <c r="AP166" s="44"/>
      <c r="AQ166" s="44"/>
    </row>
    <row r="167" spans="1:45" s="49" customFormat="1" ht="12.75" customHeight="1">
      <c r="A167" s="28" t="s">
        <v>195</v>
      </c>
      <c r="C167" s="28" t="s">
        <v>17</v>
      </c>
      <c r="E167" s="45">
        <v>3016749</v>
      </c>
      <c r="F167" s="45"/>
      <c r="G167" s="45">
        <v>2738462</v>
      </c>
      <c r="H167" s="45"/>
      <c r="I167" s="45">
        <v>394237</v>
      </c>
      <c r="J167" s="45"/>
      <c r="K167" s="45">
        <v>117109</v>
      </c>
      <c r="L167" s="45"/>
      <c r="M167" s="45">
        <v>192542</v>
      </c>
      <c r="N167" s="45"/>
      <c r="O167" s="45">
        <v>619104</v>
      </c>
      <c r="P167" s="45"/>
      <c r="Q167" s="45">
        <v>0</v>
      </c>
      <c r="R167" s="45"/>
      <c r="S167" s="45">
        <v>0</v>
      </c>
      <c r="T167" s="45"/>
      <c r="U167" s="45">
        <v>0</v>
      </c>
      <c r="V167" s="45"/>
      <c r="W167" s="45">
        <v>0</v>
      </c>
      <c r="X167" s="45"/>
      <c r="Y167" s="45">
        <v>0</v>
      </c>
      <c r="Z167" s="44"/>
      <c r="AA167" s="45">
        <v>0</v>
      </c>
      <c r="AB167" s="44"/>
      <c r="AC167" s="45">
        <f t="shared" si="5"/>
        <v>7078203</v>
      </c>
      <c r="AD167" s="45"/>
      <c r="AE167" s="48">
        <v>0</v>
      </c>
      <c r="AF167" s="48"/>
      <c r="AG167" s="45">
        <v>288473</v>
      </c>
      <c r="AH167" s="45"/>
      <c r="AI167" s="45">
        <v>8923762</v>
      </c>
      <c r="AJ167" s="45"/>
      <c r="AK167" s="45">
        <v>-7240</v>
      </c>
      <c r="AL167" s="45"/>
      <c r="AM167" s="45">
        <f>+'[3]Gen rev'!U167-'[3]Gen exp'!AC167-AG167+'[3]Gen rev'!W167+AI167+AK167-'[3]Gen Bal'!S167-'[3]Gen exp'!AE167</f>
        <v>0</v>
      </c>
      <c r="AN167" s="44"/>
      <c r="AO167" s="44"/>
      <c r="AP167" s="44"/>
      <c r="AQ167" s="44"/>
    </row>
    <row r="168" spans="1:45" s="49" customFormat="1" ht="12.75" hidden="1" customHeight="1">
      <c r="A168" s="28" t="s">
        <v>196</v>
      </c>
      <c r="C168" s="28" t="s">
        <v>27</v>
      </c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4"/>
      <c r="AA168" s="45"/>
      <c r="AB168" s="44"/>
      <c r="AC168" s="45">
        <f t="shared" si="5"/>
        <v>0</v>
      </c>
      <c r="AD168" s="45"/>
      <c r="AE168" s="48">
        <v>0</v>
      </c>
      <c r="AF168" s="48"/>
      <c r="AG168" s="45"/>
      <c r="AH168" s="45"/>
      <c r="AI168" s="45"/>
      <c r="AJ168" s="45"/>
      <c r="AK168" s="45">
        <v>0</v>
      </c>
      <c r="AL168" s="45"/>
      <c r="AM168" s="45">
        <f>+'[3]Gen rev'!U168-'[3]Gen exp'!AC168-AG168+'[3]Gen rev'!W168+AI168+AK168-'[3]Gen Bal'!S168-'[3]Gen exp'!AE168</f>
        <v>0</v>
      </c>
      <c r="AN168" s="55"/>
      <c r="AO168" s="55"/>
      <c r="AP168" s="55"/>
      <c r="AQ168" s="55"/>
      <c r="AR168" s="52"/>
      <c r="AS168" s="50"/>
    </row>
    <row r="169" spans="1:45" s="130" customFormat="1" ht="12.75" hidden="1" customHeight="1">
      <c r="A169" s="28" t="s">
        <v>402</v>
      </c>
      <c r="B169" s="49"/>
      <c r="C169" s="28" t="s">
        <v>153</v>
      </c>
      <c r="D169" s="49"/>
      <c r="E169" s="45">
        <v>1561247</v>
      </c>
      <c r="F169" s="45"/>
      <c r="G169" s="45">
        <v>2049821</v>
      </c>
      <c r="H169" s="45"/>
      <c r="I169" s="45">
        <v>31648</v>
      </c>
      <c r="J169" s="45"/>
      <c r="K169" s="45">
        <v>0</v>
      </c>
      <c r="L169" s="45"/>
      <c r="M169" s="45">
        <v>38123</v>
      </c>
      <c r="N169" s="45"/>
      <c r="O169" s="45">
        <v>204927</v>
      </c>
      <c r="P169" s="45"/>
      <c r="Q169" s="45">
        <v>0</v>
      </c>
      <c r="R169" s="45"/>
      <c r="S169" s="45">
        <v>91170</v>
      </c>
      <c r="T169" s="45"/>
      <c r="U169" s="45">
        <v>0</v>
      </c>
      <c r="V169" s="45"/>
      <c r="W169" s="45">
        <v>13970</v>
      </c>
      <c r="X169" s="45"/>
      <c r="Y169" s="45">
        <v>1277</v>
      </c>
      <c r="Z169" s="44"/>
      <c r="AA169" s="45">
        <v>0</v>
      </c>
      <c r="AB169" s="44"/>
      <c r="AC169" s="45">
        <f t="shared" si="5"/>
        <v>3992183</v>
      </c>
      <c r="AD169" s="45"/>
      <c r="AE169" s="48">
        <v>0</v>
      </c>
      <c r="AF169" s="48"/>
      <c r="AG169" s="45">
        <v>248000</v>
      </c>
      <c r="AH169" s="45"/>
      <c r="AI169" s="45">
        <v>1802785</v>
      </c>
      <c r="AJ169" s="45"/>
      <c r="AK169" s="45">
        <v>0</v>
      </c>
      <c r="AL169" s="45"/>
      <c r="AM169" s="45">
        <f>+'[3]Gen rev'!U169-'[3]Gen exp'!AC169-AG169+'[3]Gen rev'!W169+AI169+AK169-'[3]Gen Bal'!S169-'[3]Gen exp'!AE169</f>
        <v>0</v>
      </c>
      <c r="AN169" s="127"/>
      <c r="AO169" s="127"/>
      <c r="AP169" s="127"/>
      <c r="AQ169" s="127"/>
      <c r="AR169" s="134"/>
      <c r="AS169" s="135"/>
    </row>
    <row r="170" spans="1:45" s="49" customFormat="1" ht="12.75" customHeight="1">
      <c r="A170" s="64" t="s">
        <v>197</v>
      </c>
      <c r="B170" s="46"/>
      <c r="C170" s="64" t="s">
        <v>163</v>
      </c>
      <c r="D170" s="46"/>
      <c r="E170" s="45">
        <v>3504367</v>
      </c>
      <c r="F170" s="45"/>
      <c r="G170" s="45">
        <v>8250249</v>
      </c>
      <c r="H170" s="45"/>
      <c r="I170" s="45">
        <v>626242</v>
      </c>
      <c r="J170" s="45"/>
      <c r="K170" s="45">
        <v>518685</v>
      </c>
      <c r="L170" s="45"/>
      <c r="M170" s="45">
        <v>3292649</v>
      </c>
      <c r="N170" s="45"/>
      <c r="O170" s="45">
        <v>7100</v>
      </c>
      <c r="P170" s="45"/>
      <c r="Q170" s="45">
        <v>0</v>
      </c>
      <c r="R170" s="45"/>
      <c r="S170" s="45">
        <v>0</v>
      </c>
      <c r="T170" s="45"/>
      <c r="U170" s="45">
        <v>0</v>
      </c>
      <c r="V170" s="45"/>
      <c r="W170" s="45">
        <v>0</v>
      </c>
      <c r="X170" s="45"/>
      <c r="Y170" s="45">
        <v>0</v>
      </c>
      <c r="Z170" s="44"/>
      <c r="AA170" s="45">
        <v>0</v>
      </c>
      <c r="AB170" s="44"/>
      <c r="AC170" s="45">
        <f t="shared" si="5"/>
        <v>16199292</v>
      </c>
      <c r="AD170" s="45"/>
      <c r="AE170" s="48">
        <v>0</v>
      </c>
      <c r="AF170" s="48"/>
      <c r="AG170" s="45">
        <v>3200527</v>
      </c>
      <c r="AH170" s="45"/>
      <c r="AI170" s="45">
        <v>13848427</v>
      </c>
      <c r="AJ170" s="45"/>
      <c r="AK170" s="45">
        <v>246631</v>
      </c>
      <c r="AL170" s="45"/>
      <c r="AM170" s="45">
        <f>+'[3]Gen rev'!U170-'[3]Gen exp'!AC170-AG170+'[3]Gen rev'!W170+AI170+AK170-'[3]Gen Bal'!S170-'[3]Gen exp'!AE170</f>
        <v>0</v>
      </c>
      <c r="AN170" s="44"/>
      <c r="AO170" s="44"/>
      <c r="AP170" s="44"/>
      <c r="AQ170" s="44"/>
    </row>
    <row r="171" spans="1:45" s="49" customFormat="1" ht="12.75" customHeight="1">
      <c r="A171" s="28" t="s">
        <v>198</v>
      </c>
      <c r="C171" s="28" t="s">
        <v>199</v>
      </c>
      <c r="E171" s="45">
        <v>1058839</v>
      </c>
      <c r="F171" s="45"/>
      <c r="G171" s="45">
        <f>1598027+400868</f>
        <v>1998895</v>
      </c>
      <c r="H171" s="45"/>
      <c r="I171" s="45">
        <v>0</v>
      </c>
      <c r="J171" s="45"/>
      <c r="K171" s="45">
        <v>162793</v>
      </c>
      <c r="L171" s="45"/>
      <c r="M171" s="45">
        <v>544485</v>
      </c>
      <c r="N171" s="45"/>
      <c r="O171" s="45">
        <v>281589</v>
      </c>
      <c r="P171" s="45"/>
      <c r="Q171" s="45">
        <v>0</v>
      </c>
      <c r="R171" s="45"/>
      <c r="S171" s="45">
        <v>0</v>
      </c>
      <c r="T171" s="45"/>
      <c r="U171" s="45">
        <v>0</v>
      </c>
      <c r="V171" s="45"/>
      <c r="W171" s="45">
        <v>0</v>
      </c>
      <c r="X171" s="45"/>
      <c r="Y171" s="45">
        <v>0</v>
      </c>
      <c r="Z171" s="44"/>
      <c r="AA171" s="45">
        <v>0</v>
      </c>
      <c r="AB171" s="44"/>
      <c r="AC171" s="45">
        <f>SUM(E171:AA171)</f>
        <v>4046601</v>
      </c>
      <c r="AD171" s="45"/>
      <c r="AE171" s="48">
        <v>0</v>
      </c>
      <c r="AF171" s="48"/>
      <c r="AG171" s="45">
        <v>1154752</v>
      </c>
      <c r="AH171" s="45"/>
      <c r="AI171" s="45">
        <v>2623837</v>
      </c>
      <c r="AJ171" s="45"/>
      <c r="AK171" s="45">
        <v>0</v>
      </c>
      <c r="AL171" s="45"/>
      <c r="AM171" s="45">
        <f>+'[3]Gen rev'!U171-'[3]Gen exp'!AC171-AG171+'[3]Gen rev'!W171+AI171+AK171-'[3]Gen Bal'!S171-'[3]Gen exp'!AE171</f>
        <v>0</v>
      </c>
      <c r="AN171" s="44"/>
      <c r="AO171" s="44"/>
      <c r="AP171" s="44"/>
      <c r="AQ171" s="44"/>
    </row>
    <row r="172" spans="1:45" s="49" customFormat="1" ht="12.75" customHeight="1">
      <c r="A172" s="28" t="s">
        <v>200</v>
      </c>
      <c r="C172" s="28" t="s">
        <v>103</v>
      </c>
      <c r="E172" s="45">
        <v>5496187</v>
      </c>
      <c r="F172" s="45"/>
      <c r="G172" s="45">
        <v>4901712</v>
      </c>
      <c r="H172" s="45"/>
      <c r="I172" s="45">
        <v>738458</v>
      </c>
      <c r="J172" s="45"/>
      <c r="K172" s="45">
        <v>292818</v>
      </c>
      <c r="L172" s="45"/>
      <c r="M172" s="45">
        <v>0</v>
      </c>
      <c r="N172" s="45"/>
      <c r="O172" s="45">
        <v>1257257</v>
      </c>
      <c r="P172" s="45"/>
      <c r="Q172" s="45">
        <v>0</v>
      </c>
      <c r="R172" s="45"/>
      <c r="S172" s="45">
        <v>0</v>
      </c>
      <c r="T172" s="45"/>
      <c r="U172" s="45">
        <v>0</v>
      </c>
      <c r="V172" s="45"/>
      <c r="W172" s="45">
        <v>0</v>
      </c>
      <c r="X172" s="45"/>
      <c r="Y172" s="45">
        <v>0</v>
      </c>
      <c r="Z172" s="44"/>
      <c r="AA172" s="45">
        <v>0</v>
      </c>
      <c r="AB172" s="44"/>
      <c r="AC172" s="45">
        <f t="shared" si="5"/>
        <v>12686432</v>
      </c>
      <c r="AD172" s="45"/>
      <c r="AE172" s="48">
        <v>0</v>
      </c>
      <c r="AF172" s="48"/>
      <c r="AG172" s="45">
        <v>3543799</v>
      </c>
      <c r="AH172" s="45"/>
      <c r="AI172" s="45">
        <v>6147783</v>
      </c>
      <c r="AJ172" s="45"/>
      <c r="AK172" s="45">
        <v>0</v>
      </c>
      <c r="AL172" s="45"/>
      <c r="AM172" s="45">
        <f>+'[3]Gen rev'!U172-'[3]Gen exp'!AC172-AG172+'[3]Gen rev'!W172+AI172+AK172-'[3]Gen Bal'!S172-'[3]Gen exp'!AE172</f>
        <v>0</v>
      </c>
      <c r="AN172" s="45"/>
      <c r="AO172" s="45"/>
      <c r="AP172" s="45"/>
      <c r="AQ172" s="45"/>
      <c r="AR172" s="52"/>
      <c r="AS172" s="50"/>
    </row>
    <row r="173" spans="1:45" s="49" customFormat="1" ht="12.75" customHeight="1">
      <c r="A173" s="28" t="s">
        <v>201</v>
      </c>
      <c r="C173" s="28" t="s">
        <v>92</v>
      </c>
      <c r="E173" s="45">
        <v>2651366</v>
      </c>
      <c r="F173" s="45"/>
      <c r="G173" s="45">
        <v>6953341</v>
      </c>
      <c r="H173" s="45"/>
      <c r="I173" s="45">
        <v>410090</v>
      </c>
      <c r="J173" s="45"/>
      <c r="K173" s="45">
        <v>133359</v>
      </c>
      <c r="L173" s="45"/>
      <c r="M173" s="45">
        <v>1119418</v>
      </c>
      <c r="N173" s="45"/>
      <c r="O173" s="45">
        <v>853033</v>
      </c>
      <c r="P173" s="45"/>
      <c r="Q173" s="45">
        <v>0</v>
      </c>
      <c r="R173" s="45"/>
      <c r="S173" s="45">
        <v>0</v>
      </c>
      <c r="T173" s="45"/>
      <c r="U173" s="45">
        <v>0</v>
      </c>
      <c r="V173" s="45"/>
      <c r="W173" s="45">
        <v>97676</v>
      </c>
      <c r="X173" s="45"/>
      <c r="Y173" s="45">
        <v>30044</v>
      </c>
      <c r="Z173" s="44"/>
      <c r="AA173" s="45">
        <v>0</v>
      </c>
      <c r="AB173" s="44"/>
      <c r="AC173" s="45">
        <f t="shared" si="5"/>
        <v>12248327</v>
      </c>
      <c r="AD173" s="45"/>
      <c r="AE173" s="48">
        <v>0</v>
      </c>
      <c r="AF173" s="48"/>
      <c r="AG173" s="45">
        <v>2167500</v>
      </c>
      <c r="AH173" s="45"/>
      <c r="AI173" s="45">
        <v>6725041</v>
      </c>
      <c r="AJ173" s="45"/>
      <c r="AK173" s="45">
        <v>34752</v>
      </c>
      <c r="AL173" s="45"/>
      <c r="AM173" s="45">
        <f>+'[3]Gen rev'!U173-'[3]Gen exp'!AC173-AG173+'[3]Gen rev'!W173+AI173+AK173-'[3]Gen Bal'!S173-'[3]Gen exp'!AE173</f>
        <v>0</v>
      </c>
      <c r="AN173" s="44"/>
      <c r="AO173" s="44"/>
      <c r="AP173" s="44"/>
      <c r="AQ173" s="44"/>
    </row>
    <row r="174" spans="1:45" s="49" customFormat="1" ht="12.75" hidden="1" customHeight="1">
      <c r="A174" s="28" t="s">
        <v>202</v>
      </c>
      <c r="C174" s="28" t="s">
        <v>27</v>
      </c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4"/>
      <c r="AA174" s="45"/>
      <c r="AB174" s="44"/>
      <c r="AC174" s="45">
        <f t="shared" si="5"/>
        <v>0</v>
      </c>
      <c r="AD174" s="45"/>
      <c r="AE174" s="48">
        <v>0</v>
      </c>
      <c r="AF174" s="48"/>
      <c r="AG174" s="45"/>
      <c r="AH174" s="45"/>
      <c r="AI174" s="45"/>
      <c r="AJ174" s="45"/>
      <c r="AK174" s="45">
        <v>0</v>
      </c>
      <c r="AL174" s="45"/>
      <c r="AM174" s="45">
        <f>+'[3]Gen rev'!U174-'[3]Gen exp'!AC174-AG174+'[3]Gen rev'!W174+AI174+AK174-'[3]Gen Bal'!S174-'[3]Gen exp'!AE174</f>
        <v>0</v>
      </c>
      <c r="AN174" s="44"/>
      <c r="AO174" s="44"/>
      <c r="AP174" s="44"/>
      <c r="AQ174" s="44"/>
    </row>
    <row r="175" spans="1:45" s="49" customFormat="1" ht="12.75" customHeight="1">
      <c r="A175" s="64" t="s">
        <v>203</v>
      </c>
      <c r="B175" s="46"/>
      <c r="C175" s="64" t="s">
        <v>27</v>
      </c>
      <c r="D175" s="46"/>
      <c r="E175" s="45">
        <v>2674893</v>
      </c>
      <c r="F175" s="45"/>
      <c r="G175" s="45">
        <v>8577615</v>
      </c>
      <c r="H175" s="45"/>
      <c r="I175" s="45">
        <v>2802000</v>
      </c>
      <c r="J175" s="45"/>
      <c r="K175" s="45">
        <v>993262</v>
      </c>
      <c r="L175" s="45"/>
      <c r="M175" s="45">
        <v>49283</v>
      </c>
      <c r="N175" s="45"/>
      <c r="O175" s="45">
        <v>379843</v>
      </c>
      <c r="P175" s="45"/>
      <c r="Q175" s="45">
        <v>218624</v>
      </c>
      <c r="R175" s="45"/>
      <c r="S175" s="45">
        <v>0</v>
      </c>
      <c r="T175" s="45"/>
      <c r="U175" s="45">
        <v>0</v>
      </c>
      <c r="V175" s="45"/>
      <c r="W175" s="45">
        <v>169777</v>
      </c>
      <c r="X175" s="45"/>
      <c r="Y175" s="45">
        <v>18318</v>
      </c>
      <c r="Z175" s="44"/>
      <c r="AA175" s="45">
        <v>0</v>
      </c>
      <c r="AB175" s="44"/>
      <c r="AC175" s="45">
        <f t="shared" si="5"/>
        <v>15883615</v>
      </c>
      <c r="AD175" s="45"/>
      <c r="AE175" s="48">
        <v>0</v>
      </c>
      <c r="AF175" s="48"/>
      <c r="AG175" s="45">
        <v>0</v>
      </c>
      <c r="AH175" s="45"/>
      <c r="AI175" s="45">
        <v>1070891</v>
      </c>
      <c r="AJ175" s="45"/>
      <c r="AK175" s="45">
        <v>0</v>
      </c>
      <c r="AL175" s="45"/>
      <c r="AM175" s="45">
        <f>+'[3]Gen rev'!U175-'[3]Gen exp'!AC175-AG175+'[3]Gen rev'!W175+AI175+AK175-'[3]Gen Bal'!S175-'[3]Gen exp'!AE175</f>
        <v>0</v>
      </c>
      <c r="AN175" s="45"/>
      <c r="AO175" s="45"/>
      <c r="AP175" s="45"/>
      <c r="AQ175" s="45"/>
      <c r="AR175" s="52"/>
      <c r="AS175" s="50"/>
    </row>
    <row r="176" spans="1:45" s="49" customFormat="1" ht="12.75" customHeight="1">
      <c r="A176" s="28" t="s">
        <v>204</v>
      </c>
      <c r="C176" s="28" t="s">
        <v>125</v>
      </c>
      <c r="E176" s="45">
        <v>927449</v>
      </c>
      <c r="F176" s="45"/>
      <c r="G176" s="45">
        <v>146820</v>
      </c>
      <c r="H176" s="45"/>
      <c r="I176" s="45">
        <v>246933</v>
      </c>
      <c r="J176" s="45"/>
      <c r="K176" s="45">
        <v>57500</v>
      </c>
      <c r="L176" s="45"/>
      <c r="M176" s="45">
        <v>0</v>
      </c>
      <c r="N176" s="45"/>
      <c r="O176" s="45">
        <v>0</v>
      </c>
      <c r="P176" s="45"/>
      <c r="Q176" s="45">
        <v>0</v>
      </c>
      <c r="R176" s="45"/>
      <c r="S176" s="45">
        <v>0</v>
      </c>
      <c r="T176" s="45"/>
      <c r="U176" s="45">
        <v>0</v>
      </c>
      <c r="V176" s="45"/>
      <c r="W176" s="45">
        <v>0</v>
      </c>
      <c r="X176" s="45"/>
      <c r="Y176" s="45">
        <v>0</v>
      </c>
      <c r="Z176" s="44"/>
      <c r="AA176" s="45">
        <v>0</v>
      </c>
      <c r="AB176" s="44"/>
      <c r="AC176" s="45">
        <f t="shared" si="5"/>
        <v>1378702</v>
      </c>
      <c r="AD176" s="45"/>
      <c r="AE176" s="48">
        <v>0</v>
      </c>
      <c r="AF176" s="48"/>
      <c r="AG176" s="45">
        <v>442277</v>
      </c>
      <c r="AH176" s="45"/>
      <c r="AI176" s="45">
        <v>951200</v>
      </c>
      <c r="AJ176" s="45"/>
      <c r="AK176" s="45">
        <v>0</v>
      </c>
      <c r="AL176" s="45"/>
      <c r="AM176" s="45">
        <f>+'[3]Gen rev'!U176-'[3]Gen exp'!AC176-AG176+'[3]Gen rev'!W176+AI176+AK176-'[3]Gen Bal'!S176-'[3]Gen exp'!AE176</f>
        <v>0</v>
      </c>
      <c r="AN176" s="44"/>
      <c r="AO176" s="44"/>
      <c r="AP176" s="44"/>
      <c r="AQ176" s="44"/>
    </row>
    <row r="177" spans="1:45" s="49" customFormat="1" ht="12.75" customHeight="1">
      <c r="A177" s="64" t="s">
        <v>205</v>
      </c>
      <c r="B177" s="46"/>
      <c r="C177" s="64" t="s">
        <v>27</v>
      </c>
      <c r="D177" s="46"/>
      <c r="E177" s="45">
        <v>1412273</v>
      </c>
      <c r="F177" s="45"/>
      <c r="G177" s="45">
        <v>3411186</v>
      </c>
      <c r="H177" s="45"/>
      <c r="I177" s="45">
        <v>282575</v>
      </c>
      <c r="J177" s="45"/>
      <c r="K177" s="45">
        <v>27300</v>
      </c>
      <c r="L177" s="45"/>
      <c r="M177" s="45">
        <v>2126846</v>
      </c>
      <c r="N177" s="45"/>
      <c r="O177" s="45">
        <v>0</v>
      </c>
      <c r="P177" s="45"/>
      <c r="Q177" s="45">
        <v>1873257</v>
      </c>
      <c r="R177" s="45"/>
      <c r="S177" s="45">
        <v>0</v>
      </c>
      <c r="T177" s="45"/>
      <c r="U177" s="45">
        <v>0</v>
      </c>
      <c r="V177" s="45"/>
      <c r="W177" s="45">
        <v>0</v>
      </c>
      <c r="X177" s="45"/>
      <c r="Y177" s="45">
        <v>0</v>
      </c>
      <c r="Z177" s="44"/>
      <c r="AA177" s="45">
        <v>0</v>
      </c>
      <c r="AB177" s="44"/>
      <c r="AC177" s="45">
        <f t="shared" si="5"/>
        <v>9133437</v>
      </c>
      <c r="AD177" s="45"/>
      <c r="AE177" s="48">
        <v>0</v>
      </c>
      <c r="AF177" s="48"/>
      <c r="AG177" s="45">
        <v>873000</v>
      </c>
      <c r="AH177" s="45"/>
      <c r="AI177" s="45">
        <v>5961193</v>
      </c>
      <c r="AJ177" s="45"/>
      <c r="AK177" s="45">
        <v>0</v>
      </c>
      <c r="AL177" s="45"/>
      <c r="AM177" s="45">
        <f>+'[3]Gen rev'!U177-'[3]Gen exp'!AC177-AG177+'[3]Gen rev'!W177+AI177+AK177-'[3]Gen Bal'!S177-'[3]Gen exp'!AE177</f>
        <v>0</v>
      </c>
      <c r="AN177" s="44"/>
      <c r="AO177" s="44"/>
      <c r="AP177" s="44"/>
      <c r="AQ177" s="44"/>
    </row>
    <row r="178" spans="1:45" s="46" customFormat="1" ht="12.75" customHeight="1">
      <c r="A178" s="28" t="s">
        <v>206</v>
      </c>
      <c r="B178" s="49"/>
      <c r="C178" s="28" t="s">
        <v>47</v>
      </c>
      <c r="D178" s="49"/>
      <c r="E178" s="45">
        <v>4100746</v>
      </c>
      <c r="F178" s="45"/>
      <c r="G178" s="45">
        <v>6506552</v>
      </c>
      <c r="H178" s="45"/>
      <c r="I178" s="45">
        <v>534307</v>
      </c>
      <c r="J178" s="45"/>
      <c r="K178" s="45">
        <v>30587</v>
      </c>
      <c r="L178" s="45"/>
      <c r="M178" s="45">
        <v>1256794</v>
      </c>
      <c r="N178" s="45"/>
      <c r="O178" s="45">
        <v>1273904</v>
      </c>
      <c r="P178" s="45"/>
      <c r="Q178" s="45">
        <v>0</v>
      </c>
      <c r="R178" s="45"/>
      <c r="S178" s="45">
        <v>0</v>
      </c>
      <c r="T178" s="45"/>
      <c r="U178" s="45">
        <v>0</v>
      </c>
      <c r="V178" s="45"/>
      <c r="W178" s="45">
        <v>0</v>
      </c>
      <c r="X178" s="45"/>
      <c r="Y178" s="45">
        <v>0</v>
      </c>
      <c r="Z178" s="44"/>
      <c r="AA178" s="45">
        <v>0</v>
      </c>
      <c r="AB178" s="44"/>
      <c r="AC178" s="45">
        <f t="shared" si="5"/>
        <v>13702890</v>
      </c>
      <c r="AD178" s="45"/>
      <c r="AE178" s="48">
        <v>0</v>
      </c>
      <c r="AF178" s="48"/>
      <c r="AG178" s="45">
        <v>7009023</v>
      </c>
      <c r="AH178" s="45"/>
      <c r="AI178" s="45">
        <v>6073113</v>
      </c>
      <c r="AJ178" s="45"/>
      <c r="AK178" s="45">
        <v>0</v>
      </c>
      <c r="AL178" s="45"/>
      <c r="AM178" s="45">
        <f>+'[3]Gen rev'!U178-'[3]Gen exp'!AC178-AG178+'[3]Gen rev'!W178+AI178+AK178-'[3]Gen Bal'!S178-'[3]Gen exp'!AE178</f>
        <v>0</v>
      </c>
    </row>
    <row r="179" spans="1:45" s="46" customFormat="1" ht="12.75" customHeight="1">
      <c r="A179" s="28" t="s">
        <v>207</v>
      </c>
      <c r="B179" s="49"/>
      <c r="C179" s="28" t="s">
        <v>102</v>
      </c>
      <c r="D179" s="49"/>
      <c r="E179" s="45">
        <v>2344376</v>
      </c>
      <c r="F179" s="45"/>
      <c r="G179" s="45">
        <v>80162</v>
      </c>
      <c r="H179" s="45"/>
      <c r="I179" s="45">
        <v>751771</v>
      </c>
      <c r="J179" s="45"/>
      <c r="K179" s="45">
        <v>139550</v>
      </c>
      <c r="L179" s="45"/>
      <c r="M179" s="45">
        <v>0</v>
      </c>
      <c r="N179" s="45"/>
      <c r="O179" s="45">
        <v>43380</v>
      </c>
      <c r="P179" s="45"/>
      <c r="Q179" s="45">
        <v>0</v>
      </c>
      <c r="R179" s="45"/>
      <c r="S179" s="45">
        <v>0</v>
      </c>
      <c r="T179" s="45"/>
      <c r="U179" s="45">
        <v>0</v>
      </c>
      <c r="V179" s="45"/>
      <c r="W179" s="45">
        <v>8530</v>
      </c>
      <c r="X179" s="45"/>
      <c r="Y179" s="45">
        <v>2535</v>
      </c>
      <c r="Z179" s="44"/>
      <c r="AA179" s="45">
        <v>0</v>
      </c>
      <c r="AB179" s="44"/>
      <c r="AC179" s="45">
        <f t="shared" si="5"/>
        <v>3370304</v>
      </c>
      <c r="AD179" s="45"/>
      <c r="AE179" s="48">
        <v>0</v>
      </c>
      <c r="AF179" s="48"/>
      <c r="AG179" s="45">
        <v>3487896</v>
      </c>
      <c r="AH179" s="45"/>
      <c r="AI179" s="45">
        <v>2208101</v>
      </c>
      <c r="AJ179" s="45"/>
      <c r="AK179" s="45">
        <v>0</v>
      </c>
      <c r="AL179" s="45"/>
      <c r="AM179" s="45">
        <f>+'[3]Gen rev'!U179-'[3]Gen exp'!AC179-AG179+'[3]Gen rev'!W179+AI179+AK179-'[3]Gen Bal'!S179-'[3]Gen exp'!AE179</f>
        <v>0</v>
      </c>
    </row>
    <row r="180" spans="1:45" s="49" customFormat="1" ht="12.75" customHeight="1">
      <c r="A180" s="28" t="s">
        <v>208</v>
      </c>
      <c r="C180" s="28" t="s">
        <v>209</v>
      </c>
      <c r="E180" s="45">
        <v>1501156</v>
      </c>
      <c r="F180" s="45"/>
      <c r="G180" s="45">
        <v>7499017</v>
      </c>
      <c r="H180" s="45"/>
      <c r="I180" s="45">
        <v>390259</v>
      </c>
      <c r="J180" s="45"/>
      <c r="K180" s="45">
        <v>492327</v>
      </c>
      <c r="L180" s="45"/>
      <c r="M180" s="45">
        <v>7172</v>
      </c>
      <c r="N180" s="45"/>
      <c r="O180" s="45">
        <v>574296</v>
      </c>
      <c r="P180" s="45"/>
      <c r="Q180" s="45">
        <v>0</v>
      </c>
      <c r="R180" s="45"/>
      <c r="S180" s="45">
        <v>418389</v>
      </c>
      <c r="T180" s="45"/>
      <c r="U180" s="45">
        <v>0</v>
      </c>
      <c r="V180" s="45"/>
      <c r="W180" s="45">
        <v>0</v>
      </c>
      <c r="X180" s="45"/>
      <c r="Y180" s="45">
        <v>0</v>
      </c>
      <c r="Z180" s="44"/>
      <c r="AA180" s="45">
        <v>0</v>
      </c>
      <c r="AB180" s="44"/>
      <c r="AC180" s="45">
        <f t="shared" si="5"/>
        <v>10882616</v>
      </c>
      <c r="AD180" s="45"/>
      <c r="AE180" s="48">
        <v>0</v>
      </c>
      <c r="AF180" s="48"/>
      <c r="AG180" s="45">
        <v>1161603</v>
      </c>
      <c r="AH180" s="45"/>
      <c r="AI180" s="45">
        <v>16600692</v>
      </c>
      <c r="AJ180" s="45"/>
      <c r="AK180" s="45">
        <v>0</v>
      </c>
      <c r="AL180" s="45"/>
      <c r="AM180" s="45">
        <f>+'[3]Gen rev'!U180-'[3]Gen exp'!AC180-AG180+'[3]Gen rev'!W180+AI180+AK180-'[3]Gen Bal'!S180-'[3]Gen exp'!AE180</f>
        <v>0</v>
      </c>
      <c r="AN180" s="45"/>
      <c r="AO180" s="45"/>
      <c r="AP180" s="45"/>
      <c r="AQ180" s="45"/>
      <c r="AR180" s="52"/>
      <c r="AS180" s="50"/>
    </row>
    <row r="181" spans="1:45" s="49" customFormat="1" ht="12.75" customHeight="1">
      <c r="A181" s="47" t="s">
        <v>210</v>
      </c>
      <c r="C181" s="47" t="s">
        <v>211</v>
      </c>
      <c r="E181" s="45">
        <v>1445788</v>
      </c>
      <c r="F181" s="45"/>
      <c r="G181" s="45">
        <v>1520916</v>
      </c>
      <c r="H181" s="45"/>
      <c r="I181" s="45">
        <v>3824</v>
      </c>
      <c r="J181" s="45"/>
      <c r="K181" s="45">
        <v>220319</v>
      </c>
      <c r="L181" s="45"/>
      <c r="M181" s="45">
        <v>0</v>
      </c>
      <c r="N181" s="45"/>
      <c r="O181" s="45">
        <v>139449</v>
      </c>
      <c r="P181" s="45"/>
      <c r="Q181" s="45">
        <v>0</v>
      </c>
      <c r="R181" s="45"/>
      <c r="S181" s="45">
        <v>0</v>
      </c>
      <c r="T181" s="45"/>
      <c r="U181" s="45">
        <v>0</v>
      </c>
      <c r="V181" s="45"/>
      <c r="W181" s="45">
        <v>30417</v>
      </c>
      <c r="X181" s="45"/>
      <c r="Y181" s="45">
        <v>7230</v>
      </c>
      <c r="Z181" s="44"/>
      <c r="AA181" s="45">
        <v>0</v>
      </c>
      <c r="AB181" s="44"/>
      <c r="AC181" s="45">
        <f t="shared" si="5"/>
        <v>3367943</v>
      </c>
      <c r="AD181" s="45"/>
      <c r="AE181" s="48">
        <v>0</v>
      </c>
      <c r="AF181" s="48"/>
      <c r="AG181" s="45">
        <v>1016402</v>
      </c>
      <c r="AH181" s="45"/>
      <c r="AI181" s="45">
        <v>1646288</v>
      </c>
      <c r="AJ181" s="45"/>
      <c r="AK181" s="45">
        <v>0</v>
      </c>
      <c r="AL181" s="45"/>
      <c r="AM181" s="45">
        <f>+'[3]Gen rev'!U181-'[3]Gen exp'!AC181-AG181+'[3]Gen rev'!W181+AI181+AK181-'[3]Gen Bal'!S181-'[3]Gen exp'!AE181</f>
        <v>0</v>
      </c>
      <c r="AN181" s="44"/>
      <c r="AO181" s="44"/>
      <c r="AP181" s="44"/>
      <c r="AQ181" s="44"/>
      <c r="AR181" s="52"/>
      <c r="AS181" s="50"/>
    </row>
    <row r="182" spans="1:45" s="46" customFormat="1" ht="12.75" customHeight="1">
      <c r="A182" s="47" t="s">
        <v>212</v>
      </c>
      <c r="B182" s="49"/>
      <c r="C182" s="47" t="s">
        <v>213</v>
      </c>
      <c r="D182" s="49"/>
      <c r="E182" s="45">
        <v>2959407</v>
      </c>
      <c r="F182" s="45"/>
      <c r="G182" s="45">
        <v>6976700</v>
      </c>
      <c r="H182" s="45"/>
      <c r="I182" s="45">
        <v>253708</v>
      </c>
      <c r="J182" s="45"/>
      <c r="K182" s="45">
        <v>631171</v>
      </c>
      <c r="L182" s="45"/>
      <c r="M182" s="45">
        <v>439165</v>
      </c>
      <c r="N182" s="45"/>
      <c r="O182" s="45">
        <v>0</v>
      </c>
      <c r="P182" s="45"/>
      <c r="Q182" s="45">
        <v>0</v>
      </c>
      <c r="R182" s="45"/>
      <c r="S182" s="45">
        <v>0</v>
      </c>
      <c r="T182" s="45"/>
      <c r="U182" s="45">
        <v>0</v>
      </c>
      <c r="V182" s="45"/>
      <c r="W182" s="45">
        <v>0</v>
      </c>
      <c r="X182" s="45"/>
      <c r="Y182" s="45">
        <v>0</v>
      </c>
      <c r="Z182" s="44"/>
      <c r="AA182" s="45">
        <v>0</v>
      </c>
      <c r="AB182" s="44"/>
      <c r="AC182" s="45">
        <f t="shared" si="5"/>
        <v>11260151</v>
      </c>
      <c r="AD182" s="45"/>
      <c r="AE182" s="48">
        <v>0</v>
      </c>
      <c r="AF182" s="48"/>
      <c r="AG182" s="45">
        <v>20000</v>
      </c>
      <c r="AH182" s="45"/>
      <c r="AI182" s="45">
        <v>799294</v>
      </c>
      <c r="AJ182" s="45"/>
      <c r="AK182" s="45">
        <v>-9655</v>
      </c>
      <c r="AL182" s="45"/>
      <c r="AM182" s="45">
        <f>+'[3]Gen rev'!U182-'[3]Gen exp'!AC182-AG182+'[3]Gen rev'!W182+AI182+AK182-'[3]Gen Bal'!S182-'[3]Gen exp'!AE182</f>
        <v>0</v>
      </c>
      <c r="AN182" s="94"/>
      <c r="AO182" s="94"/>
      <c r="AP182" s="94"/>
      <c r="AQ182" s="94"/>
      <c r="AR182" s="90"/>
      <c r="AS182" s="64"/>
    </row>
    <row r="183" spans="1:45" s="49" customFormat="1" ht="12.75" customHeight="1">
      <c r="A183" s="47" t="s">
        <v>214</v>
      </c>
      <c r="C183" s="47" t="s">
        <v>86</v>
      </c>
      <c r="E183" s="45">
        <v>1640509</v>
      </c>
      <c r="F183" s="45"/>
      <c r="G183" s="45">
        <v>1882950</v>
      </c>
      <c r="H183" s="45"/>
      <c r="I183" s="45">
        <v>1027306</v>
      </c>
      <c r="J183" s="45"/>
      <c r="K183" s="45">
        <v>0</v>
      </c>
      <c r="L183" s="45"/>
      <c r="M183" s="45">
        <v>592019</v>
      </c>
      <c r="N183" s="45"/>
      <c r="O183" s="45">
        <v>366673</v>
      </c>
      <c r="P183" s="45"/>
      <c r="Q183" s="45">
        <v>0</v>
      </c>
      <c r="R183" s="45"/>
      <c r="S183" s="45">
        <v>0</v>
      </c>
      <c r="T183" s="45"/>
      <c r="U183" s="45">
        <v>0</v>
      </c>
      <c r="V183" s="45"/>
      <c r="W183" s="45">
        <v>0</v>
      </c>
      <c r="X183" s="45"/>
      <c r="Y183" s="45">
        <v>0</v>
      </c>
      <c r="Z183" s="44"/>
      <c r="AA183" s="45">
        <v>0</v>
      </c>
      <c r="AB183" s="44"/>
      <c r="AC183" s="45">
        <f t="shared" si="5"/>
        <v>5509457</v>
      </c>
      <c r="AD183" s="45"/>
      <c r="AE183" s="48">
        <v>0</v>
      </c>
      <c r="AF183" s="48"/>
      <c r="AG183" s="45">
        <v>689060</v>
      </c>
      <c r="AH183" s="45"/>
      <c r="AI183" s="45">
        <v>6396649</v>
      </c>
      <c r="AJ183" s="45"/>
      <c r="AK183" s="45">
        <v>0</v>
      </c>
      <c r="AL183" s="45"/>
      <c r="AM183" s="45">
        <f>+'[3]Gen rev'!U183-'[3]Gen exp'!AC183-AG183+'[3]Gen rev'!W183+AI183+AK183-'[3]Gen Bal'!S183-'[3]Gen exp'!AE183</f>
        <v>0</v>
      </c>
      <c r="AN183" s="45"/>
      <c r="AO183" s="45"/>
      <c r="AP183" s="45"/>
      <c r="AQ183" s="45"/>
      <c r="AR183" s="52"/>
      <c r="AS183" s="50"/>
    </row>
    <row r="184" spans="1:45" s="46" customFormat="1" ht="12.75" customHeight="1">
      <c r="A184" s="28" t="s">
        <v>215</v>
      </c>
      <c r="B184" s="49"/>
      <c r="C184" s="28" t="s">
        <v>22</v>
      </c>
      <c r="D184" s="49"/>
      <c r="E184" s="45">
        <v>1581597</v>
      </c>
      <c r="F184" s="45"/>
      <c r="G184" s="45">
        <f>3085964+1347349</f>
        <v>4433313</v>
      </c>
      <c r="H184" s="45"/>
      <c r="I184" s="45">
        <v>293118</v>
      </c>
      <c r="J184" s="45"/>
      <c r="K184" s="45">
        <v>316414</v>
      </c>
      <c r="L184" s="45"/>
      <c r="M184" s="45">
        <v>0</v>
      </c>
      <c r="N184" s="45"/>
      <c r="O184" s="45">
        <v>0</v>
      </c>
      <c r="P184" s="45"/>
      <c r="Q184" s="45">
        <v>133648</v>
      </c>
      <c r="R184" s="45"/>
      <c r="S184" s="45">
        <v>0</v>
      </c>
      <c r="T184" s="45"/>
      <c r="U184" s="45">
        <v>3187</v>
      </c>
      <c r="V184" s="45"/>
      <c r="W184" s="45">
        <v>45563</v>
      </c>
      <c r="X184" s="45"/>
      <c r="Y184" s="45">
        <v>5004</v>
      </c>
      <c r="Z184" s="44"/>
      <c r="AA184" s="45">
        <v>0</v>
      </c>
      <c r="AB184" s="44"/>
      <c r="AC184" s="45">
        <f t="shared" si="5"/>
        <v>6811844</v>
      </c>
      <c r="AD184" s="45"/>
      <c r="AE184" s="48">
        <v>0</v>
      </c>
      <c r="AF184" s="48"/>
      <c r="AG184" s="45">
        <v>1069788</v>
      </c>
      <c r="AH184" s="45"/>
      <c r="AI184" s="45">
        <v>4188920</v>
      </c>
      <c r="AJ184" s="45"/>
      <c r="AK184" s="45">
        <v>0</v>
      </c>
      <c r="AL184" s="45"/>
      <c r="AM184" s="45">
        <f>+'[3]Gen rev'!U184-'[3]Gen exp'!AC184-AG184+'[3]Gen rev'!W184+AI184+AK184-'[3]Gen Bal'!S184-'[3]Gen exp'!AE184</f>
        <v>0</v>
      </c>
      <c r="AN184" s="94"/>
      <c r="AO184" s="94"/>
      <c r="AP184" s="94"/>
      <c r="AQ184" s="94"/>
      <c r="AR184" s="90"/>
      <c r="AS184" s="64"/>
    </row>
    <row r="185" spans="1:45" s="49" customFormat="1" ht="12.75" customHeight="1">
      <c r="A185" s="64" t="s">
        <v>216</v>
      </c>
      <c r="B185" s="46"/>
      <c r="C185" s="64" t="s">
        <v>45</v>
      </c>
      <c r="D185" s="46"/>
      <c r="E185" s="45">
        <v>2105962</v>
      </c>
      <c r="F185" s="45"/>
      <c r="G185" s="45">
        <v>5095050</v>
      </c>
      <c r="H185" s="45"/>
      <c r="I185" s="45">
        <v>183421</v>
      </c>
      <c r="J185" s="45"/>
      <c r="K185" s="45">
        <v>10505</v>
      </c>
      <c r="L185" s="45"/>
      <c r="M185" s="45">
        <v>2424</v>
      </c>
      <c r="N185" s="45"/>
      <c r="O185" s="45">
        <v>520598</v>
      </c>
      <c r="P185" s="45"/>
      <c r="Q185" s="45">
        <v>452450</v>
      </c>
      <c r="R185" s="45"/>
      <c r="S185" s="45">
        <v>0</v>
      </c>
      <c r="T185" s="45"/>
      <c r="U185" s="45">
        <v>0</v>
      </c>
      <c r="V185" s="45"/>
      <c r="W185" s="45">
        <v>0</v>
      </c>
      <c r="X185" s="45"/>
      <c r="Y185" s="45">
        <v>13117</v>
      </c>
      <c r="Z185" s="44"/>
      <c r="AA185" s="45">
        <v>0</v>
      </c>
      <c r="AB185" s="44"/>
      <c r="AC185" s="45">
        <f t="shared" si="5"/>
        <v>8383527</v>
      </c>
      <c r="AD185" s="45"/>
      <c r="AE185" s="48">
        <v>0</v>
      </c>
      <c r="AF185" s="48"/>
      <c r="AG185" s="45">
        <v>699788</v>
      </c>
      <c r="AH185" s="45"/>
      <c r="AI185" s="45">
        <v>1849046</v>
      </c>
      <c r="AJ185" s="45"/>
      <c r="AK185" s="45">
        <v>0</v>
      </c>
      <c r="AL185" s="45"/>
      <c r="AM185" s="45">
        <f>+'[3]Gen rev'!U185-'[3]Gen exp'!AC185-AG185+'[3]Gen rev'!W185+AI185+AK185-'[3]Gen Bal'!S185-'[3]Gen exp'!AE185</f>
        <v>0</v>
      </c>
      <c r="AN185" s="45"/>
      <c r="AO185" s="45"/>
      <c r="AP185" s="45"/>
      <c r="AQ185" s="45"/>
      <c r="AR185" s="52"/>
      <c r="AS185" s="50"/>
    </row>
    <row r="186" spans="1:45" s="49" customFormat="1" ht="12.75" customHeight="1">
      <c r="A186" s="28" t="s">
        <v>217</v>
      </c>
      <c r="C186" s="28" t="s">
        <v>43</v>
      </c>
      <c r="E186" s="45">
        <v>3019676</v>
      </c>
      <c r="F186" s="45"/>
      <c r="G186" s="45">
        <v>6914276</v>
      </c>
      <c r="H186" s="45"/>
      <c r="I186" s="45">
        <v>1309151</v>
      </c>
      <c r="J186" s="45"/>
      <c r="K186" s="45">
        <v>187894</v>
      </c>
      <c r="L186" s="45"/>
      <c r="M186" s="45">
        <v>0</v>
      </c>
      <c r="N186" s="45"/>
      <c r="O186" s="45">
        <v>967660</v>
      </c>
      <c r="P186" s="45"/>
      <c r="Q186" s="45">
        <v>0</v>
      </c>
      <c r="R186" s="45"/>
      <c r="S186" s="45">
        <v>0</v>
      </c>
      <c r="T186" s="45"/>
      <c r="U186" s="45">
        <v>0</v>
      </c>
      <c r="V186" s="45"/>
      <c r="W186" s="45">
        <v>0</v>
      </c>
      <c r="X186" s="45"/>
      <c r="Y186" s="45">
        <v>0</v>
      </c>
      <c r="Z186" s="44"/>
      <c r="AA186" s="45">
        <v>0</v>
      </c>
      <c r="AB186" s="44"/>
      <c r="AC186" s="45">
        <f t="shared" si="5"/>
        <v>12398657</v>
      </c>
      <c r="AD186" s="45"/>
      <c r="AE186" s="48">
        <v>0</v>
      </c>
      <c r="AF186" s="48"/>
      <c r="AG186" s="45">
        <v>1000000</v>
      </c>
      <c r="AH186" s="45"/>
      <c r="AI186" s="45">
        <v>6996479</v>
      </c>
      <c r="AJ186" s="45"/>
      <c r="AK186" s="45">
        <v>3146</v>
      </c>
      <c r="AL186" s="45"/>
      <c r="AM186" s="45">
        <f>+'[3]Gen rev'!U186-'[3]Gen exp'!AC186-AG186+'[3]Gen rev'!W186+AI186+AK186-'[3]Gen Bal'!S186-'[3]Gen exp'!AE186</f>
        <v>0</v>
      </c>
      <c r="AN186" s="44"/>
      <c r="AO186" s="44"/>
      <c r="AP186" s="44"/>
      <c r="AQ186" s="44"/>
    </row>
    <row r="187" spans="1:45" s="49" customFormat="1" ht="12.75" hidden="1" customHeight="1">
      <c r="A187" s="64" t="s">
        <v>218</v>
      </c>
      <c r="B187" s="46"/>
      <c r="C187" s="64" t="s">
        <v>27</v>
      </c>
      <c r="D187" s="46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4"/>
      <c r="AA187" s="45"/>
      <c r="AB187" s="44"/>
      <c r="AC187" s="45">
        <f t="shared" si="5"/>
        <v>0</v>
      </c>
      <c r="AD187" s="45"/>
      <c r="AE187" s="48">
        <v>0</v>
      </c>
      <c r="AF187" s="48"/>
      <c r="AG187" s="45"/>
      <c r="AH187" s="45"/>
      <c r="AI187" s="45"/>
      <c r="AJ187" s="45"/>
      <c r="AK187" s="45">
        <v>0</v>
      </c>
      <c r="AL187" s="45"/>
      <c r="AM187" s="45">
        <f>+'[3]Gen rev'!U187-'[3]Gen exp'!AC187-AG187+'[3]Gen rev'!W187+AI187+AK187-'[3]Gen Bal'!S187-'[3]Gen exp'!AE187</f>
        <v>0</v>
      </c>
      <c r="AN187" s="44"/>
      <c r="AO187" s="44"/>
      <c r="AP187" s="44"/>
      <c r="AQ187" s="44"/>
    </row>
    <row r="188" spans="1:45" s="49" customFormat="1" ht="12.75" customHeight="1">
      <c r="A188" s="28" t="s">
        <v>219</v>
      </c>
      <c r="C188" s="28" t="s">
        <v>199</v>
      </c>
      <c r="E188" s="45">
        <v>633640</v>
      </c>
      <c r="F188" s="45"/>
      <c r="G188" s="45">
        <v>1066884</v>
      </c>
      <c r="H188" s="45"/>
      <c r="I188" s="45">
        <v>0</v>
      </c>
      <c r="J188" s="45"/>
      <c r="K188" s="45">
        <v>95183</v>
      </c>
      <c r="L188" s="45"/>
      <c r="M188" s="45">
        <v>197071</v>
      </c>
      <c r="N188" s="45"/>
      <c r="O188" s="45">
        <v>485298</v>
      </c>
      <c r="P188" s="45"/>
      <c r="Q188" s="45">
        <v>383644</v>
      </c>
      <c r="R188" s="45"/>
      <c r="S188" s="45">
        <v>8995</v>
      </c>
      <c r="T188" s="45"/>
      <c r="U188" s="45">
        <v>0</v>
      </c>
      <c r="V188" s="45"/>
      <c r="W188" s="45">
        <v>0</v>
      </c>
      <c r="X188" s="45"/>
      <c r="Y188" s="45">
        <v>0</v>
      </c>
      <c r="Z188" s="44"/>
      <c r="AA188" s="45">
        <v>0</v>
      </c>
      <c r="AB188" s="44"/>
      <c r="AC188" s="45">
        <f t="shared" si="5"/>
        <v>2870715</v>
      </c>
      <c r="AD188" s="45"/>
      <c r="AE188" s="48">
        <v>0</v>
      </c>
      <c r="AF188" s="48"/>
      <c r="AG188" s="45">
        <v>67000</v>
      </c>
      <c r="AH188" s="45"/>
      <c r="AI188" s="45">
        <v>972866</v>
      </c>
      <c r="AJ188" s="45"/>
      <c r="AK188" s="45">
        <v>0</v>
      </c>
      <c r="AL188" s="45"/>
      <c r="AM188" s="45">
        <f>+'[3]Gen rev'!U188-'[3]Gen exp'!AC188-AG188+'[3]Gen rev'!W188+AI188+AK188-'[3]Gen Bal'!S188-'[3]Gen exp'!AE188</f>
        <v>0</v>
      </c>
      <c r="AN188" s="44"/>
      <c r="AO188" s="44"/>
      <c r="AP188" s="44"/>
      <c r="AQ188" s="44"/>
    </row>
    <row r="189" spans="1:45" s="49" customFormat="1" ht="12.75" customHeight="1">
      <c r="A189" s="28" t="s">
        <v>220</v>
      </c>
      <c r="C189" s="28" t="s">
        <v>66</v>
      </c>
      <c r="E189" s="45">
        <v>1555811</v>
      </c>
      <c r="F189" s="45"/>
      <c r="G189" s="45">
        <v>52601</v>
      </c>
      <c r="H189" s="45"/>
      <c r="I189" s="45">
        <v>265791</v>
      </c>
      <c r="J189" s="45"/>
      <c r="K189" s="45">
        <v>0</v>
      </c>
      <c r="L189" s="45"/>
      <c r="M189" s="45">
        <v>0</v>
      </c>
      <c r="N189" s="45"/>
      <c r="O189" s="45">
        <v>42420</v>
      </c>
      <c r="P189" s="45"/>
      <c r="Q189" s="45">
        <v>0</v>
      </c>
      <c r="R189" s="45"/>
      <c r="S189" s="45">
        <v>30881</v>
      </c>
      <c r="T189" s="45"/>
      <c r="U189" s="45">
        <v>0</v>
      </c>
      <c r="V189" s="45"/>
      <c r="W189" s="45">
        <v>6220</v>
      </c>
      <c r="X189" s="45"/>
      <c r="Y189" s="45">
        <v>807</v>
      </c>
      <c r="Z189" s="44"/>
      <c r="AA189" s="45">
        <v>0</v>
      </c>
      <c r="AB189" s="44"/>
      <c r="AC189" s="45">
        <f t="shared" si="5"/>
        <v>1954531</v>
      </c>
      <c r="AD189" s="45"/>
      <c r="AE189" s="48">
        <v>0</v>
      </c>
      <c r="AF189" s="48"/>
      <c r="AG189" s="45">
        <v>3823245</v>
      </c>
      <c r="AH189" s="45"/>
      <c r="AI189" s="45">
        <v>6876684</v>
      </c>
      <c r="AJ189" s="45"/>
      <c r="AK189" s="45">
        <v>0</v>
      </c>
      <c r="AL189" s="45"/>
      <c r="AM189" s="45">
        <f>+'[3]Gen rev'!U189-'[3]Gen exp'!AC189-AG189+'[3]Gen rev'!W189+AI189+AK189-'[3]Gen Bal'!S189-'[3]Gen exp'!AE189</f>
        <v>0</v>
      </c>
      <c r="AN189" s="44"/>
      <c r="AO189" s="44"/>
      <c r="AP189" s="44"/>
      <c r="AQ189" s="44"/>
    </row>
    <row r="190" spans="1:45" s="49" customFormat="1" ht="12.75" customHeight="1">
      <c r="A190" s="28" t="s">
        <v>221</v>
      </c>
      <c r="C190" s="28" t="s">
        <v>27</v>
      </c>
      <c r="E190" s="45">
        <v>4918615</v>
      </c>
      <c r="F190" s="45"/>
      <c r="G190" s="45">
        <v>7616443</v>
      </c>
      <c r="H190" s="45"/>
      <c r="I190" s="45">
        <v>932862</v>
      </c>
      <c r="J190" s="45"/>
      <c r="K190" s="45">
        <v>0</v>
      </c>
      <c r="L190" s="45"/>
      <c r="M190" s="45">
        <v>811553</v>
      </c>
      <c r="N190" s="45"/>
      <c r="O190" s="45">
        <v>413330</v>
      </c>
      <c r="P190" s="45"/>
      <c r="Q190" s="45">
        <v>0</v>
      </c>
      <c r="R190" s="45"/>
      <c r="S190" s="45">
        <v>117104</v>
      </c>
      <c r="T190" s="45"/>
      <c r="U190" s="45">
        <v>0</v>
      </c>
      <c r="V190" s="45"/>
      <c r="W190" s="45">
        <v>0</v>
      </c>
      <c r="X190" s="45"/>
      <c r="Y190" s="45">
        <v>0</v>
      </c>
      <c r="Z190" s="44"/>
      <c r="AA190" s="45">
        <v>0</v>
      </c>
      <c r="AB190" s="44"/>
      <c r="AC190" s="45">
        <f t="shared" si="5"/>
        <v>14809907</v>
      </c>
      <c r="AD190" s="45"/>
      <c r="AE190" s="48">
        <v>0</v>
      </c>
      <c r="AF190" s="48"/>
      <c r="AG190" s="45">
        <v>7915000</v>
      </c>
      <c r="AH190" s="45"/>
      <c r="AI190" s="45">
        <v>9165386</v>
      </c>
      <c r="AJ190" s="45"/>
      <c r="AK190" s="45">
        <v>0</v>
      </c>
      <c r="AL190" s="45"/>
      <c r="AM190" s="45">
        <f>+'[3]Gen rev'!U190-'[3]Gen exp'!AC190-AG190+'[3]Gen rev'!W190+AI190+AK190-'[3]Gen Bal'!S190-'[3]Gen exp'!AE190</f>
        <v>0</v>
      </c>
      <c r="AN190" s="44"/>
      <c r="AO190" s="44"/>
      <c r="AP190" s="44"/>
      <c r="AQ190" s="44"/>
    </row>
    <row r="191" spans="1:45" s="49" customFormat="1" ht="12.75" customHeight="1">
      <c r="A191" s="28" t="s">
        <v>222</v>
      </c>
      <c r="C191" s="28" t="s">
        <v>47</v>
      </c>
      <c r="E191" s="45">
        <v>1099175</v>
      </c>
      <c r="F191" s="45"/>
      <c r="G191" s="45">
        <v>1984405</v>
      </c>
      <c r="H191" s="45"/>
      <c r="I191" s="45">
        <v>0</v>
      </c>
      <c r="J191" s="45"/>
      <c r="K191" s="45">
        <v>0</v>
      </c>
      <c r="L191" s="45"/>
      <c r="M191" s="45">
        <v>732538</v>
      </c>
      <c r="N191" s="45"/>
      <c r="O191" s="45">
        <v>13402</v>
      </c>
      <c r="P191" s="45"/>
      <c r="Q191" s="45">
        <v>243228</v>
      </c>
      <c r="R191" s="45"/>
      <c r="S191" s="45">
        <v>0</v>
      </c>
      <c r="T191" s="45"/>
      <c r="U191" s="45">
        <v>0</v>
      </c>
      <c r="V191" s="45"/>
      <c r="W191" s="45">
        <v>0</v>
      </c>
      <c r="X191" s="45"/>
      <c r="Y191" s="45">
        <v>0</v>
      </c>
      <c r="Z191" s="44"/>
      <c r="AA191" s="45">
        <v>0</v>
      </c>
      <c r="AB191" s="44"/>
      <c r="AC191" s="45">
        <f t="shared" si="5"/>
        <v>4072748</v>
      </c>
      <c r="AD191" s="45"/>
      <c r="AE191" s="48">
        <v>0</v>
      </c>
      <c r="AF191" s="48"/>
      <c r="AG191" s="45">
        <v>701601</v>
      </c>
      <c r="AH191" s="45"/>
      <c r="AI191" s="45">
        <v>2482336</v>
      </c>
      <c r="AJ191" s="45"/>
      <c r="AK191" s="45">
        <v>0</v>
      </c>
      <c r="AL191" s="45"/>
      <c r="AM191" s="45">
        <f>+'[3]Gen rev'!U191-'[3]Gen exp'!AC191-AG191+'[3]Gen rev'!W191+AI191+AK191-'[3]Gen Bal'!S191-'[3]Gen exp'!AE191</f>
        <v>0</v>
      </c>
      <c r="AN191" s="44"/>
      <c r="AO191" s="44"/>
      <c r="AP191" s="44"/>
      <c r="AQ191" s="44"/>
    </row>
    <row r="192" spans="1:45" s="49" customFormat="1" ht="12.75" customHeight="1">
      <c r="A192" s="28" t="s">
        <v>223</v>
      </c>
      <c r="C192" s="28" t="s">
        <v>94</v>
      </c>
      <c r="E192" s="45">
        <v>999700</v>
      </c>
      <c r="F192" s="45"/>
      <c r="G192" s="45">
        <v>3198019</v>
      </c>
      <c r="H192" s="45"/>
      <c r="I192" s="45">
        <v>142213</v>
      </c>
      <c r="J192" s="45"/>
      <c r="K192" s="45">
        <v>0</v>
      </c>
      <c r="L192" s="45"/>
      <c r="M192" s="45">
        <v>15180</v>
      </c>
      <c r="N192" s="45"/>
      <c r="O192" s="45">
        <v>0</v>
      </c>
      <c r="P192" s="45"/>
      <c r="Q192" s="45">
        <v>0</v>
      </c>
      <c r="R192" s="45"/>
      <c r="S192" s="45">
        <v>0</v>
      </c>
      <c r="T192" s="45"/>
      <c r="U192" s="45">
        <v>0</v>
      </c>
      <c r="V192" s="45"/>
      <c r="W192" s="45">
        <v>0</v>
      </c>
      <c r="X192" s="45"/>
      <c r="Y192" s="45">
        <v>0</v>
      </c>
      <c r="Z192" s="44"/>
      <c r="AA192" s="45">
        <v>0</v>
      </c>
      <c r="AB192" s="44"/>
      <c r="AC192" s="45">
        <f t="shared" si="5"/>
        <v>4355112</v>
      </c>
      <c r="AD192" s="45"/>
      <c r="AE192" s="48">
        <v>0</v>
      </c>
      <c r="AF192" s="48"/>
      <c r="AG192" s="45">
        <v>1053281</v>
      </c>
      <c r="AH192" s="45"/>
      <c r="AI192" s="45">
        <v>601505</v>
      </c>
      <c r="AJ192" s="45"/>
      <c r="AK192" s="45">
        <v>-13248</v>
      </c>
      <c r="AL192" s="45"/>
      <c r="AM192" s="45">
        <f>+'[3]Gen rev'!U192-'[3]Gen exp'!AC192-AG192+'[3]Gen rev'!W192+AI192+AK192-'[3]Gen Bal'!S192-'[3]Gen exp'!AE192</f>
        <v>0</v>
      </c>
      <c r="AN192" s="44"/>
      <c r="AO192" s="44"/>
      <c r="AP192" s="44"/>
      <c r="AQ192" s="44"/>
    </row>
    <row r="193" spans="1:45" s="49" customFormat="1" ht="12.75" customHeight="1">
      <c r="A193" s="28" t="s">
        <v>76</v>
      </c>
      <c r="C193" s="28" t="s">
        <v>132</v>
      </c>
      <c r="E193" s="45">
        <f>843946+3582058</f>
        <v>4426004</v>
      </c>
      <c r="F193" s="45"/>
      <c r="G193" s="45">
        <f>5117816+4679707+314316</f>
        <v>10111839</v>
      </c>
      <c r="H193" s="45"/>
      <c r="I193" s="45">
        <v>1794919</v>
      </c>
      <c r="J193" s="45"/>
      <c r="K193" s="45">
        <v>344971</v>
      </c>
      <c r="L193" s="45"/>
      <c r="M193" s="45">
        <v>1139</v>
      </c>
      <c r="N193" s="45"/>
      <c r="O193" s="45">
        <v>0</v>
      </c>
      <c r="P193" s="45"/>
      <c r="Q193" s="45">
        <v>0</v>
      </c>
      <c r="R193" s="45"/>
      <c r="S193" s="45">
        <v>0</v>
      </c>
      <c r="T193" s="45"/>
      <c r="U193" s="45">
        <v>0</v>
      </c>
      <c r="V193" s="45"/>
      <c r="W193" s="45">
        <v>73553</v>
      </c>
      <c r="X193" s="45"/>
      <c r="Y193" s="45">
        <v>32542</v>
      </c>
      <c r="Z193" s="44"/>
      <c r="AA193" s="45">
        <v>0</v>
      </c>
      <c r="AB193" s="44"/>
      <c r="AC193" s="45">
        <f t="shared" si="5"/>
        <v>16784967</v>
      </c>
      <c r="AD193" s="45"/>
      <c r="AE193" s="48">
        <v>0</v>
      </c>
      <c r="AF193" s="48"/>
      <c r="AG193" s="45">
        <v>1456875</v>
      </c>
      <c r="AH193" s="45"/>
      <c r="AI193" s="45">
        <v>4224061</v>
      </c>
      <c r="AJ193" s="45"/>
      <c r="AK193" s="45">
        <v>0</v>
      </c>
      <c r="AL193" s="45"/>
      <c r="AM193" s="45">
        <f>+'[3]Gen rev'!U193-'[3]Gen exp'!AC193-AG193+'[3]Gen rev'!W193+AI193+AK193-'[3]Gen Bal'!S193-'[3]Gen exp'!AE193</f>
        <v>0</v>
      </c>
      <c r="AN193" s="44"/>
      <c r="AO193" s="44"/>
      <c r="AP193" s="44"/>
      <c r="AQ193" s="44"/>
    </row>
    <row r="194" spans="1:45" s="49" customFormat="1" ht="12.75" customHeight="1">
      <c r="A194" s="28" t="s">
        <v>224</v>
      </c>
      <c r="C194" s="28" t="s">
        <v>27</v>
      </c>
      <c r="E194" s="45">
        <v>1989204</v>
      </c>
      <c r="F194" s="45"/>
      <c r="G194" s="45">
        <v>2804739</v>
      </c>
      <c r="H194" s="45"/>
      <c r="I194" s="45">
        <v>654948</v>
      </c>
      <c r="J194" s="45"/>
      <c r="K194" s="45">
        <v>43961</v>
      </c>
      <c r="L194" s="45"/>
      <c r="M194" s="45">
        <v>1217946</v>
      </c>
      <c r="N194" s="45"/>
      <c r="O194" s="45">
        <v>1274351</v>
      </c>
      <c r="P194" s="45"/>
      <c r="Q194" s="45">
        <v>0</v>
      </c>
      <c r="R194" s="45"/>
      <c r="S194" s="45">
        <v>7187</v>
      </c>
      <c r="T194" s="45"/>
      <c r="U194" s="45">
        <v>0</v>
      </c>
      <c r="V194" s="45"/>
      <c r="W194" s="45">
        <v>0</v>
      </c>
      <c r="X194" s="45"/>
      <c r="Y194" s="45">
        <v>0</v>
      </c>
      <c r="Z194" s="44"/>
      <c r="AA194" s="45">
        <v>0</v>
      </c>
      <c r="AB194" s="44"/>
      <c r="AC194" s="45">
        <f t="shared" si="5"/>
        <v>7992336</v>
      </c>
      <c r="AD194" s="45"/>
      <c r="AE194" s="48">
        <v>0</v>
      </c>
      <c r="AF194" s="48"/>
      <c r="AG194" s="45">
        <v>968120</v>
      </c>
      <c r="AH194" s="45"/>
      <c r="AI194" s="45">
        <v>6106329</v>
      </c>
      <c r="AJ194" s="45"/>
      <c r="AK194" s="45">
        <v>0</v>
      </c>
      <c r="AL194" s="45"/>
      <c r="AM194" s="45">
        <f>+'[3]Gen rev'!U194-'[3]Gen exp'!AC194-AG194+'[3]Gen rev'!W194+AI194+AK194-'[3]Gen Bal'!S194-'[3]Gen exp'!AE194</f>
        <v>0</v>
      </c>
      <c r="AN194" s="44"/>
      <c r="AO194" s="44"/>
      <c r="AP194" s="44"/>
      <c r="AQ194" s="44"/>
    </row>
    <row r="195" spans="1:45" s="49" customFormat="1" ht="12.75" customHeight="1">
      <c r="A195" s="28"/>
      <c r="C195" s="28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4"/>
      <c r="AA195" s="45"/>
      <c r="AB195" s="44"/>
      <c r="AC195" s="45"/>
      <c r="AD195" s="45"/>
      <c r="AE195" s="48"/>
      <c r="AF195" s="48"/>
      <c r="AG195" s="48" t="s">
        <v>484</v>
      </c>
      <c r="AH195" s="45"/>
      <c r="AI195" s="45"/>
      <c r="AJ195" s="45"/>
      <c r="AK195" s="45"/>
      <c r="AL195" s="45"/>
      <c r="AM195" s="45"/>
      <c r="AN195" s="44"/>
      <c r="AO195" s="44"/>
      <c r="AP195" s="44"/>
      <c r="AQ195" s="44"/>
    </row>
    <row r="196" spans="1:45" s="49" customFormat="1" ht="12.75" customHeight="1">
      <c r="A196" s="28" t="s">
        <v>225</v>
      </c>
      <c r="C196" s="28" t="s">
        <v>27</v>
      </c>
      <c r="E196" s="94">
        <f>4449494+2177431</f>
        <v>6626925</v>
      </c>
      <c r="F196" s="94"/>
      <c r="G196" s="94">
        <f>9526619+7199149+83767</f>
        <v>16809535</v>
      </c>
      <c r="H196" s="94"/>
      <c r="I196" s="94">
        <f>4521767+3044745</f>
        <v>7566512</v>
      </c>
      <c r="J196" s="94"/>
      <c r="K196" s="94">
        <v>438003</v>
      </c>
      <c r="L196" s="94"/>
      <c r="M196" s="94">
        <v>704666</v>
      </c>
      <c r="N196" s="94"/>
      <c r="O196" s="94">
        <f>2645357+859438</f>
        <v>3504795</v>
      </c>
      <c r="P196" s="94"/>
      <c r="Q196" s="94">
        <v>1900302</v>
      </c>
      <c r="R196" s="94"/>
      <c r="S196" s="94">
        <v>0</v>
      </c>
      <c r="T196" s="94"/>
      <c r="U196" s="94">
        <v>0</v>
      </c>
      <c r="V196" s="94"/>
      <c r="W196" s="94">
        <v>0</v>
      </c>
      <c r="X196" s="94"/>
      <c r="Y196" s="94">
        <v>0</v>
      </c>
      <c r="Z196" s="46"/>
      <c r="AA196" s="94">
        <v>0</v>
      </c>
      <c r="AB196" s="46"/>
      <c r="AC196" s="94">
        <f t="shared" si="5"/>
        <v>37550738</v>
      </c>
      <c r="AD196" s="94"/>
      <c r="AE196" s="68">
        <v>0</v>
      </c>
      <c r="AF196" s="68"/>
      <c r="AG196" s="94">
        <v>1735474</v>
      </c>
      <c r="AH196" s="94"/>
      <c r="AI196" s="94">
        <v>12755237</v>
      </c>
      <c r="AJ196" s="94"/>
      <c r="AK196" s="94">
        <v>0</v>
      </c>
      <c r="AL196" s="94"/>
      <c r="AM196" s="94">
        <f>+'[3]Gen rev'!U195-'[3]Gen exp'!AC195-AG196+'[3]Gen rev'!W195+AI196+AK196-'[3]Gen Bal'!S195-'[3]Gen exp'!AE195</f>
        <v>0</v>
      </c>
      <c r="AN196" s="46"/>
      <c r="AO196" s="46"/>
      <c r="AP196" s="46"/>
      <c r="AQ196" s="46"/>
    </row>
    <row r="197" spans="1:45" s="49" customFormat="1" ht="12.75" customHeight="1">
      <c r="A197" s="28" t="s">
        <v>226</v>
      </c>
      <c r="C197" s="28" t="s">
        <v>45</v>
      </c>
      <c r="E197" s="45">
        <v>3522549</v>
      </c>
      <c r="F197" s="45"/>
      <c r="G197" s="45">
        <v>5752460</v>
      </c>
      <c r="H197" s="45"/>
      <c r="I197" s="45">
        <v>466570</v>
      </c>
      <c r="J197" s="45"/>
      <c r="K197" s="45">
        <v>419323</v>
      </c>
      <c r="L197" s="45"/>
      <c r="M197" s="45">
        <v>0</v>
      </c>
      <c r="N197" s="45"/>
      <c r="O197" s="45">
        <v>2896878</v>
      </c>
      <c r="P197" s="45"/>
      <c r="Q197" s="45">
        <v>555320</v>
      </c>
      <c r="R197" s="45"/>
      <c r="S197" s="45">
        <v>0</v>
      </c>
      <c r="T197" s="45"/>
      <c r="U197" s="45">
        <v>0</v>
      </c>
      <c r="V197" s="45"/>
      <c r="W197" s="45">
        <v>0</v>
      </c>
      <c r="X197" s="45"/>
      <c r="Y197" s="45">
        <v>0</v>
      </c>
      <c r="Z197" s="44"/>
      <c r="AA197" s="45">
        <v>0</v>
      </c>
      <c r="AB197" s="44"/>
      <c r="AC197" s="45">
        <f t="shared" si="5"/>
        <v>13613100</v>
      </c>
      <c r="AD197" s="45"/>
      <c r="AE197" s="48">
        <v>0</v>
      </c>
      <c r="AF197" s="48"/>
      <c r="AG197" s="45">
        <v>3711827</v>
      </c>
      <c r="AH197" s="45"/>
      <c r="AI197" s="45">
        <v>6229085</v>
      </c>
      <c r="AJ197" s="45"/>
      <c r="AK197" s="45">
        <v>0</v>
      </c>
      <c r="AL197" s="45"/>
      <c r="AM197" s="45">
        <f>+'[3]Gen rev'!U196-'[3]Gen exp'!AC196-AG197+'[3]Gen rev'!W196+AI197+AK197-'[3]Gen Bal'!S196-'[3]Gen exp'!AE196</f>
        <v>0</v>
      </c>
      <c r="AN197" s="44"/>
      <c r="AO197" s="44"/>
      <c r="AP197" s="44"/>
      <c r="AQ197" s="44"/>
    </row>
    <row r="198" spans="1:45" s="46" customFormat="1" ht="12.75" customHeight="1">
      <c r="A198" s="64" t="s">
        <v>227</v>
      </c>
      <c r="C198" s="64" t="s">
        <v>17</v>
      </c>
      <c r="E198" s="45">
        <v>840571</v>
      </c>
      <c r="F198" s="45"/>
      <c r="G198" s="45">
        <v>1867162</v>
      </c>
      <c r="H198" s="45"/>
      <c r="I198" s="45">
        <v>150226</v>
      </c>
      <c r="J198" s="45"/>
      <c r="K198" s="45">
        <v>58279</v>
      </c>
      <c r="L198" s="45"/>
      <c r="M198" s="45">
        <v>0</v>
      </c>
      <c r="N198" s="45"/>
      <c r="O198" s="45">
        <v>93226</v>
      </c>
      <c r="P198" s="45"/>
      <c r="Q198" s="45">
        <v>0</v>
      </c>
      <c r="R198" s="45"/>
      <c r="S198" s="45">
        <v>0</v>
      </c>
      <c r="T198" s="45"/>
      <c r="U198" s="45">
        <v>0</v>
      </c>
      <c r="V198" s="45"/>
      <c r="W198" s="45">
        <f>2358+32599</f>
        <v>34957</v>
      </c>
      <c r="X198" s="45"/>
      <c r="Y198" s="45">
        <v>4310</v>
      </c>
      <c r="Z198" s="44"/>
      <c r="AA198" s="45">
        <v>0</v>
      </c>
      <c r="AB198" s="44"/>
      <c r="AC198" s="45">
        <f t="shared" si="5"/>
        <v>3048731</v>
      </c>
      <c r="AD198" s="45"/>
      <c r="AE198" s="48">
        <v>0</v>
      </c>
      <c r="AF198" s="48"/>
      <c r="AG198" s="45">
        <v>85325</v>
      </c>
      <c r="AH198" s="45"/>
      <c r="AI198" s="45">
        <v>302655</v>
      </c>
      <c r="AJ198" s="45"/>
      <c r="AK198" s="45">
        <v>0</v>
      </c>
      <c r="AL198" s="45"/>
      <c r="AM198" s="45">
        <f>+'[3]Gen rev'!U198-'[3]Gen exp'!AC198-AG198+'[3]Gen rev'!W198+AI198+AK198-'[3]Gen Bal'!S198-'[3]Gen exp'!AE198</f>
        <v>0</v>
      </c>
    </row>
    <row r="199" spans="1:45" s="49" customFormat="1" ht="12.75" customHeight="1">
      <c r="A199" s="28" t="s">
        <v>228</v>
      </c>
      <c r="C199" s="28" t="s">
        <v>153</v>
      </c>
      <c r="E199" s="45">
        <v>1117903</v>
      </c>
      <c r="F199" s="45"/>
      <c r="G199" s="45">
        <v>2600910</v>
      </c>
      <c r="H199" s="45"/>
      <c r="I199" s="45">
        <v>0</v>
      </c>
      <c r="J199" s="45"/>
      <c r="K199" s="45">
        <v>0</v>
      </c>
      <c r="L199" s="45"/>
      <c r="M199" s="45">
        <v>35408</v>
      </c>
      <c r="N199" s="45"/>
      <c r="O199" s="45">
        <v>0</v>
      </c>
      <c r="P199" s="45"/>
      <c r="Q199" s="45">
        <v>0</v>
      </c>
      <c r="R199" s="45"/>
      <c r="S199" s="45">
        <v>0</v>
      </c>
      <c r="T199" s="45"/>
      <c r="U199" s="45">
        <v>0</v>
      </c>
      <c r="V199" s="45"/>
      <c r="W199" s="45">
        <v>0</v>
      </c>
      <c r="X199" s="45"/>
      <c r="Y199" s="45">
        <v>0</v>
      </c>
      <c r="Z199" s="44"/>
      <c r="AA199" s="45">
        <v>0</v>
      </c>
      <c r="AB199" s="44"/>
      <c r="AC199" s="45">
        <f t="shared" si="5"/>
        <v>3754221</v>
      </c>
      <c r="AD199" s="45"/>
      <c r="AE199" s="48">
        <v>0</v>
      </c>
      <c r="AF199" s="48"/>
      <c r="AG199" s="45">
        <v>524425</v>
      </c>
      <c r="AH199" s="45"/>
      <c r="AI199" s="45">
        <v>1381655</v>
      </c>
      <c r="AJ199" s="45"/>
      <c r="AK199" s="45">
        <v>0</v>
      </c>
      <c r="AL199" s="45"/>
      <c r="AM199" s="45">
        <f>+'[3]Gen rev'!U199-'[3]Gen exp'!AC199-AG199+'[3]Gen rev'!W199+AI199+AK199-'[3]Gen Bal'!S199-'[3]Gen exp'!AE199</f>
        <v>0</v>
      </c>
      <c r="AN199" s="45"/>
      <c r="AO199" s="45"/>
      <c r="AP199" s="45"/>
      <c r="AQ199" s="45"/>
      <c r="AR199" s="52"/>
      <c r="AS199" s="50"/>
    </row>
    <row r="200" spans="1:45" s="49" customFormat="1" ht="12.75" customHeight="1">
      <c r="A200" s="28" t="s">
        <v>229</v>
      </c>
      <c r="C200" s="28" t="s">
        <v>228</v>
      </c>
      <c r="E200" s="45">
        <v>1502976</v>
      </c>
      <c r="F200" s="45"/>
      <c r="G200" s="45">
        <f>5783712+4303371+1322569</f>
        <v>11409652</v>
      </c>
      <c r="H200" s="45"/>
      <c r="I200" s="45">
        <f>133503+1035420</f>
        <v>1168923</v>
      </c>
      <c r="J200" s="45"/>
      <c r="K200" s="45">
        <v>0</v>
      </c>
      <c r="L200" s="45"/>
      <c r="M200" s="45">
        <v>0</v>
      </c>
      <c r="N200" s="45"/>
      <c r="O200" s="45">
        <v>1361559</v>
      </c>
      <c r="P200" s="45"/>
      <c r="Q200" s="45">
        <v>0</v>
      </c>
      <c r="R200" s="45"/>
      <c r="S200" s="45">
        <v>19937</v>
      </c>
      <c r="T200" s="45"/>
      <c r="U200" s="45">
        <v>0</v>
      </c>
      <c r="V200" s="45"/>
      <c r="W200" s="45">
        <v>0</v>
      </c>
      <c r="X200" s="45"/>
      <c r="Y200" s="45">
        <v>0</v>
      </c>
      <c r="Z200" s="44"/>
      <c r="AA200" s="45">
        <v>0</v>
      </c>
      <c r="AB200" s="44"/>
      <c r="AC200" s="45">
        <f t="shared" si="5"/>
        <v>15463047</v>
      </c>
      <c r="AD200" s="45"/>
      <c r="AE200" s="48">
        <v>0</v>
      </c>
      <c r="AF200" s="48"/>
      <c r="AG200" s="45">
        <v>1643871</v>
      </c>
      <c r="AH200" s="45"/>
      <c r="AI200" s="45">
        <v>6254789</v>
      </c>
      <c r="AJ200" s="45"/>
      <c r="AK200" s="45">
        <v>0</v>
      </c>
      <c r="AL200" s="45"/>
      <c r="AM200" s="45">
        <f>+'[3]Gen rev'!U200-'[3]Gen exp'!AC200-AG200+'[3]Gen rev'!W200+AI200+AK200-'[3]Gen Bal'!S200-'[3]Gen exp'!AE200</f>
        <v>0</v>
      </c>
      <c r="AN200" s="45"/>
      <c r="AO200" s="45"/>
      <c r="AP200" s="45"/>
      <c r="AQ200" s="45"/>
      <c r="AR200" s="52"/>
      <c r="AS200" s="50"/>
    </row>
    <row r="201" spans="1:45" s="49" customFormat="1" ht="12.75" customHeight="1">
      <c r="A201" s="64" t="s">
        <v>230</v>
      </c>
      <c r="B201" s="46"/>
      <c r="C201" s="64" t="s">
        <v>45</v>
      </c>
      <c r="D201" s="46"/>
      <c r="E201" s="45">
        <v>762715</v>
      </c>
      <c r="F201" s="45"/>
      <c r="G201" s="45">
        <v>1363582</v>
      </c>
      <c r="H201" s="45"/>
      <c r="I201" s="45">
        <v>343157</v>
      </c>
      <c r="J201" s="45"/>
      <c r="K201" s="45">
        <v>4892</v>
      </c>
      <c r="L201" s="45"/>
      <c r="M201" s="45">
        <v>0</v>
      </c>
      <c r="N201" s="45"/>
      <c r="O201" s="45">
        <v>18095</v>
      </c>
      <c r="P201" s="45"/>
      <c r="Q201" s="45">
        <v>0</v>
      </c>
      <c r="R201" s="45"/>
      <c r="S201" s="45">
        <v>0</v>
      </c>
      <c r="T201" s="45"/>
      <c r="U201" s="45">
        <v>0</v>
      </c>
      <c r="V201" s="45"/>
      <c r="W201" s="45">
        <v>6596</v>
      </c>
      <c r="X201" s="45"/>
      <c r="Y201" s="45">
        <v>0</v>
      </c>
      <c r="Z201" s="44"/>
      <c r="AA201" s="45">
        <v>0</v>
      </c>
      <c r="AB201" s="44"/>
      <c r="AC201" s="45">
        <f t="shared" si="5"/>
        <v>2499037</v>
      </c>
      <c r="AD201" s="45"/>
      <c r="AE201" s="48">
        <v>0</v>
      </c>
      <c r="AF201" s="48"/>
      <c r="AG201" s="45">
        <v>854002</v>
      </c>
      <c r="AH201" s="45"/>
      <c r="AI201" s="45">
        <v>1412258</v>
      </c>
      <c r="AJ201" s="45"/>
      <c r="AK201" s="45">
        <v>0</v>
      </c>
      <c r="AL201" s="45"/>
      <c r="AM201" s="45">
        <f>+'[3]Gen rev'!U201-'[3]Gen exp'!AC201-AG201+'[3]Gen rev'!W201+AI201+AK201-'[3]Gen Bal'!S201-'[3]Gen exp'!AE201</f>
        <v>0</v>
      </c>
      <c r="AN201" s="44"/>
      <c r="AO201" s="44"/>
      <c r="AP201" s="44"/>
      <c r="AQ201" s="44"/>
    </row>
    <row r="202" spans="1:45" s="49" customFormat="1" ht="12.75" customHeight="1">
      <c r="A202" s="28" t="s">
        <v>231</v>
      </c>
      <c r="C202" s="28" t="s">
        <v>27</v>
      </c>
      <c r="E202" s="45">
        <v>6272264</v>
      </c>
      <c r="F202" s="45"/>
      <c r="G202" s="45">
        <f>7280088+6639938+299953</f>
        <v>14219979</v>
      </c>
      <c r="H202" s="45"/>
      <c r="I202" s="45">
        <v>2364779</v>
      </c>
      <c r="J202" s="45"/>
      <c r="K202" s="45">
        <v>82050</v>
      </c>
      <c r="L202" s="45"/>
      <c r="M202" s="45">
        <v>4935351</v>
      </c>
      <c r="N202" s="45"/>
      <c r="O202" s="45">
        <v>105018</v>
      </c>
      <c r="P202" s="45"/>
      <c r="Q202" s="45">
        <v>2005724</v>
      </c>
      <c r="R202" s="45"/>
      <c r="S202" s="45">
        <v>0</v>
      </c>
      <c r="T202" s="45"/>
      <c r="U202" s="45">
        <v>0</v>
      </c>
      <c r="V202" s="45"/>
      <c r="W202" s="45">
        <v>0</v>
      </c>
      <c r="X202" s="45"/>
      <c r="Y202" s="45">
        <v>0</v>
      </c>
      <c r="Z202" s="44"/>
      <c r="AA202" s="45">
        <v>0</v>
      </c>
      <c r="AB202" s="44"/>
      <c r="AC202" s="45">
        <f t="shared" si="5"/>
        <v>29985165</v>
      </c>
      <c r="AD202" s="45"/>
      <c r="AE202" s="48">
        <v>0</v>
      </c>
      <c r="AF202" s="48"/>
      <c r="AG202" s="45">
        <v>8522980</v>
      </c>
      <c r="AH202" s="45"/>
      <c r="AI202" s="45">
        <v>28515371</v>
      </c>
      <c r="AJ202" s="45"/>
      <c r="AK202" s="45">
        <v>0</v>
      </c>
      <c r="AL202" s="45"/>
      <c r="AM202" s="45">
        <f>+'[3]Gen rev'!U202-'[3]Gen exp'!AC202-AG202+'[3]Gen rev'!W202+AI202+AK202-'[3]Gen Bal'!S202-'[3]Gen exp'!AE202</f>
        <v>0</v>
      </c>
      <c r="AN202" s="44"/>
      <c r="AO202" s="44"/>
      <c r="AP202" s="44"/>
      <c r="AQ202" s="44"/>
    </row>
    <row r="203" spans="1:45" s="49" customFormat="1" ht="12.75" customHeight="1">
      <c r="A203" s="28" t="s">
        <v>232</v>
      </c>
      <c r="C203" s="28" t="s">
        <v>27</v>
      </c>
      <c r="E203" s="45">
        <f>2788445+490556</f>
        <v>3279001</v>
      </c>
      <c r="F203" s="45"/>
      <c r="G203" s="45">
        <f>5295982+4000687</f>
        <v>9296669</v>
      </c>
      <c r="H203" s="45"/>
      <c r="I203" s="45">
        <v>294638</v>
      </c>
      <c r="J203" s="45"/>
      <c r="K203" s="45">
        <v>133196</v>
      </c>
      <c r="L203" s="45"/>
      <c r="M203" s="45">
        <v>1114059</v>
      </c>
      <c r="N203" s="45"/>
      <c r="O203" s="45">
        <v>403482</v>
      </c>
      <c r="P203" s="45"/>
      <c r="Q203" s="45">
        <f>1537462+773098</f>
        <v>2310560</v>
      </c>
      <c r="R203" s="45"/>
      <c r="S203" s="45">
        <v>0</v>
      </c>
      <c r="T203" s="45"/>
      <c r="U203" s="45">
        <v>0</v>
      </c>
      <c r="V203" s="45"/>
      <c r="W203" s="45">
        <v>6227</v>
      </c>
      <c r="X203" s="45"/>
      <c r="Y203" s="45">
        <v>13323</v>
      </c>
      <c r="Z203" s="44"/>
      <c r="AA203" s="45">
        <v>0</v>
      </c>
      <c r="AB203" s="44"/>
      <c r="AC203" s="45">
        <f t="shared" si="5"/>
        <v>16851155</v>
      </c>
      <c r="AD203" s="45"/>
      <c r="AE203" s="48">
        <v>0</v>
      </c>
      <c r="AF203" s="48"/>
      <c r="AG203" s="45">
        <v>1240000</v>
      </c>
      <c r="AH203" s="45"/>
      <c r="AI203" s="45">
        <v>5307092</v>
      </c>
      <c r="AJ203" s="45"/>
      <c r="AK203" s="45">
        <v>0</v>
      </c>
      <c r="AL203" s="45"/>
      <c r="AM203" s="45">
        <f>+'[3]Gen rev'!U203-'[3]Gen exp'!AC203-AG203+'[3]Gen rev'!W203+AI203+AK203-'[3]Gen Bal'!S203-'[3]Gen exp'!AE203</f>
        <v>0</v>
      </c>
      <c r="AN203" s="45"/>
      <c r="AO203" s="45"/>
      <c r="AP203" s="45"/>
      <c r="AQ203" s="45"/>
      <c r="AR203" s="52"/>
      <c r="AS203" s="50"/>
    </row>
    <row r="204" spans="1:45" s="49" customFormat="1" ht="12.75" customHeight="1">
      <c r="A204" s="28" t="s">
        <v>233</v>
      </c>
      <c r="C204" s="28" t="s">
        <v>111</v>
      </c>
      <c r="E204" s="45">
        <v>3995057</v>
      </c>
      <c r="F204" s="45"/>
      <c r="G204" s="45">
        <v>2732713</v>
      </c>
      <c r="H204" s="45"/>
      <c r="I204" s="45">
        <v>583002</v>
      </c>
      <c r="J204" s="45"/>
      <c r="K204" s="45">
        <v>14060</v>
      </c>
      <c r="L204" s="45"/>
      <c r="M204" s="45">
        <v>0</v>
      </c>
      <c r="N204" s="45"/>
      <c r="O204" s="45">
        <v>434357</v>
      </c>
      <c r="P204" s="45"/>
      <c r="Q204" s="45">
        <v>0</v>
      </c>
      <c r="R204" s="45"/>
      <c r="S204" s="45">
        <v>0</v>
      </c>
      <c r="T204" s="45"/>
      <c r="U204" s="45">
        <v>0</v>
      </c>
      <c r="V204" s="45"/>
      <c r="W204" s="45">
        <v>8384</v>
      </c>
      <c r="X204" s="45"/>
      <c r="Y204" s="45">
        <v>1581</v>
      </c>
      <c r="Z204" s="44"/>
      <c r="AA204" s="45">
        <v>0</v>
      </c>
      <c r="AB204" s="44"/>
      <c r="AC204" s="45">
        <f t="shared" si="5"/>
        <v>7769154</v>
      </c>
      <c r="AD204" s="45"/>
      <c r="AE204" s="48">
        <v>0</v>
      </c>
      <c r="AF204" s="48"/>
      <c r="AG204" s="45">
        <f>1680559+547835</f>
        <v>2228394</v>
      </c>
      <c r="AH204" s="45"/>
      <c r="AI204" s="45">
        <v>5737017</v>
      </c>
      <c r="AJ204" s="45"/>
      <c r="AK204" s="45">
        <v>1132</v>
      </c>
      <c r="AL204" s="45"/>
      <c r="AM204" s="45">
        <f>+'[3]Gen rev'!U204-'[3]Gen exp'!AC204-AG204+'[3]Gen rev'!W204+AI204+AK204-'[3]Gen Bal'!S204-'[3]Gen exp'!AE204</f>
        <v>0</v>
      </c>
      <c r="AN204" s="35"/>
      <c r="AO204" s="35"/>
      <c r="AP204" s="35"/>
      <c r="AQ204" s="35"/>
      <c r="AR204" s="50"/>
      <c r="AS204" s="50"/>
    </row>
    <row r="205" spans="1:45" s="49" customFormat="1" ht="12.75" customHeight="1">
      <c r="A205" s="28" t="s">
        <v>234</v>
      </c>
      <c r="C205" s="28" t="s">
        <v>45</v>
      </c>
      <c r="E205" s="45">
        <v>4503503</v>
      </c>
      <c r="F205" s="45"/>
      <c r="G205" s="45">
        <v>8032964</v>
      </c>
      <c r="H205" s="45"/>
      <c r="I205" s="45">
        <v>484169</v>
      </c>
      <c r="J205" s="45"/>
      <c r="K205" s="45">
        <v>323920</v>
      </c>
      <c r="L205" s="45"/>
      <c r="M205" s="45">
        <v>1139913</v>
      </c>
      <c r="N205" s="45"/>
      <c r="O205" s="45">
        <v>1808952</v>
      </c>
      <c r="P205" s="45"/>
      <c r="Q205" s="45">
        <v>0</v>
      </c>
      <c r="R205" s="45"/>
      <c r="S205" s="45">
        <v>574304</v>
      </c>
      <c r="T205" s="45"/>
      <c r="U205" s="45">
        <v>0</v>
      </c>
      <c r="V205" s="45"/>
      <c r="W205" s="45">
        <v>21852</v>
      </c>
      <c r="X205" s="45"/>
      <c r="Y205" s="45">
        <v>984</v>
      </c>
      <c r="Z205" s="44"/>
      <c r="AA205" s="45">
        <v>0</v>
      </c>
      <c r="AB205" s="44"/>
      <c r="AC205" s="45">
        <f t="shared" si="5"/>
        <v>16890561</v>
      </c>
      <c r="AD205" s="45"/>
      <c r="AE205" s="48">
        <v>0</v>
      </c>
      <c r="AF205" s="48"/>
      <c r="AG205" s="45">
        <v>2973780</v>
      </c>
      <c r="AH205" s="45"/>
      <c r="AI205" s="45">
        <v>7937030</v>
      </c>
      <c r="AJ205" s="45"/>
      <c r="AK205" s="45">
        <v>0</v>
      </c>
      <c r="AL205" s="45"/>
      <c r="AM205" s="45">
        <f>+'[3]Gen rev'!U205-'[3]Gen exp'!AC205-AG205+'[3]Gen rev'!W205+AI205+AK205-'[3]Gen Bal'!S205-'[3]Gen exp'!AE205</f>
        <v>0</v>
      </c>
      <c r="AN205" s="44"/>
      <c r="AO205" s="44"/>
      <c r="AP205" s="44"/>
      <c r="AQ205" s="44"/>
    </row>
    <row r="206" spans="1:45" s="49" customFormat="1" ht="12.75" customHeight="1">
      <c r="A206" s="28" t="s">
        <v>235</v>
      </c>
      <c r="C206" s="28" t="s">
        <v>183</v>
      </c>
      <c r="E206" s="45">
        <v>10095172</v>
      </c>
      <c r="F206" s="45"/>
      <c r="G206" s="45">
        <v>22698604</v>
      </c>
      <c r="H206" s="45"/>
      <c r="I206" s="45">
        <v>919602</v>
      </c>
      <c r="J206" s="45"/>
      <c r="K206" s="45">
        <v>533050</v>
      </c>
      <c r="L206" s="45"/>
      <c r="M206" s="45">
        <v>220808</v>
      </c>
      <c r="N206" s="45"/>
      <c r="O206" s="45">
        <v>2096877</v>
      </c>
      <c r="P206" s="45"/>
      <c r="Q206" s="45">
        <v>2902</v>
      </c>
      <c r="R206" s="45"/>
      <c r="S206" s="45">
        <v>7225</v>
      </c>
      <c r="T206" s="45"/>
      <c r="U206" s="45">
        <v>0</v>
      </c>
      <c r="V206" s="45"/>
      <c r="W206" s="45">
        <v>0</v>
      </c>
      <c r="X206" s="45"/>
      <c r="Y206" s="45">
        <v>0</v>
      </c>
      <c r="Z206" s="44"/>
      <c r="AA206" s="45">
        <v>0</v>
      </c>
      <c r="AB206" s="44"/>
      <c r="AC206" s="45">
        <f t="shared" si="5"/>
        <v>36574240</v>
      </c>
      <c r="AD206" s="45"/>
      <c r="AE206" s="48">
        <v>0</v>
      </c>
      <c r="AF206" s="48"/>
      <c r="AG206" s="45">
        <v>1270001</v>
      </c>
      <c r="AH206" s="45"/>
      <c r="AI206" s="45">
        <v>5779737</v>
      </c>
      <c r="AJ206" s="45"/>
      <c r="AK206" s="45">
        <v>0</v>
      </c>
      <c r="AL206" s="45"/>
      <c r="AM206" s="45">
        <f>+'[3]Gen rev'!U206-'[3]Gen exp'!AC206-AG206+'[3]Gen rev'!W206+AI206+AK206-'[3]Gen Bal'!S206-'[3]Gen exp'!AE206</f>
        <v>0</v>
      </c>
      <c r="AN206" s="44"/>
      <c r="AO206" s="44"/>
      <c r="AP206" s="44"/>
      <c r="AQ206" s="44"/>
    </row>
    <row r="207" spans="1:45" s="49" customFormat="1" ht="12.75" customHeight="1">
      <c r="A207" s="64" t="s">
        <v>236</v>
      </c>
      <c r="B207" s="46"/>
      <c r="C207" s="64" t="s">
        <v>45</v>
      </c>
      <c r="D207" s="46"/>
      <c r="E207" s="45">
        <v>3766671</v>
      </c>
      <c r="F207" s="45"/>
      <c r="G207" s="45">
        <v>4610721</v>
      </c>
      <c r="H207" s="45"/>
      <c r="I207" s="45">
        <v>0</v>
      </c>
      <c r="J207" s="45"/>
      <c r="K207" s="45">
        <v>93636</v>
      </c>
      <c r="L207" s="45"/>
      <c r="M207" s="45">
        <v>150969</v>
      </c>
      <c r="N207" s="45"/>
      <c r="O207" s="45">
        <v>97770</v>
      </c>
      <c r="P207" s="45"/>
      <c r="Q207" s="45">
        <f>1353564+18721</f>
        <v>1372285</v>
      </c>
      <c r="R207" s="45"/>
      <c r="S207" s="45">
        <v>0</v>
      </c>
      <c r="T207" s="45"/>
      <c r="U207" s="45">
        <v>0</v>
      </c>
      <c r="V207" s="45"/>
      <c r="W207" s="45">
        <v>0</v>
      </c>
      <c r="X207" s="45"/>
      <c r="Y207" s="45">
        <v>0</v>
      </c>
      <c r="Z207" s="44"/>
      <c r="AA207" s="45">
        <v>0</v>
      </c>
      <c r="AB207" s="44"/>
      <c r="AC207" s="45">
        <f t="shared" si="5"/>
        <v>10092052</v>
      </c>
      <c r="AD207" s="45"/>
      <c r="AE207" s="48">
        <v>0</v>
      </c>
      <c r="AF207" s="48"/>
      <c r="AG207" s="45">
        <v>2612575</v>
      </c>
      <c r="AH207" s="45"/>
      <c r="AI207" s="45">
        <v>7325400</v>
      </c>
      <c r="AJ207" s="45"/>
      <c r="AK207" s="45">
        <v>-14117</v>
      </c>
      <c r="AL207" s="45"/>
      <c r="AM207" s="45">
        <f>+'[3]Gen rev'!U207-'[3]Gen exp'!AC207-AG207+'[3]Gen rev'!W207+AI207+AK207-'[3]Gen Bal'!S207-'[3]Gen exp'!AE207</f>
        <v>0</v>
      </c>
      <c r="AN207" s="45"/>
      <c r="AO207" s="45"/>
      <c r="AP207" s="45"/>
      <c r="AQ207" s="45"/>
      <c r="AR207" s="52"/>
      <c r="AS207" s="50"/>
    </row>
    <row r="208" spans="1:45" s="49" customFormat="1" ht="12.75" customHeight="1">
      <c r="A208" s="28" t="s">
        <v>237</v>
      </c>
      <c r="C208" s="28" t="s">
        <v>33</v>
      </c>
      <c r="E208" s="45">
        <v>354671</v>
      </c>
      <c r="F208" s="45"/>
      <c r="G208" s="45">
        <v>1529</v>
      </c>
      <c r="H208" s="45"/>
      <c r="I208" s="45">
        <v>0</v>
      </c>
      <c r="J208" s="45"/>
      <c r="K208" s="45">
        <v>16300</v>
      </c>
      <c r="L208" s="45"/>
      <c r="M208" s="45">
        <v>0</v>
      </c>
      <c r="N208" s="45"/>
      <c r="O208" s="45">
        <v>0</v>
      </c>
      <c r="P208" s="45"/>
      <c r="Q208" s="45">
        <v>0</v>
      </c>
      <c r="R208" s="45"/>
      <c r="S208" s="45">
        <v>13281</v>
      </c>
      <c r="T208" s="45"/>
      <c r="U208" s="45">
        <v>0</v>
      </c>
      <c r="V208" s="45"/>
      <c r="W208" s="45">
        <v>1473</v>
      </c>
      <c r="X208" s="45"/>
      <c r="Y208" s="45">
        <v>113</v>
      </c>
      <c r="Z208" s="44"/>
      <c r="AA208" s="45">
        <v>0</v>
      </c>
      <c r="AB208" s="44"/>
      <c r="AC208" s="45">
        <f t="shared" si="5"/>
        <v>387367</v>
      </c>
      <c r="AD208" s="45"/>
      <c r="AE208" s="48">
        <v>0</v>
      </c>
      <c r="AF208" s="48"/>
      <c r="AG208" s="45">
        <v>1729654</v>
      </c>
      <c r="AH208" s="45"/>
      <c r="AI208" s="45">
        <v>657445</v>
      </c>
      <c r="AJ208" s="45"/>
      <c r="AK208" s="45">
        <v>0</v>
      </c>
      <c r="AL208" s="45"/>
      <c r="AM208" s="45">
        <f>+'[3]Gen rev'!U208-'[3]Gen exp'!AC208-AG208+'[3]Gen rev'!W208+AI208+AK208-'[3]Gen Bal'!S208-'[3]Gen exp'!AE208</f>
        <v>0</v>
      </c>
      <c r="AN208" s="45"/>
      <c r="AO208" s="45"/>
      <c r="AP208" s="45"/>
      <c r="AQ208" s="45"/>
      <c r="AR208" s="52"/>
      <c r="AS208" s="50"/>
    </row>
    <row r="209" spans="1:45" s="49" customFormat="1" ht="12.75" customHeight="1">
      <c r="A209" s="28" t="s">
        <v>238</v>
      </c>
      <c r="C209" s="28" t="s">
        <v>239</v>
      </c>
      <c r="E209" s="45">
        <v>1100990</v>
      </c>
      <c r="F209" s="45"/>
      <c r="G209" s="45">
        <v>2458700</v>
      </c>
      <c r="H209" s="45"/>
      <c r="I209" s="45">
        <v>20764</v>
      </c>
      <c r="J209" s="45"/>
      <c r="K209" s="45">
        <v>12501</v>
      </c>
      <c r="L209" s="45"/>
      <c r="M209" s="45">
        <v>0</v>
      </c>
      <c r="N209" s="45"/>
      <c r="O209" s="45">
        <v>247432</v>
      </c>
      <c r="P209" s="45"/>
      <c r="Q209" s="45">
        <v>0</v>
      </c>
      <c r="R209" s="45"/>
      <c r="S209" s="45">
        <v>0</v>
      </c>
      <c r="T209" s="45"/>
      <c r="U209" s="45">
        <v>0</v>
      </c>
      <c r="V209" s="45"/>
      <c r="W209" s="45">
        <v>0</v>
      </c>
      <c r="X209" s="45"/>
      <c r="Y209" s="45">
        <v>0</v>
      </c>
      <c r="Z209" s="44"/>
      <c r="AA209" s="45">
        <v>0</v>
      </c>
      <c r="AB209" s="44"/>
      <c r="AC209" s="45">
        <f t="shared" si="5"/>
        <v>3840387</v>
      </c>
      <c r="AD209" s="45"/>
      <c r="AE209" s="48">
        <v>0</v>
      </c>
      <c r="AF209" s="48"/>
      <c r="AG209" s="45">
        <v>1060870</v>
      </c>
      <c r="AH209" s="45"/>
      <c r="AI209" s="45">
        <v>5074184</v>
      </c>
      <c r="AJ209" s="45"/>
      <c r="AK209" s="45">
        <v>2367</v>
      </c>
      <c r="AL209" s="45"/>
      <c r="AM209" s="45">
        <f>+'[3]Gen rev'!U209-'[3]Gen exp'!AC209-AG209+'[3]Gen rev'!W209+AI209+AK209-'[3]Gen Bal'!S209-'[3]Gen exp'!AE209</f>
        <v>0</v>
      </c>
      <c r="AN209" s="45"/>
      <c r="AO209" s="45"/>
      <c r="AP209" s="45"/>
      <c r="AQ209" s="45"/>
      <c r="AR209" s="52"/>
      <c r="AS209" s="50"/>
    </row>
    <row r="210" spans="1:45" s="49" customFormat="1" ht="12.75" customHeight="1">
      <c r="A210" s="28" t="s">
        <v>486</v>
      </c>
      <c r="C210" s="28" t="s">
        <v>249</v>
      </c>
      <c r="E210" s="45">
        <v>2607017</v>
      </c>
      <c r="F210" s="45"/>
      <c r="G210" s="45">
        <v>7854420</v>
      </c>
      <c r="H210" s="45"/>
      <c r="I210" s="45">
        <v>60617</v>
      </c>
      <c r="J210" s="45"/>
      <c r="K210" s="45">
        <v>549003</v>
      </c>
      <c r="L210" s="45"/>
      <c r="M210" s="45">
        <v>1236673</v>
      </c>
      <c r="N210" s="45"/>
      <c r="O210" s="45">
        <v>904076</v>
      </c>
      <c r="P210" s="45"/>
      <c r="Q210" s="45">
        <v>0</v>
      </c>
      <c r="R210" s="45"/>
      <c r="S210" s="45">
        <v>0</v>
      </c>
      <c r="T210" s="45"/>
      <c r="U210" s="45">
        <v>0</v>
      </c>
      <c r="V210" s="45"/>
      <c r="W210" s="45">
        <v>67569</v>
      </c>
      <c r="X210" s="45"/>
      <c r="Y210" s="45">
        <v>90794</v>
      </c>
      <c r="Z210" s="44"/>
      <c r="AA210" s="45">
        <v>0</v>
      </c>
      <c r="AB210" s="44"/>
      <c r="AC210" s="45">
        <f>SUM(E210:AA210)</f>
        <v>13370169</v>
      </c>
      <c r="AD210" s="45"/>
      <c r="AE210" s="48">
        <v>0</v>
      </c>
      <c r="AF210" s="48"/>
      <c r="AG210" s="45">
        <v>0</v>
      </c>
      <c r="AH210" s="45"/>
      <c r="AI210" s="45">
        <v>1310921</v>
      </c>
      <c r="AJ210" s="45"/>
      <c r="AK210" s="45">
        <v>0</v>
      </c>
      <c r="AL210" s="45"/>
      <c r="AM210" s="45">
        <f>+'[3]Gen rev'!U210-'[3]Gen exp'!AC210-AG210+'[3]Gen rev'!W210+AI210+AK210-'[3]Gen Bal'!S210-'[3]Gen exp'!AE210</f>
        <v>0</v>
      </c>
      <c r="AN210" s="44"/>
      <c r="AO210" s="44"/>
      <c r="AP210" s="44"/>
      <c r="AQ210" s="44"/>
    </row>
    <row r="211" spans="1:45" s="49" customFormat="1" ht="12.75" customHeight="1">
      <c r="A211" s="28" t="s">
        <v>240</v>
      </c>
      <c r="C211" s="28" t="s">
        <v>13</v>
      </c>
      <c r="E211" s="45">
        <v>5748373</v>
      </c>
      <c r="F211" s="45"/>
      <c r="G211" s="45">
        <v>9133099</v>
      </c>
      <c r="H211" s="45"/>
      <c r="I211" s="45">
        <v>1379379</v>
      </c>
      <c r="J211" s="45"/>
      <c r="K211" s="45">
        <v>420247</v>
      </c>
      <c r="L211" s="45"/>
      <c r="M211" s="45">
        <v>486048</v>
      </c>
      <c r="N211" s="45"/>
      <c r="O211" s="45">
        <v>1790366</v>
      </c>
      <c r="P211" s="45"/>
      <c r="Q211" s="45">
        <v>0</v>
      </c>
      <c r="R211" s="45"/>
      <c r="S211" s="45">
        <v>0</v>
      </c>
      <c r="T211" s="45"/>
      <c r="U211" s="45">
        <v>0</v>
      </c>
      <c r="V211" s="45"/>
      <c r="W211" s="45">
        <v>0</v>
      </c>
      <c r="X211" s="45"/>
      <c r="Y211" s="45">
        <v>0</v>
      </c>
      <c r="Z211" s="44"/>
      <c r="AA211" s="45">
        <v>0</v>
      </c>
      <c r="AB211" s="44"/>
      <c r="AC211" s="45">
        <f t="shared" si="5"/>
        <v>18957512</v>
      </c>
      <c r="AD211" s="45"/>
      <c r="AE211" s="48">
        <v>0</v>
      </c>
      <c r="AF211" s="48"/>
      <c r="AG211" s="45">
        <v>734445</v>
      </c>
      <c r="AH211" s="45"/>
      <c r="AI211" s="45">
        <v>5882770</v>
      </c>
      <c r="AJ211" s="45"/>
      <c r="AK211" s="45">
        <v>0</v>
      </c>
      <c r="AL211" s="45"/>
      <c r="AM211" s="45">
        <f>+'[3]Gen rev'!U211-'[3]Gen exp'!AC211-AG211+'[3]Gen rev'!W211+AI211+AK211-'[3]Gen Bal'!S211-'[3]Gen exp'!AE211</f>
        <v>0</v>
      </c>
      <c r="AN211" s="44"/>
      <c r="AO211" s="44"/>
      <c r="AP211" s="44"/>
      <c r="AQ211" s="44"/>
    </row>
    <row r="212" spans="1:45" s="130" customFormat="1" ht="12.75" hidden="1" customHeight="1">
      <c r="A212" s="28" t="s">
        <v>241</v>
      </c>
      <c r="B212" s="49"/>
      <c r="C212" s="28" t="s">
        <v>22</v>
      </c>
      <c r="D212" s="49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4"/>
      <c r="AA212" s="45"/>
      <c r="AB212" s="44"/>
      <c r="AC212" s="45">
        <f t="shared" si="5"/>
        <v>0</v>
      </c>
      <c r="AD212" s="45"/>
      <c r="AE212" s="48">
        <v>0</v>
      </c>
      <c r="AF212" s="48"/>
      <c r="AG212" s="45"/>
      <c r="AH212" s="45"/>
      <c r="AI212" s="45"/>
      <c r="AJ212" s="45"/>
      <c r="AK212" s="45">
        <v>0</v>
      </c>
      <c r="AL212" s="45"/>
      <c r="AM212" s="45">
        <f>+'[3]Gen rev'!U212-'[3]Gen exp'!AC212-AG212+'[3]Gen rev'!W212+AI212+AK212-'[3]Gen Bal'!S212-'[3]Gen exp'!AE212</f>
        <v>0</v>
      </c>
      <c r="AN212" s="127"/>
      <c r="AO212" s="127"/>
      <c r="AP212" s="127"/>
      <c r="AQ212" s="127"/>
      <c r="AR212" s="134"/>
      <c r="AS212" s="135"/>
    </row>
    <row r="213" spans="1:45" s="49" customFormat="1" ht="12.75" customHeight="1">
      <c r="A213" s="28" t="s">
        <v>242</v>
      </c>
      <c r="C213" s="28" t="s">
        <v>27</v>
      </c>
      <c r="E213" s="45">
        <v>6699678</v>
      </c>
      <c r="F213" s="45"/>
      <c r="G213" s="45">
        <v>8410720</v>
      </c>
      <c r="H213" s="45"/>
      <c r="I213" s="45">
        <v>1277746</v>
      </c>
      <c r="J213" s="45"/>
      <c r="K213" s="45">
        <v>298631</v>
      </c>
      <c r="L213" s="45"/>
      <c r="M213" s="45">
        <v>0</v>
      </c>
      <c r="N213" s="45"/>
      <c r="O213" s="45">
        <v>362436</v>
      </c>
      <c r="P213" s="45"/>
      <c r="Q213" s="45">
        <v>2513489</v>
      </c>
      <c r="R213" s="45"/>
      <c r="S213" s="45">
        <v>1425239</v>
      </c>
      <c r="T213" s="45"/>
      <c r="U213" s="45">
        <v>0</v>
      </c>
      <c r="V213" s="45"/>
      <c r="W213" s="45">
        <v>0</v>
      </c>
      <c r="X213" s="45"/>
      <c r="Y213" s="45">
        <v>0</v>
      </c>
      <c r="Z213" s="44"/>
      <c r="AA213" s="45">
        <v>0</v>
      </c>
      <c r="AB213" s="44"/>
      <c r="AC213" s="45">
        <f t="shared" si="5"/>
        <v>20987939</v>
      </c>
      <c r="AD213" s="45"/>
      <c r="AE213" s="48">
        <v>0</v>
      </c>
      <c r="AF213" s="48"/>
      <c r="AG213" s="45">
        <v>10136582</v>
      </c>
      <c r="AH213" s="45"/>
      <c r="AI213" s="45">
        <v>11081971</v>
      </c>
      <c r="AJ213" s="45"/>
      <c r="AK213" s="45">
        <v>0</v>
      </c>
      <c r="AL213" s="45"/>
      <c r="AM213" s="45">
        <f>+'[3]Gen rev'!U213-'[3]Gen exp'!AC213-AG213+'[3]Gen rev'!W213+AI213+AK213-'[3]Gen Bal'!S213-'[3]Gen exp'!AE213</f>
        <v>0</v>
      </c>
      <c r="AN213" s="44"/>
      <c r="AO213" s="44"/>
      <c r="AP213" s="44"/>
      <c r="AQ213" s="44"/>
    </row>
    <row r="214" spans="1:45" s="49" customFormat="1" ht="12.75" customHeight="1">
      <c r="A214" s="28" t="s">
        <v>243</v>
      </c>
      <c r="C214" s="28" t="s">
        <v>163</v>
      </c>
      <c r="E214" s="45">
        <v>3611917</v>
      </c>
      <c r="F214" s="45"/>
      <c r="G214" s="45">
        <v>4617171</v>
      </c>
      <c r="H214" s="45"/>
      <c r="I214" s="45">
        <v>440254</v>
      </c>
      <c r="J214" s="45"/>
      <c r="K214" s="45">
        <v>177218</v>
      </c>
      <c r="L214" s="45"/>
      <c r="M214" s="45">
        <v>275419</v>
      </c>
      <c r="N214" s="45"/>
      <c r="O214" s="45">
        <v>837935</v>
      </c>
      <c r="P214" s="45"/>
      <c r="Q214" s="45">
        <v>691852</v>
      </c>
      <c r="R214" s="45"/>
      <c r="S214" s="45">
        <v>0</v>
      </c>
      <c r="T214" s="45"/>
      <c r="U214" s="45">
        <v>0</v>
      </c>
      <c r="V214" s="45"/>
      <c r="W214" s="45">
        <v>0</v>
      </c>
      <c r="X214" s="45"/>
      <c r="Y214" s="45">
        <v>0</v>
      </c>
      <c r="Z214" s="44"/>
      <c r="AA214" s="45">
        <v>0</v>
      </c>
      <c r="AB214" s="44"/>
      <c r="AC214" s="45">
        <f>SUM(E214:AA214)</f>
        <v>10651766</v>
      </c>
      <c r="AD214" s="45"/>
      <c r="AE214" s="48">
        <v>0</v>
      </c>
      <c r="AF214" s="48"/>
      <c r="AG214" s="45">
        <v>668703</v>
      </c>
      <c r="AH214" s="45"/>
      <c r="AI214" s="45">
        <v>1033223</v>
      </c>
      <c r="AJ214" s="45"/>
      <c r="AK214" s="45">
        <v>54028</v>
      </c>
      <c r="AL214" s="45"/>
      <c r="AM214" s="45">
        <f>+'[3]Gen rev'!U214-'[3]Gen exp'!AC214-AG214+'[3]Gen rev'!W214+AI214+AK214-'[3]Gen Bal'!S214-'[3]Gen exp'!AE214</f>
        <v>0</v>
      </c>
      <c r="AN214" s="44"/>
      <c r="AO214" s="44"/>
      <c r="AP214" s="44"/>
      <c r="AQ214" s="44"/>
    </row>
    <row r="215" spans="1:45" s="49" customFormat="1" ht="12.75" customHeight="1">
      <c r="A215" s="28" t="s">
        <v>244</v>
      </c>
      <c r="C215" s="28" t="s">
        <v>13</v>
      </c>
      <c r="E215" s="45">
        <v>3092863</v>
      </c>
      <c r="F215" s="45"/>
      <c r="G215" s="45">
        <f>3472574+39208</f>
        <v>3511782</v>
      </c>
      <c r="H215" s="45"/>
      <c r="I215" s="45">
        <v>409354</v>
      </c>
      <c r="J215" s="45"/>
      <c r="K215" s="45">
        <v>0</v>
      </c>
      <c r="L215" s="45"/>
      <c r="M215" s="45">
        <v>311501</v>
      </c>
      <c r="N215" s="45"/>
      <c r="O215" s="45">
        <v>1234503</v>
      </c>
      <c r="P215" s="45"/>
      <c r="Q215" s="45">
        <v>0</v>
      </c>
      <c r="R215" s="45"/>
      <c r="S215" s="45">
        <v>296590</v>
      </c>
      <c r="T215" s="45"/>
      <c r="U215" s="45">
        <v>0</v>
      </c>
      <c r="V215" s="45"/>
      <c r="W215" s="45">
        <v>14519</v>
      </c>
      <c r="X215" s="45"/>
      <c r="Y215" s="45">
        <v>625</v>
      </c>
      <c r="Z215" s="44"/>
      <c r="AA215" s="45">
        <v>0</v>
      </c>
      <c r="AB215" s="44"/>
      <c r="AC215" s="45">
        <f t="shared" ref="AC215:AC255" si="6">SUM(E215:AA215)</f>
        <v>8871737</v>
      </c>
      <c r="AD215" s="45"/>
      <c r="AE215" s="48">
        <v>0</v>
      </c>
      <c r="AF215" s="48"/>
      <c r="AG215" s="45">
        <v>3751926</v>
      </c>
      <c r="AH215" s="45"/>
      <c r="AI215" s="45">
        <v>2861324</v>
      </c>
      <c r="AJ215" s="45"/>
      <c r="AK215" s="45">
        <v>0</v>
      </c>
      <c r="AL215" s="45"/>
      <c r="AM215" s="45">
        <f>+'Gen rev'!U215-'Gen exp'!AC215-AG215+'Gen rev'!W215+AI215+AK215-'Gen Bal'!S215-'Gen exp'!AE215</f>
        <v>0</v>
      </c>
      <c r="AN215" s="45"/>
      <c r="AO215" s="45"/>
      <c r="AP215" s="45"/>
      <c r="AQ215" s="45"/>
      <c r="AR215" s="52"/>
      <c r="AS215" s="50"/>
    </row>
    <row r="216" spans="1:45" s="46" customFormat="1" ht="12.75" customHeight="1">
      <c r="A216" s="28" t="s">
        <v>341</v>
      </c>
      <c r="B216" s="49"/>
      <c r="C216" s="28" t="s">
        <v>110</v>
      </c>
      <c r="D216" s="49"/>
      <c r="E216" s="45">
        <v>2766020</v>
      </c>
      <c r="F216" s="45"/>
      <c r="G216" s="45">
        <v>6706919</v>
      </c>
      <c r="H216" s="45"/>
      <c r="I216" s="45">
        <v>254061</v>
      </c>
      <c r="J216" s="45"/>
      <c r="K216" s="45">
        <v>0</v>
      </c>
      <c r="L216" s="45"/>
      <c r="M216" s="45">
        <v>0</v>
      </c>
      <c r="N216" s="45"/>
      <c r="O216" s="45">
        <v>0</v>
      </c>
      <c r="P216" s="45"/>
      <c r="Q216" s="45">
        <v>0</v>
      </c>
      <c r="R216" s="45"/>
      <c r="S216" s="45">
        <v>0</v>
      </c>
      <c r="T216" s="45"/>
      <c r="U216" s="45">
        <v>0</v>
      </c>
      <c r="V216" s="45"/>
      <c r="W216" s="45">
        <v>25488</v>
      </c>
      <c r="X216" s="45"/>
      <c r="Y216" s="45">
        <v>6317</v>
      </c>
      <c r="Z216" s="44"/>
      <c r="AA216" s="45">
        <v>0</v>
      </c>
      <c r="AB216" s="44"/>
      <c r="AC216" s="45">
        <f t="shared" si="6"/>
        <v>9758805</v>
      </c>
      <c r="AD216" s="45"/>
      <c r="AE216" s="48">
        <v>0</v>
      </c>
      <c r="AF216" s="48"/>
      <c r="AG216" s="45">
        <v>1576837</v>
      </c>
      <c r="AH216" s="45"/>
      <c r="AI216" s="45">
        <v>1629443</v>
      </c>
      <c r="AJ216" s="45"/>
      <c r="AK216" s="45">
        <v>-5578</v>
      </c>
      <c r="AL216" s="45"/>
      <c r="AM216" s="45">
        <f>+'Gen rev'!U216-'Gen exp'!AC216-AG216+'Gen rev'!W216+AI216+AK216-'Gen Bal'!S216-'Gen exp'!AE216</f>
        <v>0</v>
      </c>
      <c r="AN216" s="94"/>
      <c r="AO216" s="94"/>
      <c r="AP216" s="94"/>
      <c r="AQ216" s="94"/>
      <c r="AR216" s="90"/>
      <c r="AS216" s="64"/>
    </row>
    <row r="217" spans="1:45" s="49" customFormat="1" ht="12.75" customHeight="1">
      <c r="A217" s="28" t="s">
        <v>246</v>
      </c>
      <c r="C217" s="28" t="s">
        <v>209</v>
      </c>
      <c r="E217" s="45">
        <v>1458674</v>
      </c>
      <c r="F217" s="45"/>
      <c r="G217" s="45">
        <v>3079960</v>
      </c>
      <c r="H217" s="45"/>
      <c r="I217" s="45">
        <v>248376</v>
      </c>
      <c r="J217" s="45"/>
      <c r="K217" s="45">
        <v>0</v>
      </c>
      <c r="L217" s="45"/>
      <c r="M217" s="45">
        <v>0</v>
      </c>
      <c r="N217" s="45"/>
      <c r="O217" s="45">
        <v>479768</v>
      </c>
      <c r="P217" s="45"/>
      <c r="Q217" s="45">
        <v>0</v>
      </c>
      <c r="R217" s="45"/>
      <c r="S217" s="45">
        <v>47375</v>
      </c>
      <c r="T217" s="45"/>
      <c r="U217" s="45">
        <v>0</v>
      </c>
      <c r="V217" s="45"/>
      <c r="W217" s="45">
        <v>12509</v>
      </c>
      <c r="X217" s="45"/>
      <c r="Y217" s="45">
        <v>1003</v>
      </c>
      <c r="Z217" s="44"/>
      <c r="AA217" s="45">
        <v>235440</v>
      </c>
      <c r="AB217" s="44"/>
      <c r="AC217" s="45">
        <f t="shared" si="6"/>
        <v>5563105</v>
      </c>
      <c r="AD217" s="45"/>
      <c r="AE217" s="48">
        <v>0</v>
      </c>
      <c r="AF217" s="48"/>
      <c r="AG217" s="45">
        <v>240000</v>
      </c>
      <c r="AH217" s="45"/>
      <c r="AI217" s="45">
        <v>3606521</v>
      </c>
      <c r="AJ217" s="45"/>
      <c r="AK217" s="45">
        <v>-254</v>
      </c>
      <c r="AL217" s="45"/>
      <c r="AM217" s="45">
        <f>+'Gen rev'!U217-'Gen exp'!AC217-AG217+'Gen rev'!W217+AI217+AK217-'Gen Bal'!S217-'Gen exp'!AE217</f>
        <v>0</v>
      </c>
      <c r="AN217" s="35"/>
      <c r="AO217" s="35"/>
      <c r="AP217" s="35"/>
      <c r="AQ217" s="35"/>
      <c r="AR217" s="50"/>
      <c r="AS217" s="50"/>
    </row>
    <row r="218" spans="1:45" s="49" customFormat="1" ht="12.75" customHeight="1">
      <c r="A218" s="28" t="s">
        <v>247</v>
      </c>
      <c r="C218" s="28" t="s">
        <v>163</v>
      </c>
      <c r="E218" s="45">
        <v>16428000</v>
      </c>
      <c r="F218" s="45"/>
      <c r="G218" s="45">
        <v>166634000</v>
      </c>
      <c r="H218" s="45"/>
      <c r="I218" s="45">
        <v>5265000</v>
      </c>
      <c r="J218" s="45"/>
      <c r="K218" s="45">
        <v>16021000</v>
      </c>
      <c r="L218" s="45"/>
      <c r="M218" s="45">
        <v>0</v>
      </c>
      <c r="N218" s="45"/>
      <c r="O218" s="45">
        <v>0</v>
      </c>
      <c r="P218" s="45"/>
      <c r="Q218" s="45">
        <f>116000+1807000</f>
        <v>1923000</v>
      </c>
      <c r="R218" s="45"/>
      <c r="S218" s="45">
        <v>585000</v>
      </c>
      <c r="T218" s="45"/>
      <c r="U218" s="45">
        <v>0</v>
      </c>
      <c r="V218" s="45"/>
      <c r="W218" s="45">
        <v>1506000</v>
      </c>
      <c r="X218" s="45"/>
      <c r="Y218" s="45">
        <v>915000</v>
      </c>
      <c r="Z218" s="44"/>
      <c r="AA218" s="45">
        <v>3037000</v>
      </c>
      <c r="AB218" s="44"/>
      <c r="AC218" s="45">
        <f t="shared" si="6"/>
        <v>212314000</v>
      </c>
      <c r="AD218" s="45"/>
      <c r="AE218" s="48">
        <v>0</v>
      </c>
      <c r="AF218" s="48"/>
      <c r="AG218" s="45">
        <v>26697000</v>
      </c>
      <c r="AH218" s="45"/>
      <c r="AI218" s="45">
        <v>12633000</v>
      </c>
      <c r="AJ218" s="45"/>
      <c r="AK218" s="45">
        <v>-40000</v>
      </c>
      <c r="AL218" s="45"/>
      <c r="AM218" s="45">
        <f>+'Gen rev'!U218-'Gen exp'!AC218-AG218+'Gen rev'!W218+AI218+AK218-'Gen Bal'!S218-'Gen exp'!AE218</f>
        <v>0</v>
      </c>
      <c r="AN218" s="44"/>
      <c r="AO218" s="44"/>
      <c r="AP218" s="44"/>
      <c r="AQ218" s="44"/>
    </row>
    <row r="219" spans="1:45" s="49" customFormat="1" ht="12.75" customHeight="1">
      <c r="A219" s="28" t="s">
        <v>248</v>
      </c>
      <c r="C219" s="28" t="s">
        <v>249</v>
      </c>
      <c r="E219" s="45">
        <v>590425</v>
      </c>
      <c r="F219" s="45"/>
      <c r="G219" s="45">
        <v>1312486</v>
      </c>
      <c r="H219" s="45"/>
      <c r="I219" s="45"/>
      <c r="J219" s="45"/>
      <c r="K219" s="45">
        <v>19843</v>
      </c>
      <c r="L219" s="45"/>
      <c r="M219" s="45">
        <v>51668</v>
      </c>
      <c r="N219" s="45"/>
      <c r="O219" s="45">
        <v>6000</v>
      </c>
      <c r="P219" s="45"/>
      <c r="Q219" s="45">
        <v>0</v>
      </c>
      <c r="R219" s="45"/>
      <c r="S219" s="45">
        <v>80552</v>
      </c>
      <c r="T219" s="45"/>
      <c r="U219" s="45">
        <v>0</v>
      </c>
      <c r="V219" s="45"/>
      <c r="W219" s="45">
        <v>31923</v>
      </c>
      <c r="X219" s="45"/>
      <c r="Y219" s="45">
        <v>39383</v>
      </c>
      <c r="Z219" s="44"/>
      <c r="AA219" s="45">
        <v>0</v>
      </c>
      <c r="AB219" s="44"/>
      <c r="AC219" s="45">
        <f t="shared" si="6"/>
        <v>2132280</v>
      </c>
      <c r="AD219" s="45"/>
      <c r="AE219" s="48">
        <v>0</v>
      </c>
      <c r="AF219" s="48"/>
      <c r="AG219" s="45">
        <v>1286450</v>
      </c>
      <c r="AH219" s="45"/>
      <c r="AI219" s="45">
        <v>1487072</v>
      </c>
      <c r="AJ219" s="45"/>
      <c r="AK219" s="45">
        <v>0</v>
      </c>
      <c r="AL219" s="45"/>
      <c r="AM219" s="45">
        <f>+'Gen rev'!U219-'Gen exp'!AC219-AG219+'Gen rev'!W219+AI219+AK219-'Gen Bal'!S219-'Gen exp'!AE219</f>
        <v>0</v>
      </c>
      <c r="AN219" s="44"/>
      <c r="AO219" s="44"/>
      <c r="AP219" s="44"/>
      <c r="AQ219" s="44"/>
    </row>
    <row r="220" spans="1:45" s="49" customFormat="1" ht="12.75" customHeight="1">
      <c r="A220" s="28" t="s">
        <v>250</v>
      </c>
      <c r="C220" s="28" t="s">
        <v>103</v>
      </c>
      <c r="E220" s="45">
        <v>432962</v>
      </c>
      <c r="F220" s="45"/>
      <c r="G220" s="45">
        <v>1975054</v>
      </c>
      <c r="H220" s="45"/>
      <c r="I220" s="45">
        <v>149452</v>
      </c>
      <c r="J220" s="45"/>
      <c r="K220" s="45">
        <v>63524</v>
      </c>
      <c r="L220" s="45"/>
      <c r="M220" s="45">
        <v>0</v>
      </c>
      <c r="N220" s="45"/>
      <c r="O220" s="45">
        <v>0</v>
      </c>
      <c r="P220" s="45"/>
      <c r="Q220" s="45">
        <v>65594</v>
      </c>
      <c r="R220" s="45"/>
      <c r="S220" s="45">
        <v>0</v>
      </c>
      <c r="T220" s="45"/>
      <c r="U220" s="45">
        <v>0</v>
      </c>
      <c r="V220" s="45"/>
      <c r="W220" s="45">
        <v>0</v>
      </c>
      <c r="X220" s="45"/>
      <c r="Y220" s="45">
        <v>0</v>
      </c>
      <c r="Z220" s="44"/>
      <c r="AA220" s="45">
        <v>0</v>
      </c>
      <c r="AB220" s="44"/>
      <c r="AC220" s="45">
        <f t="shared" si="6"/>
        <v>2686586</v>
      </c>
      <c r="AD220" s="45"/>
      <c r="AE220" s="48">
        <v>0</v>
      </c>
      <c r="AF220" s="48"/>
      <c r="AG220" s="45">
        <v>292500</v>
      </c>
      <c r="AH220" s="45"/>
      <c r="AI220" s="45">
        <v>2084072</v>
      </c>
      <c r="AJ220" s="45"/>
      <c r="AK220" s="45">
        <v>0</v>
      </c>
      <c r="AL220" s="45"/>
      <c r="AM220" s="45">
        <f>+'Gen rev'!U220-'Gen exp'!AC220-AG220+'Gen rev'!W220+AI220+AK220-'Gen Bal'!S220-'Gen exp'!AE220</f>
        <v>0</v>
      </c>
      <c r="AN220" s="48"/>
      <c r="AO220" s="48"/>
      <c r="AP220" s="48"/>
      <c r="AQ220" s="48"/>
      <c r="AR220" s="52"/>
      <c r="AS220" s="50"/>
    </row>
    <row r="221" spans="1:45" s="49" customFormat="1" ht="12.75" customHeight="1">
      <c r="A221" s="28" t="s">
        <v>251</v>
      </c>
      <c r="C221" s="28" t="s">
        <v>66</v>
      </c>
      <c r="E221" s="45">
        <v>2768203</v>
      </c>
      <c r="F221" s="45"/>
      <c r="G221" s="45">
        <v>5408668</v>
      </c>
      <c r="H221" s="45"/>
      <c r="I221" s="45">
        <v>491912</v>
      </c>
      <c r="J221" s="45"/>
      <c r="K221" s="45">
        <v>0</v>
      </c>
      <c r="L221" s="45"/>
      <c r="M221" s="45">
        <v>334691</v>
      </c>
      <c r="N221" s="45"/>
      <c r="O221" s="45">
        <v>396378</v>
      </c>
      <c r="P221" s="45"/>
      <c r="Q221" s="45">
        <v>0</v>
      </c>
      <c r="R221" s="45"/>
      <c r="S221" s="45">
        <v>166536</v>
      </c>
      <c r="T221" s="45"/>
      <c r="U221" s="45">
        <v>0</v>
      </c>
      <c r="V221" s="45"/>
      <c r="W221" s="45">
        <v>168199</v>
      </c>
      <c r="X221" s="45"/>
      <c r="Y221" s="45">
        <v>253591</v>
      </c>
      <c r="Z221" s="44"/>
      <c r="AA221" s="45">
        <v>0</v>
      </c>
      <c r="AB221" s="44"/>
      <c r="AC221" s="45">
        <f>SUM(E221:AA221)</f>
        <v>9988178</v>
      </c>
      <c r="AD221" s="45"/>
      <c r="AE221" s="48">
        <v>0</v>
      </c>
      <c r="AF221" s="48"/>
      <c r="AG221" s="45">
        <v>366750</v>
      </c>
      <c r="AH221" s="45"/>
      <c r="AI221" s="45">
        <v>2051072</v>
      </c>
      <c r="AJ221" s="45"/>
      <c r="AK221" s="45">
        <v>0</v>
      </c>
      <c r="AL221" s="45"/>
      <c r="AM221" s="45">
        <f>+'Gen rev'!U221-'Gen exp'!AC221-AG221+'Gen rev'!W221+AI221+AK221-'Gen Bal'!S221-'Gen exp'!AE221</f>
        <v>0</v>
      </c>
      <c r="AN221" s="45"/>
      <c r="AO221" s="45"/>
      <c r="AP221" s="45"/>
      <c r="AQ221" s="45"/>
      <c r="AR221" s="52"/>
      <c r="AS221" s="50"/>
    </row>
    <row r="222" spans="1:45" s="49" customFormat="1" ht="12.75" customHeight="1">
      <c r="A222" s="64" t="s">
        <v>252</v>
      </c>
      <c r="B222" s="46"/>
      <c r="C222" s="64" t="s">
        <v>209</v>
      </c>
      <c r="D222" s="46"/>
      <c r="E222" s="45">
        <v>4615270</v>
      </c>
      <c r="F222" s="45"/>
      <c r="G222" s="45">
        <v>9245469</v>
      </c>
      <c r="H222" s="45"/>
      <c r="I222" s="45">
        <v>516386</v>
      </c>
      <c r="J222" s="45"/>
      <c r="K222" s="45">
        <v>0</v>
      </c>
      <c r="L222" s="45"/>
      <c r="M222" s="45">
        <v>0</v>
      </c>
      <c r="N222" s="45"/>
      <c r="O222" s="45">
        <v>1294928</v>
      </c>
      <c r="P222" s="45"/>
      <c r="Q222" s="45">
        <v>1146691</v>
      </c>
      <c r="R222" s="45"/>
      <c r="S222" s="45">
        <v>0</v>
      </c>
      <c r="T222" s="45"/>
      <c r="U222" s="45">
        <v>0</v>
      </c>
      <c r="V222" s="45"/>
      <c r="W222" s="45">
        <v>0</v>
      </c>
      <c r="X222" s="45"/>
      <c r="Y222" s="45">
        <v>0</v>
      </c>
      <c r="Z222" s="44"/>
      <c r="AA222" s="45">
        <v>0</v>
      </c>
      <c r="AB222" s="44"/>
      <c r="AC222" s="45">
        <f t="shared" si="6"/>
        <v>16818744</v>
      </c>
      <c r="AD222" s="45"/>
      <c r="AE222" s="48">
        <v>0</v>
      </c>
      <c r="AF222" s="48"/>
      <c r="AG222" s="45">
        <v>2865589</v>
      </c>
      <c r="AH222" s="45"/>
      <c r="AI222" s="45">
        <v>38443457</v>
      </c>
      <c r="AJ222" s="45"/>
      <c r="AK222" s="45">
        <v>0</v>
      </c>
      <c r="AL222" s="45"/>
      <c r="AM222" s="45">
        <f>+'Gen rev'!U222-'Gen exp'!AC222-AG222+'Gen rev'!W222+AI222+AK222-'Gen Bal'!S222-'Gen exp'!AE222</f>
        <v>0</v>
      </c>
      <c r="AN222" s="45"/>
      <c r="AO222" s="45"/>
      <c r="AP222" s="45"/>
      <c r="AQ222" s="45"/>
      <c r="AR222" s="52"/>
      <c r="AS222" s="50"/>
    </row>
    <row r="223" spans="1:45" s="49" customFormat="1" ht="12.75" customHeight="1">
      <c r="A223" s="28" t="s">
        <v>253</v>
      </c>
      <c r="C223" s="28" t="s">
        <v>13</v>
      </c>
      <c r="E223" s="45">
        <v>3570445</v>
      </c>
      <c r="F223" s="45"/>
      <c r="G223" s="45">
        <v>8505516</v>
      </c>
      <c r="H223" s="45"/>
      <c r="I223" s="45">
        <v>1413841</v>
      </c>
      <c r="J223" s="45"/>
      <c r="K223" s="45">
        <v>0</v>
      </c>
      <c r="L223" s="45"/>
      <c r="M223" s="45">
        <v>3179688</v>
      </c>
      <c r="N223" s="45"/>
      <c r="O223" s="45">
        <v>1768986</v>
      </c>
      <c r="P223" s="45"/>
      <c r="Q223" s="45">
        <v>0</v>
      </c>
      <c r="R223" s="45"/>
      <c r="S223" s="45">
        <v>0</v>
      </c>
      <c r="T223" s="45"/>
      <c r="U223" s="45">
        <v>0</v>
      </c>
      <c r="V223" s="45"/>
      <c r="W223" s="45">
        <v>0</v>
      </c>
      <c r="X223" s="45"/>
      <c r="Y223" s="45">
        <v>0</v>
      </c>
      <c r="Z223" s="44"/>
      <c r="AA223" s="45">
        <v>0</v>
      </c>
      <c r="AB223" s="44"/>
      <c r="AC223" s="45">
        <f>SUM(E223:AA223)</f>
        <v>18438476</v>
      </c>
      <c r="AD223" s="45"/>
      <c r="AE223" s="48">
        <v>0</v>
      </c>
      <c r="AF223" s="48"/>
      <c r="AG223" s="45">
        <v>996584</v>
      </c>
      <c r="AH223" s="45"/>
      <c r="AI223" s="45">
        <v>8024479</v>
      </c>
      <c r="AJ223" s="45"/>
      <c r="AK223" s="45">
        <v>0</v>
      </c>
      <c r="AL223" s="45"/>
      <c r="AM223" s="45">
        <f>+'Gen rev'!U223-'Gen exp'!AC223-AG223+'Gen rev'!W223+AI223+AK223-'Gen Bal'!S223-'Gen exp'!AE223</f>
        <v>0</v>
      </c>
      <c r="AN223" s="45"/>
      <c r="AO223" s="45"/>
      <c r="AP223" s="45"/>
      <c r="AQ223" s="45"/>
      <c r="AR223" s="52"/>
      <c r="AS223" s="50"/>
    </row>
    <row r="224" spans="1:45" s="49" customFormat="1" ht="12.75" customHeight="1">
      <c r="A224" s="28" t="s">
        <v>254</v>
      </c>
      <c r="C224" s="28" t="s">
        <v>89</v>
      </c>
      <c r="E224" s="45">
        <v>602325</v>
      </c>
      <c r="F224" s="45"/>
      <c r="G224" s="45">
        <v>1206270</v>
      </c>
      <c r="H224" s="45"/>
      <c r="I224" s="45">
        <v>0</v>
      </c>
      <c r="J224" s="45"/>
      <c r="K224" s="45">
        <v>2082</v>
      </c>
      <c r="L224" s="45"/>
      <c r="M224" s="45">
        <v>0</v>
      </c>
      <c r="N224" s="45"/>
      <c r="O224" s="45">
        <v>0</v>
      </c>
      <c r="P224" s="45"/>
      <c r="Q224" s="45">
        <v>0</v>
      </c>
      <c r="R224" s="45"/>
      <c r="S224" s="45">
        <v>0</v>
      </c>
      <c r="T224" s="45"/>
      <c r="U224" s="45">
        <v>0</v>
      </c>
      <c r="V224" s="45"/>
      <c r="W224" s="45">
        <v>0</v>
      </c>
      <c r="X224" s="45"/>
      <c r="Y224" s="45">
        <v>0</v>
      </c>
      <c r="Z224" s="44"/>
      <c r="AA224" s="45">
        <v>0</v>
      </c>
      <c r="AB224" s="44"/>
      <c r="AC224" s="45">
        <f t="shared" si="6"/>
        <v>1810677</v>
      </c>
      <c r="AD224" s="45"/>
      <c r="AE224" s="48">
        <v>0</v>
      </c>
      <c r="AF224" s="48"/>
      <c r="AG224" s="45">
        <v>110000</v>
      </c>
      <c r="AH224" s="45"/>
      <c r="AI224" s="45">
        <v>1412578</v>
      </c>
      <c r="AJ224" s="45"/>
      <c r="AK224" s="45">
        <v>0</v>
      </c>
      <c r="AL224" s="45"/>
      <c r="AM224" s="45">
        <f>+'Gen rev'!U224-'Gen exp'!AC224-AG224+'Gen rev'!W224+AI224+AK224-'Gen Bal'!S224-'Gen exp'!AE224</f>
        <v>0</v>
      </c>
      <c r="AN224" s="45"/>
      <c r="AO224" s="45"/>
      <c r="AP224" s="45"/>
      <c r="AQ224" s="45"/>
      <c r="AR224" s="52"/>
      <c r="AS224" s="50"/>
    </row>
    <row r="225" spans="1:45" s="49" customFormat="1" ht="12.75" customHeight="1">
      <c r="A225" s="28" t="s">
        <v>159</v>
      </c>
      <c r="C225" s="28" t="s">
        <v>66</v>
      </c>
      <c r="E225" s="45">
        <v>708623</v>
      </c>
      <c r="F225" s="45"/>
      <c r="G225" s="45">
        <v>0</v>
      </c>
      <c r="H225" s="45"/>
      <c r="I225" s="45">
        <v>0</v>
      </c>
      <c r="J225" s="45"/>
      <c r="K225" s="45">
        <v>0</v>
      </c>
      <c r="L225" s="45"/>
      <c r="M225" s="45">
        <v>0</v>
      </c>
      <c r="N225" s="45"/>
      <c r="O225" s="45">
        <v>0</v>
      </c>
      <c r="P225" s="45"/>
      <c r="Q225" s="45">
        <v>0</v>
      </c>
      <c r="R225" s="45"/>
      <c r="S225" s="45">
        <v>0</v>
      </c>
      <c r="T225" s="45"/>
      <c r="U225" s="45">
        <v>0</v>
      </c>
      <c r="V225" s="45"/>
      <c r="W225" s="45">
        <v>12500</v>
      </c>
      <c r="X225" s="45"/>
      <c r="Y225" s="45">
        <v>2450</v>
      </c>
      <c r="Z225" s="44"/>
      <c r="AA225" s="45">
        <v>0</v>
      </c>
      <c r="AB225" s="44"/>
      <c r="AC225" s="45">
        <f>SUM(E225:AA225)</f>
        <v>723573</v>
      </c>
      <c r="AD225" s="45"/>
      <c r="AE225" s="48">
        <v>0</v>
      </c>
      <c r="AF225" s="48"/>
      <c r="AG225" s="45">
        <v>90942</v>
      </c>
      <c r="AH225" s="45"/>
      <c r="AI225" s="45">
        <v>311466</v>
      </c>
      <c r="AJ225" s="45"/>
      <c r="AK225" s="45">
        <v>0</v>
      </c>
      <c r="AL225" s="45"/>
      <c r="AM225" s="45">
        <f>+'Gen rev'!U225-'Gen exp'!AC225-AG225+'Gen rev'!W225+AI225+AK225-'Gen Bal'!S225-'Gen exp'!AE225</f>
        <v>0</v>
      </c>
      <c r="AN225" s="45"/>
      <c r="AO225" s="45"/>
      <c r="AP225" s="45"/>
      <c r="AQ225" s="45"/>
      <c r="AR225" s="52"/>
      <c r="AS225" s="50"/>
    </row>
    <row r="226" spans="1:45" s="49" customFormat="1" ht="12.75" customHeight="1">
      <c r="A226" s="28" t="s">
        <v>255</v>
      </c>
      <c r="C226" s="28" t="s">
        <v>27</v>
      </c>
      <c r="E226" s="45">
        <v>1754841</v>
      </c>
      <c r="F226" s="45"/>
      <c r="G226" s="45">
        <v>7239223</v>
      </c>
      <c r="H226" s="45"/>
      <c r="I226" s="45">
        <v>777202</v>
      </c>
      <c r="J226" s="45"/>
      <c r="K226" s="45">
        <v>50926</v>
      </c>
      <c r="L226" s="45"/>
      <c r="M226" s="45">
        <v>439638</v>
      </c>
      <c r="N226" s="45"/>
      <c r="O226" s="45">
        <v>395212</v>
      </c>
      <c r="P226" s="45"/>
      <c r="Q226" s="45">
        <v>1037801</v>
      </c>
      <c r="R226" s="45"/>
      <c r="S226" s="45">
        <v>0</v>
      </c>
      <c r="T226" s="45"/>
      <c r="U226" s="45">
        <v>0</v>
      </c>
      <c r="V226" s="45"/>
      <c r="W226" s="45">
        <v>53140</v>
      </c>
      <c r="X226" s="45"/>
      <c r="Y226" s="45">
        <v>30479</v>
      </c>
      <c r="Z226" s="44"/>
      <c r="AA226" s="45">
        <v>0</v>
      </c>
      <c r="AB226" s="44"/>
      <c r="AC226" s="45">
        <f t="shared" si="6"/>
        <v>11778462</v>
      </c>
      <c r="AD226" s="45"/>
      <c r="AE226" s="48">
        <v>0</v>
      </c>
      <c r="AF226" s="48"/>
      <c r="AG226" s="45">
        <v>876727</v>
      </c>
      <c r="AH226" s="45"/>
      <c r="AI226" s="45">
        <v>278376</v>
      </c>
      <c r="AJ226" s="45"/>
      <c r="AK226" s="45">
        <v>-6884</v>
      </c>
      <c r="AL226" s="45"/>
      <c r="AM226" s="45">
        <f>+'Gen rev'!U226-'Gen exp'!AC226-AG226+'Gen rev'!W226+AI226+AK226-'Gen Bal'!S226-'Gen exp'!AE226</f>
        <v>0</v>
      </c>
      <c r="AN226" s="35"/>
      <c r="AO226" s="35"/>
      <c r="AP226" s="35"/>
      <c r="AQ226" s="35"/>
      <c r="AR226" s="50"/>
      <c r="AS226" s="50"/>
    </row>
    <row r="227" spans="1:45" s="44" customFormat="1" ht="12.75" customHeight="1">
      <c r="A227" s="35" t="s">
        <v>256</v>
      </c>
      <c r="C227" s="35" t="s">
        <v>43</v>
      </c>
      <c r="E227" s="45">
        <v>8330316</v>
      </c>
      <c r="F227" s="45"/>
      <c r="G227" s="45">
        <v>15162557</v>
      </c>
      <c r="H227" s="45"/>
      <c r="I227" s="45">
        <v>968152</v>
      </c>
      <c r="J227" s="45"/>
      <c r="K227" s="45">
        <v>0</v>
      </c>
      <c r="L227" s="45"/>
      <c r="M227" s="45">
        <v>0</v>
      </c>
      <c r="N227" s="45"/>
      <c r="O227" s="45">
        <v>2852267</v>
      </c>
      <c r="P227" s="45"/>
      <c r="Q227" s="45">
        <v>1231200</v>
      </c>
      <c r="R227" s="45"/>
      <c r="S227" s="45">
        <v>1215746</v>
      </c>
      <c r="T227" s="45"/>
      <c r="U227" s="45">
        <v>0</v>
      </c>
      <c r="V227" s="45"/>
      <c r="W227" s="45">
        <v>102372</v>
      </c>
      <c r="X227" s="45"/>
      <c r="Y227" s="45">
        <v>5022</v>
      </c>
      <c r="AA227" s="45">
        <v>0</v>
      </c>
      <c r="AC227" s="45">
        <f>SUM(E227:AA227)</f>
        <v>29867632</v>
      </c>
      <c r="AD227" s="45"/>
      <c r="AE227" s="48">
        <v>0</v>
      </c>
      <c r="AF227" s="48"/>
      <c r="AG227" s="45">
        <v>3395661</v>
      </c>
      <c r="AH227" s="45"/>
      <c r="AI227" s="45">
        <v>28431896</v>
      </c>
      <c r="AJ227" s="45"/>
      <c r="AK227" s="45">
        <v>0</v>
      </c>
      <c r="AL227" s="45"/>
      <c r="AM227" s="45">
        <f>+'Gen rev'!U227-'Gen exp'!AC227-AG227+'Gen rev'!W227+AI227+AK227-'Gen Bal'!S227-'Gen exp'!AE227</f>
        <v>0</v>
      </c>
    </row>
    <row r="228" spans="1:45" s="49" customFormat="1" ht="12.75" customHeight="1">
      <c r="A228" s="28" t="s">
        <v>257</v>
      </c>
      <c r="C228" s="28" t="s">
        <v>258</v>
      </c>
      <c r="E228" s="45">
        <f>692549+612890</f>
        <v>1305439</v>
      </c>
      <c r="F228" s="45"/>
      <c r="G228" s="45">
        <v>1669211</v>
      </c>
      <c r="H228" s="45"/>
      <c r="I228" s="45">
        <v>59963</v>
      </c>
      <c r="J228" s="45"/>
      <c r="K228" s="45">
        <v>42899</v>
      </c>
      <c r="L228" s="45"/>
      <c r="M228" s="45">
        <v>0</v>
      </c>
      <c r="N228" s="45"/>
      <c r="O228" s="45">
        <v>0</v>
      </c>
      <c r="P228" s="45"/>
      <c r="Q228" s="45">
        <v>0</v>
      </c>
      <c r="R228" s="45"/>
      <c r="S228" s="45">
        <v>0</v>
      </c>
      <c r="T228" s="45"/>
      <c r="U228" s="45">
        <v>0</v>
      </c>
      <c r="V228" s="45"/>
      <c r="W228" s="45">
        <v>36664</v>
      </c>
      <c r="X228" s="45"/>
      <c r="Y228" s="45">
        <v>1683</v>
      </c>
      <c r="Z228" s="44"/>
      <c r="AA228" s="45">
        <v>0</v>
      </c>
      <c r="AB228" s="44"/>
      <c r="AC228" s="45">
        <f>SUM(E228:AA228)</f>
        <v>3115859</v>
      </c>
      <c r="AD228" s="45"/>
      <c r="AE228" s="48">
        <v>0</v>
      </c>
      <c r="AF228" s="48"/>
      <c r="AG228" s="45">
        <v>1103299</v>
      </c>
      <c r="AH228" s="45"/>
      <c r="AI228" s="45">
        <v>552222</v>
      </c>
      <c r="AJ228" s="45"/>
      <c r="AK228" s="45">
        <v>-1395</v>
      </c>
      <c r="AL228" s="45"/>
      <c r="AM228" s="45">
        <f>+'Gen rev'!U228-'Gen exp'!AC228-AG228+'Gen rev'!W228+AI228+AK228-'Gen Bal'!S228-'Gen exp'!AE228</f>
        <v>0</v>
      </c>
      <c r="AN228" s="44"/>
      <c r="AO228" s="44"/>
      <c r="AP228" s="44"/>
      <c r="AQ228" s="44"/>
    </row>
    <row r="229" spans="1:45" s="49" customFormat="1" ht="12.75" customHeight="1">
      <c r="A229" s="28" t="s">
        <v>259</v>
      </c>
      <c r="C229" s="28" t="s">
        <v>260</v>
      </c>
      <c r="E229" s="45">
        <v>1687361</v>
      </c>
      <c r="F229" s="45"/>
      <c r="G229" s="45">
        <v>3605901</v>
      </c>
      <c r="H229" s="45"/>
      <c r="I229" s="45">
        <v>982</v>
      </c>
      <c r="J229" s="45"/>
      <c r="K229" s="45">
        <v>51698</v>
      </c>
      <c r="L229" s="45"/>
      <c r="M229" s="45">
        <v>12533</v>
      </c>
      <c r="N229" s="45"/>
      <c r="O229" s="45">
        <v>344490</v>
      </c>
      <c r="P229" s="45"/>
      <c r="Q229" s="45">
        <v>0</v>
      </c>
      <c r="R229" s="45"/>
      <c r="S229" s="45">
        <v>0</v>
      </c>
      <c r="T229" s="45"/>
      <c r="U229" s="45">
        <v>0</v>
      </c>
      <c r="V229" s="45"/>
      <c r="W229" s="45">
        <v>0</v>
      </c>
      <c r="X229" s="45"/>
      <c r="Y229" s="45">
        <v>0</v>
      </c>
      <c r="Z229" s="44"/>
      <c r="AA229" s="45">
        <v>0</v>
      </c>
      <c r="AB229" s="44"/>
      <c r="AC229" s="45">
        <f t="shared" si="6"/>
        <v>5702965</v>
      </c>
      <c r="AD229" s="45"/>
      <c r="AE229" s="48">
        <v>0</v>
      </c>
      <c r="AF229" s="48"/>
      <c r="AG229" s="45">
        <v>300000</v>
      </c>
      <c r="AH229" s="45"/>
      <c r="AI229" s="45">
        <v>1291912</v>
      </c>
      <c r="AJ229" s="45"/>
      <c r="AK229" s="45">
        <v>0</v>
      </c>
      <c r="AL229" s="45"/>
      <c r="AM229" s="45">
        <f>+'Gen rev'!U229-'Gen exp'!AC229-AG229+'Gen rev'!W229+AI229+AK229-'Gen Bal'!S229-'Gen exp'!AE229</f>
        <v>0</v>
      </c>
      <c r="AN229" s="44"/>
      <c r="AO229" s="44"/>
      <c r="AP229" s="44"/>
      <c r="AQ229" s="44"/>
    </row>
    <row r="230" spans="1:45" s="49" customFormat="1" ht="12.75" customHeight="1">
      <c r="A230" s="28" t="s">
        <v>261</v>
      </c>
      <c r="C230" s="28" t="s">
        <v>66</v>
      </c>
      <c r="E230" s="45">
        <f>3672142+2151768</f>
        <v>5823910</v>
      </c>
      <c r="F230" s="45"/>
      <c r="G230" s="45">
        <f>4047083+1750124</f>
        <v>5797207</v>
      </c>
      <c r="H230" s="45"/>
      <c r="I230" s="45">
        <v>0</v>
      </c>
      <c r="J230" s="45"/>
      <c r="K230" s="45">
        <v>0</v>
      </c>
      <c r="L230" s="45"/>
      <c r="M230" s="45">
        <v>0</v>
      </c>
      <c r="N230" s="45"/>
      <c r="O230" s="45">
        <v>3135340</v>
      </c>
      <c r="P230" s="45"/>
      <c r="Q230" s="45">
        <f>852803+595414+754679</f>
        <v>2202896</v>
      </c>
      <c r="R230" s="45"/>
      <c r="S230" s="45">
        <v>11565</v>
      </c>
      <c r="T230" s="45"/>
      <c r="U230" s="45">
        <v>0</v>
      </c>
      <c r="V230" s="45"/>
      <c r="W230" s="45">
        <v>0</v>
      </c>
      <c r="X230" s="45"/>
      <c r="Y230" s="45">
        <v>0</v>
      </c>
      <c r="Z230" s="44"/>
      <c r="AA230" s="45">
        <v>0</v>
      </c>
      <c r="AB230" s="44"/>
      <c r="AC230" s="45">
        <f t="shared" si="6"/>
        <v>16970918</v>
      </c>
      <c r="AD230" s="45"/>
      <c r="AE230" s="48">
        <v>0</v>
      </c>
      <c r="AF230" s="48"/>
      <c r="AG230" s="45">
        <v>4439244</v>
      </c>
      <c r="AH230" s="45"/>
      <c r="AI230" s="45">
        <v>20502652</v>
      </c>
      <c r="AJ230" s="45"/>
      <c r="AK230" s="45">
        <v>0</v>
      </c>
      <c r="AL230" s="45"/>
      <c r="AM230" s="45">
        <f>+'Gen rev'!U230-'Gen exp'!AC230-AG230+'Gen rev'!W230+AI230+AK230-'Gen Bal'!S230-'Gen exp'!AE230</f>
        <v>0</v>
      </c>
      <c r="AN230" s="44"/>
      <c r="AO230" s="44"/>
      <c r="AP230" s="44"/>
      <c r="AQ230" s="44"/>
    </row>
    <row r="231" spans="1:45" s="49" customFormat="1" ht="12.75" hidden="1" customHeight="1">
      <c r="A231" s="28" t="s">
        <v>262</v>
      </c>
      <c r="C231" s="28" t="s">
        <v>132</v>
      </c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4"/>
      <c r="AA231" s="45"/>
      <c r="AB231" s="44"/>
      <c r="AC231" s="45">
        <f t="shared" si="6"/>
        <v>0</v>
      </c>
      <c r="AD231" s="45"/>
      <c r="AE231" s="48">
        <v>0</v>
      </c>
      <c r="AF231" s="48"/>
      <c r="AG231" s="45"/>
      <c r="AH231" s="45"/>
      <c r="AI231" s="45"/>
      <c r="AJ231" s="45"/>
      <c r="AK231" s="45">
        <v>0</v>
      </c>
      <c r="AL231" s="45"/>
      <c r="AM231" s="45">
        <f>+'Gen rev'!U231-'Gen exp'!AC231-AG231+'Gen rev'!W231+AI231+AK231-'Gen Bal'!S231-'Gen exp'!AE231</f>
        <v>0</v>
      </c>
      <c r="AN231" s="44"/>
      <c r="AO231" s="44"/>
      <c r="AP231" s="44"/>
      <c r="AQ231" s="44"/>
    </row>
    <row r="232" spans="1:45" s="49" customFormat="1" ht="12.75" customHeight="1">
      <c r="A232" s="28" t="s">
        <v>263</v>
      </c>
      <c r="C232" s="28" t="s">
        <v>53</v>
      </c>
      <c r="E232" s="45">
        <v>3718296</v>
      </c>
      <c r="F232" s="45"/>
      <c r="G232" s="45">
        <v>3957650</v>
      </c>
      <c r="H232" s="45"/>
      <c r="I232" s="45">
        <v>225176</v>
      </c>
      <c r="J232" s="45"/>
      <c r="K232" s="45">
        <v>94804</v>
      </c>
      <c r="L232" s="45"/>
      <c r="M232" s="45">
        <v>0</v>
      </c>
      <c r="N232" s="45"/>
      <c r="O232" s="45">
        <v>809910</v>
      </c>
      <c r="P232" s="45"/>
      <c r="Q232" s="45">
        <v>0</v>
      </c>
      <c r="R232" s="45"/>
      <c r="S232" s="45">
        <v>0</v>
      </c>
      <c r="T232" s="45"/>
      <c r="U232" s="45">
        <v>5841</v>
      </c>
      <c r="V232" s="45"/>
      <c r="W232" s="45">
        <v>1987</v>
      </c>
      <c r="X232" s="45"/>
      <c r="Y232" s="45">
        <v>4251</v>
      </c>
      <c r="Z232" s="44"/>
      <c r="AA232" s="45">
        <v>0</v>
      </c>
      <c r="AB232" s="44"/>
      <c r="AC232" s="45">
        <f t="shared" si="6"/>
        <v>8817915</v>
      </c>
      <c r="AD232" s="45"/>
      <c r="AE232" s="48">
        <v>0</v>
      </c>
      <c r="AF232" s="48"/>
      <c r="AG232" s="45">
        <v>0</v>
      </c>
      <c r="AH232" s="45"/>
      <c r="AI232" s="45">
        <v>3770300</v>
      </c>
      <c r="AJ232" s="45"/>
      <c r="AK232" s="45">
        <v>0</v>
      </c>
      <c r="AL232" s="45"/>
      <c r="AM232" s="45">
        <f>+'Gen rev'!U232-'Gen exp'!AC232-AG232+'Gen rev'!W232+AI232+AK232-'Gen Bal'!S232-'Gen exp'!AE232</f>
        <v>0</v>
      </c>
      <c r="AN232" s="45"/>
      <c r="AO232" s="45"/>
      <c r="AP232" s="45"/>
      <c r="AQ232" s="45"/>
      <c r="AR232" s="52"/>
      <c r="AS232" s="50"/>
    </row>
    <row r="233" spans="1:45" s="46" customFormat="1" ht="12.75" customHeight="1">
      <c r="A233" s="28" t="s">
        <v>264</v>
      </c>
      <c r="B233" s="49"/>
      <c r="C233" s="28" t="s">
        <v>239</v>
      </c>
      <c r="D233" s="49"/>
      <c r="E233" s="45">
        <v>472094</v>
      </c>
      <c r="F233" s="45"/>
      <c r="G233" s="45">
        <f>1333749+1228768+27847</f>
        <v>2590364</v>
      </c>
      <c r="H233" s="45"/>
      <c r="I233" s="45">
        <v>85611</v>
      </c>
      <c r="J233" s="45"/>
      <c r="K233" s="45">
        <v>270897</v>
      </c>
      <c r="L233" s="45"/>
      <c r="M233" s="45">
        <v>0</v>
      </c>
      <c r="N233" s="45"/>
      <c r="O233" s="45">
        <v>0</v>
      </c>
      <c r="P233" s="45"/>
      <c r="Q233" s="45">
        <v>0</v>
      </c>
      <c r="R233" s="45"/>
      <c r="S233" s="45">
        <v>0</v>
      </c>
      <c r="T233" s="45"/>
      <c r="U233" s="45">
        <v>0</v>
      </c>
      <c r="V233" s="45"/>
      <c r="W233" s="45">
        <v>23049</v>
      </c>
      <c r="X233" s="45"/>
      <c r="Y233" s="45">
        <v>634</v>
      </c>
      <c r="Z233" s="44"/>
      <c r="AA233" s="45">
        <v>0</v>
      </c>
      <c r="AB233" s="44"/>
      <c r="AC233" s="45">
        <f t="shared" si="6"/>
        <v>3442649</v>
      </c>
      <c r="AD233" s="45"/>
      <c r="AE233" s="48">
        <v>0</v>
      </c>
      <c r="AF233" s="48"/>
      <c r="AG233" s="45">
        <v>1590000</v>
      </c>
      <c r="AH233" s="45"/>
      <c r="AI233" s="45">
        <v>3043316</v>
      </c>
      <c r="AJ233" s="45"/>
      <c r="AK233" s="45">
        <v>0</v>
      </c>
      <c r="AL233" s="45"/>
      <c r="AM233" s="45">
        <f>+'Gen rev'!U233-'Gen exp'!AC233-AG233+'Gen rev'!W233+AI233+AK233-'Gen Bal'!S233-'Gen exp'!AE233</f>
        <v>0</v>
      </c>
      <c r="AN233" s="94"/>
      <c r="AO233" s="94"/>
      <c r="AP233" s="94"/>
      <c r="AQ233" s="94"/>
      <c r="AR233" s="90"/>
      <c r="AS233" s="64"/>
    </row>
    <row r="234" spans="1:45" s="49" customFormat="1" ht="12.75" customHeight="1">
      <c r="A234" s="28" t="s">
        <v>111</v>
      </c>
      <c r="C234" s="28" t="s">
        <v>80</v>
      </c>
      <c r="E234" s="45">
        <v>7885238</v>
      </c>
      <c r="F234" s="45"/>
      <c r="G234" s="45">
        <v>17286495</v>
      </c>
      <c r="H234" s="45"/>
      <c r="I234" s="45">
        <v>1909315</v>
      </c>
      <c r="J234" s="45"/>
      <c r="K234" s="45">
        <v>1242486</v>
      </c>
      <c r="L234" s="45"/>
      <c r="M234" s="45">
        <v>0</v>
      </c>
      <c r="N234" s="45"/>
      <c r="O234" s="45">
        <v>656999</v>
      </c>
      <c r="P234" s="45"/>
      <c r="Q234" s="45">
        <v>0</v>
      </c>
      <c r="R234" s="45"/>
      <c r="S234" s="45">
        <v>0</v>
      </c>
      <c r="T234" s="45"/>
      <c r="U234" s="45">
        <v>0</v>
      </c>
      <c r="V234" s="45"/>
      <c r="W234" s="45">
        <v>55304</v>
      </c>
      <c r="X234" s="45"/>
      <c r="Y234" s="45">
        <v>16010</v>
      </c>
      <c r="Z234" s="44"/>
      <c r="AA234" s="45">
        <v>0</v>
      </c>
      <c r="AB234" s="44"/>
      <c r="AC234" s="45">
        <f t="shared" si="6"/>
        <v>29051847</v>
      </c>
      <c r="AD234" s="45"/>
      <c r="AE234" s="48">
        <v>0</v>
      </c>
      <c r="AF234" s="48"/>
      <c r="AG234" s="45">
        <v>1261700</v>
      </c>
      <c r="AH234" s="45"/>
      <c r="AI234" s="45">
        <v>4078846</v>
      </c>
      <c r="AJ234" s="45"/>
      <c r="AK234" s="45">
        <v>0</v>
      </c>
      <c r="AL234" s="45"/>
      <c r="AM234" s="45">
        <f>+'Gen rev'!U234-'Gen exp'!AC234-AG234+'Gen rev'!W234+AI234+AK234-'Gen Bal'!S234-'Gen exp'!AE234</f>
        <v>0</v>
      </c>
      <c r="AN234" s="45"/>
      <c r="AO234" s="45"/>
      <c r="AP234" s="45"/>
      <c r="AQ234" s="45"/>
      <c r="AR234" s="52"/>
      <c r="AS234" s="50"/>
    </row>
    <row r="235" spans="1:45" s="49" customFormat="1" ht="12.75" customHeight="1">
      <c r="A235" s="28" t="s">
        <v>265</v>
      </c>
      <c r="C235" s="28" t="s">
        <v>27</v>
      </c>
      <c r="E235" s="45">
        <v>2867786</v>
      </c>
      <c r="F235" s="45"/>
      <c r="G235" s="45">
        <f>5489456+3572682</f>
        <v>9062138</v>
      </c>
      <c r="H235" s="45"/>
      <c r="I235" s="45">
        <v>778083</v>
      </c>
      <c r="J235" s="45"/>
      <c r="K235" s="45">
        <v>54392</v>
      </c>
      <c r="L235" s="45"/>
      <c r="M235" s="45">
        <v>1005541</v>
      </c>
      <c r="N235" s="45"/>
      <c r="O235" s="45">
        <v>301870</v>
      </c>
      <c r="P235" s="45"/>
      <c r="Q235" s="45">
        <v>1677865</v>
      </c>
      <c r="R235" s="45"/>
      <c r="S235" s="45">
        <v>0</v>
      </c>
      <c r="T235" s="45"/>
      <c r="U235" s="45">
        <v>0</v>
      </c>
      <c r="V235" s="45"/>
      <c r="W235" s="45">
        <v>0</v>
      </c>
      <c r="X235" s="45"/>
      <c r="Y235" s="45">
        <v>3907</v>
      </c>
      <c r="Z235" s="44"/>
      <c r="AA235" s="45">
        <v>0</v>
      </c>
      <c r="AB235" s="44"/>
      <c r="AC235" s="45">
        <f t="shared" si="6"/>
        <v>15751582</v>
      </c>
      <c r="AD235" s="45"/>
      <c r="AE235" s="48">
        <v>0</v>
      </c>
      <c r="AF235" s="48"/>
      <c r="AG235" s="45">
        <v>0</v>
      </c>
      <c r="AH235" s="45"/>
      <c r="AI235" s="45">
        <v>699786</v>
      </c>
      <c r="AJ235" s="45"/>
      <c r="AK235" s="45">
        <v>0</v>
      </c>
      <c r="AL235" s="45"/>
      <c r="AM235" s="45">
        <f>+'Gen rev'!U235-'Gen exp'!AC235-AG235+'Gen rev'!W235+AI235+AK235-'Gen Bal'!S235-'Gen exp'!AE235</f>
        <v>0</v>
      </c>
      <c r="AN235" s="44"/>
      <c r="AO235" s="44"/>
      <c r="AP235" s="44"/>
      <c r="AQ235" s="44"/>
    </row>
    <row r="236" spans="1:45" s="49" customFormat="1" ht="12.75" customHeight="1">
      <c r="A236" s="28" t="s">
        <v>40</v>
      </c>
      <c r="C236" s="47" t="s">
        <v>451</v>
      </c>
      <c r="E236" s="45">
        <v>2825603</v>
      </c>
      <c r="F236" s="45"/>
      <c r="G236" s="45">
        <v>3691741</v>
      </c>
      <c r="H236" s="45"/>
      <c r="I236" s="45">
        <v>854993</v>
      </c>
      <c r="J236" s="45"/>
      <c r="K236" s="45">
        <v>33343</v>
      </c>
      <c r="L236" s="45"/>
      <c r="M236" s="45">
        <v>0</v>
      </c>
      <c r="N236" s="45"/>
      <c r="O236" s="45">
        <v>66154</v>
      </c>
      <c r="P236" s="45"/>
      <c r="Q236" s="45">
        <v>0</v>
      </c>
      <c r="R236" s="45"/>
      <c r="S236" s="45">
        <v>0</v>
      </c>
      <c r="T236" s="45"/>
      <c r="U236" s="45">
        <v>0</v>
      </c>
      <c r="V236" s="45"/>
      <c r="W236" s="45">
        <v>0</v>
      </c>
      <c r="X236" s="45"/>
      <c r="Y236" s="45">
        <v>0</v>
      </c>
      <c r="Z236" s="44"/>
      <c r="AA236" s="45">
        <v>0</v>
      </c>
      <c r="AB236" s="44"/>
      <c r="AC236" s="45">
        <f t="shared" si="6"/>
        <v>7471834</v>
      </c>
      <c r="AD236" s="45"/>
      <c r="AE236" s="48">
        <v>0</v>
      </c>
      <c r="AF236" s="48"/>
      <c r="AG236" s="45">
        <v>59305</v>
      </c>
      <c r="AH236" s="45"/>
      <c r="AI236" s="45">
        <v>1185630</v>
      </c>
      <c r="AJ236" s="45"/>
      <c r="AK236" s="45">
        <v>0</v>
      </c>
      <c r="AL236" s="45"/>
      <c r="AM236" s="45">
        <f>+'Gen rev'!U236-'Gen exp'!AC236-AG236+'Gen rev'!W236+AI236+AK236-'Gen Bal'!S236-'Gen exp'!AE236</f>
        <v>0</v>
      </c>
      <c r="AN236" s="44"/>
      <c r="AO236" s="44"/>
      <c r="AP236" s="44"/>
      <c r="AQ236" s="44"/>
    </row>
    <row r="237" spans="1:45" s="46" customFormat="1" ht="12.75" customHeight="1">
      <c r="A237" s="28" t="s">
        <v>266</v>
      </c>
      <c r="B237" s="49"/>
      <c r="C237" s="28" t="s">
        <v>267</v>
      </c>
      <c r="D237" s="49"/>
      <c r="E237" s="45">
        <v>730902</v>
      </c>
      <c r="F237" s="45"/>
      <c r="G237" s="45">
        <v>2238787</v>
      </c>
      <c r="H237" s="45"/>
      <c r="I237" s="45">
        <v>215279</v>
      </c>
      <c r="J237" s="45"/>
      <c r="K237" s="45">
        <v>0</v>
      </c>
      <c r="L237" s="45"/>
      <c r="M237" s="45">
        <v>323545</v>
      </c>
      <c r="N237" s="45"/>
      <c r="O237" s="45">
        <v>658821</v>
      </c>
      <c r="P237" s="45"/>
      <c r="Q237" s="45">
        <v>43916</v>
      </c>
      <c r="R237" s="45"/>
      <c r="S237" s="45">
        <v>42990</v>
      </c>
      <c r="T237" s="45"/>
      <c r="U237" s="45">
        <v>0</v>
      </c>
      <c r="V237" s="45"/>
      <c r="W237" s="45">
        <v>0</v>
      </c>
      <c r="X237" s="45"/>
      <c r="Y237" s="45">
        <v>0</v>
      </c>
      <c r="Z237" s="44"/>
      <c r="AA237" s="45">
        <v>0</v>
      </c>
      <c r="AB237" s="44"/>
      <c r="AC237" s="45">
        <f t="shared" si="6"/>
        <v>4254240</v>
      </c>
      <c r="AD237" s="45"/>
      <c r="AE237" s="48">
        <v>0</v>
      </c>
      <c r="AF237" s="48"/>
      <c r="AG237" s="45">
        <v>69789</v>
      </c>
      <c r="AH237" s="45"/>
      <c r="AI237" s="45">
        <v>1949515</v>
      </c>
      <c r="AJ237" s="45"/>
      <c r="AK237" s="45">
        <v>10284</v>
      </c>
      <c r="AL237" s="45"/>
      <c r="AM237" s="45">
        <f>+'Gen rev'!U237-'Gen exp'!AC237-AG237+'Gen rev'!W237+AI237+AK237-'Gen Bal'!S237-'Gen exp'!AE237</f>
        <v>0</v>
      </c>
      <c r="AN237" s="94"/>
      <c r="AO237" s="94"/>
      <c r="AP237" s="94"/>
      <c r="AQ237" s="94"/>
      <c r="AR237" s="90"/>
      <c r="AS237" s="64"/>
    </row>
    <row r="238" spans="1:45" s="49" customFormat="1" ht="12.75" customHeight="1">
      <c r="A238" s="28" t="s">
        <v>268</v>
      </c>
      <c r="C238" s="28" t="s">
        <v>269</v>
      </c>
      <c r="E238" s="45">
        <v>940104</v>
      </c>
      <c r="F238" s="45"/>
      <c r="G238" s="45">
        <v>77431</v>
      </c>
      <c r="H238" s="45"/>
      <c r="I238" s="45">
        <v>0</v>
      </c>
      <c r="J238" s="45"/>
      <c r="K238" s="45">
        <v>1470</v>
      </c>
      <c r="L238" s="45"/>
      <c r="M238" s="45">
        <v>82967</v>
      </c>
      <c r="N238" s="45"/>
      <c r="O238" s="45">
        <v>0</v>
      </c>
      <c r="P238" s="45"/>
      <c r="Q238" s="45">
        <v>0</v>
      </c>
      <c r="R238" s="45"/>
      <c r="S238" s="45">
        <v>50327</v>
      </c>
      <c r="T238" s="45"/>
      <c r="U238" s="45">
        <v>0</v>
      </c>
      <c r="V238" s="45"/>
      <c r="W238" s="45">
        <v>0</v>
      </c>
      <c r="X238" s="45"/>
      <c r="Y238" s="45">
        <v>0</v>
      </c>
      <c r="Z238" s="44"/>
      <c r="AA238" s="45">
        <v>0</v>
      </c>
      <c r="AB238" s="44"/>
      <c r="AC238" s="45">
        <f t="shared" si="6"/>
        <v>1152299</v>
      </c>
      <c r="AD238" s="45"/>
      <c r="AE238" s="48">
        <v>0</v>
      </c>
      <c r="AF238" s="48"/>
      <c r="AG238" s="45">
        <v>1103575</v>
      </c>
      <c r="AH238" s="45"/>
      <c r="AI238" s="45">
        <v>1087261</v>
      </c>
      <c r="AJ238" s="45"/>
      <c r="AK238" s="45">
        <v>0</v>
      </c>
      <c r="AL238" s="45"/>
      <c r="AM238" s="45">
        <f>+'Gen rev'!U238-'Gen exp'!AC238-AG238+'Gen rev'!W238+AI238+AK238-'Gen Bal'!S238-'Gen exp'!AE238</f>
        <v>0</v>
      </c>
      <c r="AN238" s="44"/>
      <c r="AO238" s="44"/>
      <c r="AP238" s="44"/>
      <c r="AQ238" s="44"/>
    </row>
    <row r="239" spans="1:45" s="49" customFormat="1" ht="12.75" hidden="1" customHeight="1">
      <c r="A239" s="28" t="s">
        <v>270</v>
      </c>
      <c r="C239" s="28" t="s">
        <v>136</v>
      </c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4"/>
      <c r="AA239" s="45"/>
      <c r="AB239" s="44"/>
      <c r="AC239" s="45">
        <f>SUM(E239:AA239)</f>
        <v>0</v>
      </c>
      <c r="AD239" s="45"/>
      <c r="AE239" s="48">
        <v>0</v>
      </c>
      <c r="AF239" s="48"/>
      <c r="AG239" s="45"/>
      <c r="AH239" s="45"/>
      <c r="AI239" s="45"/>
      <c r="AJ239" s="45"/>
      <c r="AK239" s="45">
        <v>0</v>
      </c>
      <c r="AL239" s="45"/>
      <c r="AM239" s="45">
        <f>+'Gen rev'!U239-'Gen exp'!AC239-AG239+'Gen rev'!W239+AI239+AK239-'Gen Bal'!S239-'Gen exp'!AE239</f>
        <v>0</v>
      </c>
      <c r="AN239" s="44"/>
      <c r="AO239" s="44"/>
      <c r="AP239" s="44"/>
      <c r="AQ239" s="44"/>
    </row>
    <row r="240" spans="1:45" s="46" customFormat="1" ht="12.75" customHeight="1">
      <c r="A240" s="28" t="s">
        <v>271</v>
      </c>
      <c r="B240" s="49"/>
      <c r="C240" s="28" t="s">
        <v>66</v>
      </c>
      <c r="D240" s="49"/>
      <c r="E240" s="45">
        <v>1251992</v>
      </c>
      <c r="F240" s="45"/>
      <c r="G240" s="45">
        <v>4346900</v>
      </c>
      <c r="H240" s="45"/>
      <c r="I240" s="45">
        <v>576474</v>
      </c>
      <c r="J240" s="45"/>
      <c r="K240" s="45">
        <v>0</v>
      </c>
      <c r="L240" s="45"/>
      <c r="M240" s="45">
        <v>0</v>
      </c>
      <c r="N240" s="45"/>
      <c r="O240" s="45">
        <v>724988</v>
      </c>
      <c r="P240" s="45"/>
      <c r="Q240" s="45">
        <v>0</v>
      </c>
      <c r="R240" s="45"/>
      <c r="S240" s="45">
        <v>0</v>
      </c>
      <c r="T240" s="45"/>
      <c r="U240" s="45">
        <v>0</v>
      </c>
      <c r="V240" s="45"/>
      <c r="W240" s="45">
        <v>0</v>
      </c>
      <c r="X240" s="45"/>
      <c r="Y240" s="45">
        <v>0</v>
      </c>
      <c r="Z240" s="44"/>
      <c r="AA240" s="45">
        <v>0</v>
      </c>
      <c r="AB240" s="44"/>
      <c r="AC240" s="45">
        <f t="shared" si="6"/>
        <v>6900354</v>
      </c>
      <c r="AD240" s="45"/>
      <c r="AE240" s="48">
        <v>0</v>
      </c>
      <c r="AF240" s="48"/>
      <c r="AG240" s="45">
        <v>796404</v>
      </c>
      <c r="AH240" s="45"/>
      <c r="AI240" s="45">
        <v>2071226</v>
      </c>
      <c r="AJ240" s="45"/>
      <c r="AK240" s="45">
        <v>0</v>
      </c>
      <c r="AL240" s="45"/>
      <c r="AM240" s="45">
        <f>+'Gen rev'!U240-'Gen exp'!AC240-AG240+'Gen rev'!W240+AI240+AK240-'Gen Bal'!S240-'Gen exp'!AE240</f>
        <v>0</v>
      </c>
    </row>
    <row r="241" spans="1:45" s="49" customFormat="1" ht="12.75" customHeight="1">
      <c r="A241" s="28" t="s">
        <v>272</v>
      </c>
      <c r="C241" s="28" t="s">
        <v>43</v>
      </c>
      <c r="E241" s="45">
        <v>8799628</v>
      </c>
      <c r="F241" s="45"/>
      <c r="G241" s="45">
        <v>11854399</v>
      </c>
      <c r="H241" s="45"/>
      <c r="I241" s="45">
        <v>2421397</v>
      </c>
      <c r="J241" s="45"/>
      <c r="K241" s="45">
        <v>53589</v>
      </c>
      <c r="L241" s="45"/>
      <c r="M241" s="45">
        <v>0</v>
      </c>
      <c r="N241" s="45"/>
      <c r="O241" s="45">
        <v>0</v>
      </c>
      <c r="P241" s="45"/>
      <c r="Q241" s="45">
        <v>571237</v>
      </c>
      <c r="R241" s="45"/>
      <c r="S241" s="45">
        <v>0</v>
      </c>
      <c r="T241" s="45"/>
      <c r="U241" s="45">
        <v>0</v>
      </c>
      <c r="V241" s="45"/>
      <c r="W241" s="45">
        <v>586</v>
      </c>
      <c r="X241" s="45"/>
      <c r="Y241" s="45">
        <v>906</v>
      </c>
      <c r="Z241" s="44"/>
      <c r="AA241" s="45">
        <v>0</v>
      </c>
      <c r="AB241" s="44"/>
      <c r="AC241" s="45">
        <f t="shared" si="6"/>
        <v>23701742</v>
      </c>
      <c r="AD241" s="45"/>
      <c r="AE241" s="48">
        <v>0</v>
      </c>
      <c r="AF241" s="48"/>
      <c r="AG241" s="45">
        <v>8261684</v>
      </c>
      <c r="AH241" s="45"/>
      <c r="AI241" s="45">
        <v>27509191</v>
      </c>
      <c r="AJ241" s="45"/>
      <c r="AK241" s="45">
        <v>0</v>
      </c>
      <c r="AL241" s="45"/>
      <c r="AM241" s="45">
        <f>+'Gen rev'!U241-'Gen exp'!AC241-AG241+'Gen rev'!W241+AI241+AK241-'Gen Bal'!S241-'Gen exp'!AE241</f>
        <v>0</v>
      </c>
      <c r="AN241" s="45"/>
      <c r="AO241" s="45"/>
      <c r="AP241" s="45"/>
      <c r="AQ241" s="45"/>
      <c r="AR241" s="52"/>
      <c r="AS241" s="50"/>
    </row>
    <row r="242" spans="1:45" s="49" customFormat="1" ht="12.75" customHeight="1">
      <c r="A242" s="28" t="s">
        <v>273</v>
      </c>
      <c r="C242" s="28" t="s">
        <v>27</v>
      </c>
      <c r="E242" s="45">
        <v>21950435</v>
      </c>
      <c r="F242" s="45"/>
      <c r="G242" s="45">
        <v>9847302</v>
      </c>
      <c r="H242" s="45"/>
      <c r="I242" s="45">
        <v>1355689</v>
      </c>
      <c r="J242" s="45"/>
      <c r="K242" s="45">
        <v>669519</v>
      </c>
      <c r="L242" s="45"/>
      <c r="M242" s="45">
        <v>4993466</v>
      </c>
      <c r="N242" s="45"/>
      <c r="O242" s="45">
        <v>701057</v>
      </c>
      <c r="P242" s="45"/>
      <c r="Q242" s="45">
        <v>681075</v>
      </c>
      <c r="R242" s="45"/>
      <c r="S242" s="45">
        <v>1268232</v>
      </c>
      <c r="T242" s="45"/>
      <c r="U242" s="45">
        <v>0</v>
      </c>
      <c r="V242" s="45"/>
      <c r="W242" s="45">
        <v>0</v>
      </c>
      <c r="X242" s="45"/>
      <c r="Y242" s="45">
        <v>0</v>
      </c>
      <c r="Z242" s="44"/>
      <c r="AA242" s="45">
        <v>0</v>
      </c>
      <c r="AB242" s="44"/>
      <c r="AC242" s="45">
        <f t="shared" si="6"/>
        <v>41466775</v>
      </c>
      <c r="AD242" s="45"/>
      <c r="AE242" s="48">
        <v>0</v>
      </c>
      <c r="AF242" s="48"/>
      <c r="AG242" s="45">
        <v>1320471</v>
      </c>
      <c r="AH242" s="45"/>
      <c r="AI242" s="45">
        <v>31434209</v>
      </c>
      <c r="AJ242" s="45"/>
      <c r="AK242" s="45">
        <v>0</v>
      </c>
      <c r="AL242" s="45"/>
      <c r="AM242" s="45">
        <f>+'Gen rev'!U242-'Gen exp'!AC242-AG242+'Gen rev'!W242+AI242+AK242-'Gen Bal'!S242-'Gen exp'!AE242</f>
        <v>0</v>
      </c>
      <c r="AN242" s="45"/>
      <c r="AO242" s="45"/>
      <c r="AP242" s="45"/>
      <c r="AQ242" s="45"/>
      <c r="AR242" s="52"/>
      <c r="AS242" s="50"/>
    </row>
    <row r="243" spans="1:45" s="49" customFormat="1" ht="12.75" customHeight="1">
      <c r="A243" s="28" t="s">
        <v>274</v>
      </c>
      <c r="C243" s="28" t="s">
        <v>43</v>
      </c>
      <c r="E243" s="45">
        <v>5005230</v>
      </c>
      <c r="F243" s="45"/>
      <c r="G243" s="45">
        <v>9909240</v>
      </c>
      <c r="H243" s="45"/>
      <c r="I243" s="45">
        <v>17819</v>
      </c>
      <c r="J243" s="45"/>
      <c r="K243" s="45">
        <v>102010</v>
      </c>
      <c r="L243" s="45"/>
      <c r="M243" s="45">
        <v>446737</v>
      </c>
      <c r="N243" s="45"/>
      <c r="O243" s="45">
        <v>594411</v>
      </c>
      <c r="P243" s="45"/>
      <c r="Q243" s="45">
        <v>849300</v>
      </c>
      <c r="R243" s="45"/>
      <c r="S243" s="45">
        <v>392413</v>
      </c>
      <c r="T243" s="45"/>
      <c r="U243" s="45">
        <v>0</v>
      </c>
      <c r="V243" s="45"/>
      <c r="W243" s="45">
        <v>7875</v>
      </c>
      <c r="X243" s="45"/>
      <c r="Y243" s="45">
        <v>445</v>
      </c>
      <c r="Z243" s="44"/>
      <c r="AA243" s="45">
        <v>0</v>
      </c>
      <c r="AB243" s="44"/>
      <c r="AC243" s="45">
        <f t="shared" si="6"/>
        <v>17325480</v>
      </c>
      <c r="AD243" s="45"/>
      <c r="AE243" s="48">
        <v>0</v>
      </c>
      <c r="AF243" s="48"/>
      <c r="AG243" s="45">
        <v>1099744</v>
      </c>
      <c r="AH243" s="45"/>
      <c r="AI243" s="45">
        <v>5215512</v>
      </c>
      <c r="AJ243" s="45"/>
      <c r="AK243" s="45">
        <v>0</v>
      </c>
      <c r="AL243" s="45"/>
      <c r="AM243" s="45">
        <f>+'Gen rev'!U243-'Gen exp'!AC243-AG243+'Gen rev'!W243+AI243+AK243-'Gen Bal'!S243-'Gen exp'!AE243</f>
        <v>0</v>
      </c>
      <c r="AN243" s="44"/>
      <c r="AO243" s="44"/>
      <c r="AP243" s="44"/>
      <c r="AQ243" s="44"/>
    </row>
    <row r="244" spans="1:45" s="49" customFormat="1" ht="12.75" customHeight="1">
      <c r="A244" s="28" t="s">
        <v>275</v>
      </c>
      <c r="C244" s="28" t="s">
        <v>92</v>
      </c>
      <c r="E244" s="45">
        <v>4135548</v>
      </c>
      <c r="F244" s="45"/>
      <c r="G244" s="45">
        <v>6077806</v>
      </c>
      <c r="H244" s="45"/>
      <c r="I244" s="45">
        <v>197167</v>
      </c>
      <c r="J244" s="45"/>
      <c r="K244" s="45">
        <v>13643</v>
      </c>
      <c r="L244" s="45"/>
      <c r="M244" s="45">
        <v>1338011</v>
      </c>
      <c r="N244" s="45"/>
      <c r="O244" s="45">
        <v>236234</v>
      </c>
      <c r="P244" s="45"/>
      <c r="Q244" s="45">
        <v>886152</v>
      </c>
      <c r="R244" s="45"/>
      <c r="S244" s="45">
        <v>0</v>
      </c>
      <c r="T244" s="45"/>
      <c r="U244" s="45">
        <v>0</v>
      </c>
      <c r="V244" s="45"/>
      <c r="W244" s="45">
        <v>0</v>
      </c>
      <c r="X244" s="45"/>
      <c r="Y244" s="45">
        <v>0</v>
      </c>
      <c r="Z244" s="44"/>
      <c r="AA244" s="45">
        <v>0</v>
      </c>
      <c r="AB244" s="44"/>
      <c r="AC244" s="45">
        <f t="shared" si="6"/>
        <v>12884561</v>
      </c>
      <c r="AD244" s="45"/>
      <c r="AE244" s="48">
        <v>0</v>
      </c>
      <c r="AF244" s="48"/>
      <c r="AG244" s="45">
        <v>404100</v>
      </c>
      <c r="AH244" s="45"/>
      <c r="AI244" s="45">
        <v>6733809</v>
      </c>
      <c r="AJ244" s="45"/>
      <c r="AK244" s="45">
        <v>377</v>
      </c>
      <c r="AL244" s="45"/>
      <c r="AM244" s="45">
        <f>+'Gen rev'!U244-'Gen exp'!AC244-AG244+'Gen rev'!W244+AI244+AK244-'Gen Bal'!S244-'Gen exp'!AE244</f>
        <v>0</v>
      </c>
      <c r="AN244" s="44"/>
      <c r="AO244" s="44"/>
      <c r="AP244" s="44"/>
      <c r="AQ244" s="44"/>
    </row>
    <row r="245" spans="1:45" s="49" customFormat="1" ht="12.75" customHeight="1">
      <c r="A245" s="28" t="s">
        <v>276</v>
      </c>
      <c r="C245" s="28" t="s">
        <v>38</v>
      </c>
      <c r="E245" s="45">
        <v>475191</v>
      </c>
      <c r="F245" s="45"/>
      <c r="G245" s="45">
        <v>2226174</v>
      </c>
      <c r="H245" s="45"/>
      <c r="I245" s="45">
        <v>180863</v>
      </c>
      <c r="J245" s="45"/>
      <c r="K245" s="45">
        <v>40209</v>
      </c>
      <c r="L245" s="45"/>
      <c r="M245" s="45">
        <v>229878</v>
      </c>
      <c r="N245" s="45"/>
      <c r="O245" s="45">
        <v>0</v>
      </c>
      <c r="P245" s="45"/>
      <c r="Q245" s="45">
        <v>0</v>
      </c>
      <c r="R245" s="45"/>
      <c r="S245" s="45">
        <v>0</v>
      </c>
      <c r="T245" s="45"/>
      <c r="U245" s="45">
        <v>0</v>
      </c>
      <c r="V245" s="45"/>
      <c r="W245" s="45">
        <v>0</v>
      </c>
      <c r="X245" s="45"/>
      <c r="Y245" s="45">
        <v>0</v>
      </c>
      <c r="Z245" s="44"/>
      <c r="AA245" s="45">
        <v>0</v>
      </c>
      <c r="AB245" s="44"/>
      <c r="AC245" s="45">
        <f t="shared" si="6"/>
        <v>3152315</v>
      </c>
      <c r="AD245" s="45"/>
      <c r="AE245" s="48">
        <v>0</v>
      </c>
      <c r="AF245" s="48"/>
      <c r="AG245" s="45">
        <v>12000</v>
      </c>
      <c r="AH245" s="45"/>
      <c r="AI245" s="45">
        <v>1751581</v>
      </c>
      <c r="AJ245" s="45"/>
      <c r="AK245" s="45">
        <v>0</v>
      </c>
      <c r="AL245" s="45"/>
      <c r="AM245" s="45">
        <f>+'Gen rev'!U245-'Gen exp'!AC245-AG245+'Gen rev'!W245+AI245+AK245-'Gen Bal'!S245-'Gen exp'!AE245</f>
        <v>0</v>
      </c>
      <c r="AN245" s="45"/>
      <c r="AO245" s="45"/>
      <c r="AP245" s="45"/>
      <c r="AQ245" s="45"/>
      <c r="AR245" s="52"/>
      <c r="AS245" s="50"/>
    </row>
    <row r="246" spans="1:45" s="49" customFormat="1" ht="12.75" customHeight="1">
      <c r="A246" s="28" t="s">
        <v>277</v>
      </c>
      <c r="C246" s="28" t="s">
        <v>92</v>
      </c>
      <c r="E246" s="45">
        <v>6862162</v>
      </c>
      <c r="F246" s="45"/>
      <c r="G246" s="45">
        <v>10836956</v>
      </c>
      <c r="H246" s="45"/>
      <c r="I246" s="45">
        <v>926505</v>
      </c>
      <c r="J246" s="45"/>
      <c r="K246" s="45">
        <v>466208</v>
      </c>
      <c r="L246" s="45"/>
      <c r="M246" s="45">
        <v>0</v>
      </c>
      <c r="N246" s="45"/>
      <c r="O246" s="45">
        <v>966305</v>
      </c>
      <c r="P246" s="45"/>
      <c r="Q246" s="45">
        <v>1229993</v>
      </c>
      <c r="R246" s="45"/>
      <c r="S246" s="45">
        <v>11898</v>
      </c>
      <c r="T246" s="45"/>
      <c r="U246" s="45">
        <v>0</v>
      </c>
      <c r="V246" s="45"/>
      <c r="W246" s="45">
        <v>0</v>
      </c>
      <c r="X246" s="45"/>
      <c r="Y246" s="45">
        <v>0</v>
      </c>
      <c r="Z246" s="44"/>
      <c r="AA246" s="45">
        <v>0</v>
      </c>
      <c r="AB246" s="44"/>
      <c r="AC246" s="45">
        <f t="shared" si="6"/>
        <v>21300027</v>
      </c>
      <c r="AD246" s="45"/>
      <c r="AE246" s="48">
        <v>0</v>
      </c>
      <c r="AF246" s="48"/>
      <c r="AG246" s="45">
        <v>2621927</v>
      </c>
      <c r="AH246" s="45"/>
      <c r="AI246" s="45">
        <v>10983332</v>
      </c>
      <c r="AJ246" s="45"/>
      <c r="AK246" s="45">
        <v>14286</v>
      </c>
      <c r="AL246" s="45"/>
      <c r="AM246" s="45">
        <f>+'Gen rev'!U246-'Gen exp'!AC246-AG246+'Gen rev'!W246+AI246+AK246-'Gen Bal'!S246-'Gen exp'!AE246</f>
        <v>0</v>
      </c>
      <c r="AN246" s="44"/>
      <c r="AO246" s="44"/>
      <c r="AP246" s="44"/>
      <c r="AQ246" s="44"/>
    </row>
    <row r="247" spans="1:45" s="49" customFormat="1" ht="12.75" customHeight="1">
      <c r="A247" s="28" t="s">
        <v>278</v>
      </c>
      <c r="C247" s="28" t="s">
        <v>92</v>
      </c>
      <c r="E247" s="45">
        <v>1500491</v>
      </c>
      <c r="F247" s="45"/>
      <c r="G247" s="45">
        <f>2749944+1264444</f>
        <v>4014388</v>
      </c>
      <c r="H247" s="45"/>
      <c r="I247" s="45">
        <v>127018</v>
      </c>
      <c r="J247" s="45"/>
      <c r="K247" s="45">
        <v>0</v>
      </c>
      <c r="L247" s="45"/>
      <c r="M247" s="45">
        <v>0</v>
      </c>
      <c r="N247" s="45"/>
      <c r="O247" s="45">
        <v>130580</v>
      </c>
      <c r="P247" s="45"/>
      <c r="Q247" s="45">
        <v>0</v>
      </c>
      <c r="R247" s="45"/>
      <c r="S247" s="45">
        <v>14864</v>
      </c>
      <c r="T247" s="45"/>
      <c r="U247" s="45">
        <v>0</v>
      </c>
      <c r="V247" s="45"/>
      <c r="W247" s="45">
        <v>0</v>
      </c>
      <c r="X247" s="45"/>
      <c r="Y247" s="45">
        <v>0</v>
      </c>
      <c r="Z247" s="44"/>
      <c r="AA247" s="45">
        <v>0</v>
      </c>
      <c r="AB247" s="44"/>
      <c r="AC247" s="45">
        <f t="shared" si="6"/>
        <v>5787341</v>
      </c>
      <c r="AD247" s="45"/>
      <c r="AE247" s="48">
        <v>0</v>
      </c>
      <c r="AF247" s="48"/>
      <c r="AG247" s="45">
        <v>437974</v>
      </c>
      <c r="AH247" s="45"/>
      <c r="AI247" s="45">
        <v>121323</v>
      </c>
      <c r="AJ247" s="45"/>
      <c r="AK247" s="45">
        <v>0</v>
      </c>
      <c r="AL247" s="45"/>
      <c r="AM247" s="45">
        <f>+'Gen rev'!U247-'Gen exp'!AC247-AG247+'Gen rev'!W247+AI247+AK247-'Gen Bal'!S247-'Gen exp'!AE247</f>
        <v>0</v>
      </c>
      <c r="AN247" s="44"/>
      <c r="AO247" s="44"/>
      <c r="AP247" s="44"/>
      <c r="AQ247" s="44"/>
    </row>
    <row r="248" spans="1:45" s="49" customFormat="1" ht="12.75" customHeight="1">
      <c r="A248" s="28" t="s">
        <v>279</v>
      </c>
      <c r="C248" s="28" t="s">
        <v>92</v>
      </c>
      <c r="E248" s="45">
        <v>1702059</v>
      </c>
      <c r="F248" s="45"/>
      <c r="G248" s="45">
        <v>3960541</v>
      </c>
      <c r="H248" s="45"/>
      <c r="I248" s="45">
        <v>324305</v>
      </c>
      <c r="J248" s="45"/>
      <c r="K248" s="45">
        <v>117568</v>
      </c>
      <c r="L248" s="45"/>
      <c r="M248" s="45">
        <v>249093</v>
      </c>
      <c r="N248" s="45"/>
      <c r="O248" s="45">
        <v>958170</v>
      </c>
      <c r="P248" s="45"/>
      <c r="Q248" s="45">
        <v>754299</v>
      </c>
      <c r="R248" s="45"/>
      <c r="S248" s="45">
        <v>0</v>
      </c>
      <c r="T248" s="45"/>
      <c r="U248" s="45">
        <v>0</v>
      </c>
      <c r="V248" s="45"/>
      <c r="W248" s="45">
        <v>0</v>
      </c>
      <c r="X248" s="45"/>
      <c r="Y248" s="45">
        <v>0</v>
      </c>
      <c r="Z248" s="44"/>
      <c r="AA248" s="45">
        <v>0</v>
      </c>
      <c r="AB248" s="44"/>
      <c r="AC248" s="45">
        <f t="shared" si="6"/>
        <v>8066035</v>
      </c>
      <c r="AD248" s="45"/>
      <c r="AE248" s="48">
        <v>0</v>
      </c>
      <c r="AF248" s="48"/>
      <c r="AG248" s="45">
        <v>540000</v>
      </c>
      <c r="AH248" s="45"/>
      <c r="AI248" s="45">
        <v>1846237</v>
      </c>
      <c r="AJ248" s="45"/>
      <c r="AK248" s="45">
        <v>0</v>
      </c>
      <c r="AL248" s="45"/>
      <c r="AM248" s="45">
        <f>+'Gen rev'!U248-'Gen exp'!AC248-AG248+'Gen rev'!W248+AI248+AK248-'Gen Bal'!S248-'Gen exp'!AE248</f>
        <v>0</v>
      </c>
      <c r="AN248" s="44"/>
      <c r="AO248" s="44"/>
      <c r="AP248" s="44"/>
      <c r="AQ248" s="44"/>
    </row>
    <row r="249" spans="1:45" s="49" customFormat="1" ht="12.75" customHeight="1">
      <c r="A249" s="28" t="s">
        <v>280</v>
      </c>
      <c r="C249" s="28" t="s">
        <v>281</v>
      </c>
      <c r="E249" s="45">
        <v>4482420</v>
      </c>
      <c r="F249" s="45"/>
      <c r="G249" s="45">
        <v>-6166</v>
      </c>
      <c r="H249" s="45"/>
      <c r="I249" s="45">
        <v>0</v>
      </c>
      <c r="J249" s="45"/>
      <c r="K249" s="45">
        <v>0</v>
      </c>
      <c r="L249" s="45"/>
      <c r="M249" s="45">
        <v>0</v>
      </c>
      <c r="N249" s="45"/>
      <c r="O249" s="45">
        <v>0</v>
      </c>
      <c r="P249" s="45"/>
      <c r="Q249" s="45">
        <v>0</v>
      </c>
      <c r="R249" s="45"/>
      <c r="S249" s="45">
        <v>50495</v>
      </c>
      <c r="T249" s="45"/>
      <c r="U249" s="45">
        <v>0</v>
      </c>
      <c r="V249" s="45"/>
      <c r="W249" s="45">
        <v>0</v>
      </c>
      <c r="X249" s="45"/>
      <c r="Y249" s="45">
        <v>0</v>
      </c>
      <c r="Z249" s="44"/>
      <c r="AA249" s="45">
        <v>0</v>
      </c>
      <c r="AB249" s="44"/>
      <c r="AC249" s="45">
        <f t="shared" si="6"/>
        <v>4526749</v>
      </c>
      <c r="AD249" s="45"/>
      <c r="AE249" s="48">
        <v>0</v>
      </c>
      <c r="AF249" s="48"/>
      <c r="AG249" s="45">
        <v>5186556</v>
      </c>
      <c r="AH249" s="45"/>
      <c r="AI249" s="45">
        <v>2696723</v>
      </c>
      <c r="AJ249" s="45"/>
      <c r="AK249" s="45">
        <v>0</v>
      </c>
      <c r="AL249" s="45"/>
      <c r="AM249" s="45">
        <f>+'Gen rev'!U249-'Gen exp'!AC249-AG249+'Gen rev'!W249+AI249+AK249-'Gen Bal'!S249-'Gen exp'!AE249</f>
        <v>0</v>
      </c>
      <c r="AN249" s="44"/>
      <c r="AO249" s="44"/>
      <c r="AP249" s="44"/>
      <c r="AQ249" s="44"/>
    </row>
    <row r="250" spans="1:45" s="49" customFormat="1" ht="12.75" customHeight="1">
      <c r="A250" s="28" t="s">
        <v>282</v>
      </c>
      <c r="C250" s="28" t="s">
        <v>199</v>
      </c>
      <c r="E250" s="45">
        <v>3524050</v>
      </c>
      <c r="F250" s="45"/>
      <c r="G250" s="45">
        <v>9637052</v>
      </c>
      <c r="H250" s="45"/>
      <c r="I250" s="45">
        <v>889766</v>
      </c>
      <c r="J250" s="45"/>
      <c r="K250" s="45">
        <v>148865</v>
      </c>
      <c r="L250" s="45"/>
      <c r="M250" s="45">
        <v>1283459</v>
      </c>
      <c r="N250" s="45"/>
      <c r="O250" s="45">
        <v>2006716</v>
      </c>
      <c r="P250" s="45"/>
      <c r="Q250" s="45">
        <v>0</v>
      </c>
      <c r="R250" s="45"/>
      <c r="S250" s="45">
        <v>0</v>
      </c>
      <c r="T250" s="45"/>
      <c r="U250" s="45">
        <v>0</v>
      </c>
      <c r="V250" s="45"/>
      <c r="W250" s="45">
        <v>173621</v>
      </c>
      <c r="X250" s="45"/>
      <c r="Y250" s="45">
        <v>54543</v>
      </c>
      <c r="Z250" s="44"/>
      <c r="AA250" s="45">
        <v>0</v>
      </c>
      <c r="AB250" s="44"/>
      <c r="AC250" s="45">
        <f t="shared" si="6"/>
        <v>17718072</v>
      </c>
      <c r="AD250" s="45"/>
      <c r="AE250" s="48">
        <v>0</v>
      </c>
      <c r="AF250" s="48"/>
      <c r="AG250" s="45">
        <v>1797400</v>
      </c>
      <c r="AH250" s="45"/>
      <c r="AI250" s="45">
        <v>13991489</v>
      </c>
      <c r="AJ250" s="45"/>
      <c r="AK250" s="45">
        <v>0</v>
      </c>
      <c r="AL250" s="45"/>
      <c r="AM250" s="45">
        <f>+'Gen rev'!U250-'Gen exp'!AC250-AG250+'Gen rev'!W250+AI250+AK250-'Gen Bal'!S250-'Gen exp'!AE250</f>
        <v>0</v>
      </c>
      <c r="AN250" s="45"/>
      <c r="AO250" s="45"/>
      <c r="AP250" s="45"/>
      <c r="AQ250" s="45"/>
      <c r="AR250" s="52"/>
      <c r="AS250" s="50"/>
    </row>
    <row r="251" spans="1:45" s="49" customFormat="1" ht="12.75" customHeight="1">
      <c r="A251" s="28" t="s">
        <v>283</v>
      </c>
      <c r="C251" s="28" t="s">
        <v>43</v>
      </c>
      <c r="E251" s="45">
        <v>4725366</v>
      </c>
      <c r="F251" s="45"/>
      <c r="G251" s="45">
        <v>9099525</v>
      </c>
      <c r="H251" s="45"/>
      <c r="I251" s="45">
        <v>578978</v>
      </c>
      <c r="J251" s="45"/>
      <c r="K251" s="45">
        <v>37381</v>
      </c>
      <c r="L251" s="45"/>
      <c r="M251" s="45">
        <v>1502638</v>
      </c>
      <c r="N251" s="45"/>
      <c r="O251" s="45">
        <v>2976460</v>
      </c>
      <c r="P251" s="45"/>
      <c r="Q251" s="45">
        <v>1660038</v>
      </c>
      <c r="R251" s="45"/>
      <c r="S251" s="45">
        <v>0</v>
      </c>
      <c r="T251" s="45"/>
      <c r="U251" s="45">
        <v>0</v>
      </c>
      <c r="V251" s="45"/>
      <c r="W251" s="45">
        <v>0</v>
      </c>
      <c r="X251" s="45"/>
      <c r="Y251" s="45">
        <v>0</v>
      </c>
      <c r="Z251" s="44"/>
      <c r="AA251" s="45">
        <v>0</v>
      </c>
      <c r="AB251" s="44"/>
      <c r="AC251" s="45">
        <f t="shared" si="6"/>
        <v>20580386</v>
      </c>
      <c r="AD251" s="45"/>
      <c r="AE251" s="48">
        <v>0</v>
      </c>
      <c r="AF251" s="48"/>
      <c r="AG251" s="45">
        <f>690000+44491</f>
        <v>734491</v>
      </c>
      <c r="AH251" s="45"/>
      <c r="AI251" s="45">
        <v>2901141</v>
      </c>
      <c r="AJ251" s="45"/>
      <c r="AK251" s="45">
        <v>0</v>
      </c>
      <c r="AL251" s="45"/>
      <c r="AM251" s="45">
        <f>+'Gen rev'!U251-'Gen exp'!AC251-AG251+'Gen rev'!W251+AI251+AK251-'Gen Bal'!S251-'Gen exp'!AE251</f>
        <v>0</v>
      </c>
      <c r="AN251" s="45"/>
      <c r="AO251" s="45"/>
      <c r="AP251" s="45"/>
      <c r="AQ251" s="45"/>
      <c r="AR251" s="52"/>
      <c r="AS251" s="50"/>
    </row>
    <row r="252" spans="1:45" s="49" customFormat="1" ht="12.75" customHeight="1">
      <c r="A252" s="28" t="s">
        <v>284</v>
      </c>
      <c r="C252" s="28" t="s">
        <v>45</v>
      </c>
      <c r="E252" s="45">
        <v>3806276</v>
      </c>
      <c r="F252" s="45"/>
      <c r="G252" s="45">
        <v>2755737</v>
      </c>
      <c r="H252" s="45"/>
      <c r="I252" s="45">
        <v>222513</v>
      </c>
      <c r="J252" s="45"/>
      <c r="K252" s="45">
        <v>66179</v>
      </c>
      <c r="L252" s="45"/>
      <c r="M252" s="45">
        <v>621546</v>
      </c>
      <c r="N252" s="45"/>
      <c r="O252" s="45">
        <v>94638</v>
      </c>
      <c r="P252" s="45"/>
      <c r="Q252" s="45">
        <v>547843</v>
      </c>
      <c r="R252" s="45"/>
      <c r="S252" s="45">
        <v>0</v>
      </c>
      <c r="T252" s="45"/>
      <c r="U252" s="45">
        <v>0</v>
      </c>
      <c r="V252" s="45"/>
      <c r="W252" s="45">
        <v>3579</v>
      </c>
      <c r="X252" s="45"/>
      <c r="Y252" s="45">
        <v>7655</v>
      </c>
      <c r="Z252" s="44"/>
      <c r="AA252" s="45">
        <v>0</v>
      </c>
      <c r="AB252" s="44"/>
      <c r="AC252" s="45">
        <f t="shared" si="6"/>
        <v>8125966</v>
      </c>
      <c r="AD252" s="45"/>
      <c r="AE252" s="48">
        <v>0</v>
      </c>
      <c r="AF252" s="48"/>
      <c r="AG252" s="45">
        <v>1576646</v>
      </c>
      <c r="AH252" s="45"/>
      <c r="AI252" s="45">
        <v>3898114</v>
      </c>
      <c r="AJ252" s="45"/>
      <c r="AK252" s="45">
        <v>0</v>
      </c>
      <c r="AL252" s="45"/>
      <c r="AM252" s="45">
        <f>+'Gen rev'!U252-'Gen exp'!AC252-AG252+'Gen rev'!W252+AI252+AK252-'Gen Bal'!S252-'Gen exp'!AE252</f>
        <v>0</v>
      </c>
      <c r="AN252" s="44"/>
      <c r="AO252" s="44"/>
      <c r="AP252" s="44"/>
      <c r="AQ252" s="44"/>
    </row>
    <row r="253" spans="1:45" s="49" customFormat="1" ht="12.75" customHeight="1">
      <c r="A253" s="28" t="s">
        <v>285</v>
      </c>
      <c r="C253" s="28" t="s">
        <v>30</v>
      </c>
      <c r="E253" s="45">
        <v>3294966</v>
      </c>
      <c r="F253" s="45"/>
      <c r="G253" s="45">
        <v>10832772</v>
      </c>
      <c r="H253" s="45"/>
      <c r="I253" s="45">
        <v>344549</v>
      </c>
      <c r="J253" s="45"/>
      <c r="K253" s="45">
        <v>64843</v>
      </c>
      <c r="L253" s="45"/>
      <c r="M253" s="45">
        <v>268352</v>
      </c>
      <c r="N253" s="45"/>
      <c r="O253" s="45">
        <v>379260</v>
      </c>
      <c r="P253" s="45"/>
      <c r="Q253" s="45">
        <v>0</v>
      </c>
      <c r="R253" s="45"/>
      <c r="S253" s="45">
        <v>0</v>
      </c>
      <c r="T253" s="45"/>
      <c r="U253" s="45">
        <v>0</v>
      </c>
      <c r="V253" s="45"/>
      <c r="W253" s="45">
        <v>0</v>
      </c>
      <c r="X253" s="45"/>
      <c r="Y253" s="45">
        <v>0</v>
      </c>
      <c r="Z253" s="44"/>
      <c r="AA253" s="45">
        <v>0</v>
      </c>
      <c r="AB253" s="44"/>
      <c r="AC253" s="45">
        <f t="shared" si="6"/>
        <v>15184742</v>
      </c>
      <c r="AD253" s="45"/>
      <c r="AE253" s="48">
        <v>0</v>
      </c>
      <c r="AF253" s="48"/>
      <c r="AG253" s="45">
        <v>704000</v>
      </c>
      <c r="AH253" s="45"/>
      <c r="AI253" s="45">
        <v>3431481</v>
      </c>
      <c r="AJ253" s="45"/>
      <c r="AK253" s="45">
        <v>2696</v>
      </c>
      <c r="AL253" s="45"/>
      <c r="AM253" s="45">
        <f>+'Gen rev'!U253-'Gen exp'!AC253-AG253+'Gen rev'!W253+AI253+AK253-'Gen Bal'!S253-'Gen exp'!AE253</f>
        <v>0</v>
      </c>
      <c r="AN253" s="44"/>
      <c r="AO253" s="44"/>
      <c r="AP253" s="44"/>
      <c r="AQ253" s="44"/>
    </row>
    <row r="254" spans="1:45" s="49" customFormat="1" ht="12.75" customHeight="1">
      <c r="A254" s="28" t="s">
        <v>286</v>
      </c>
      <c r="C254" s="28" t="s">
        <v>61</v>
      </c>
      <c r="E254" s="45">
        <v>12837146</v>
      </c>
      <c r="F254" s="45"/>
      <c r="G254" s="45">
        <v>2353526</v>
      </c>
      <c r="H254" s="45"/>
      <c r="I254" s="45">
        <v>726214</v>
      </c>
      <c r="J254" s="45"/>
      <c r="K254" s="45">
        <v>1261549</v>
      </c>
      <c r="L254" s="45"/>
      <c r="M254" s="45">
        <v>0</v>
      </c>
      <c r="N254" s="45"/>
      <c r="O254" s="45">
        <v>81385</v>
      </c>
      <c r="P254" s="45"/>
      <c r="Q254" s="45">
        <v>3144131</v>
      </c>
      <c r="R254" s="45"/>
      <c r="S254" s="45">
        <v>87960</v>
      </c>
      <c r="T254" s="45"/>
      <c r="U254" s="45">
        <v>0</v>
      </c>
      <c r="V254" s="45"/>
      <c r="W254" s="45">
        <v>11622</v>
      </c>
      <c r="X254" s="45"/>
      <c r="Y254" s="45">
        <v>1445</v>
      </c>
      <c r="Z254" s="44"/>
      <c r="AA254" s="45">
        <v>0</v>
      </c>
      <c r="AB254" s="44"/>
      <c r="AC254" s="45">
        <f t="shared" si="6"/>
        <v>20504978</v>
      </c>
      <c r="AD254" s="45"/>
      <c r="AE254" s="48">
        <v>0</v>
      </c>
      <c r="AF254" s="48"/>
      <c r="AG254" s="45">
        <v>20945000</v>
      </c>
      <c r="AH254" s="45"/>
      <c r="AI254" s="45">
        <v>3251445</v>
      </c>
      <c r="AJ254" s="45"/>
      <c r="AK254" s="45">
        <v>0</v>
      </c>
      <c r="AL254" s="45"/>
      <c r="AM254" s="45">
        <f>+'Gen rev'!U254-'Gen exp'!AC254-AG254+'Gen rev'!W254+AI254+AK254-'Gen Bal'!S254-'Gen exp'!AE254</f>
        <v>0</v>
      </c>
      <c r="AN254" s="44"/>
      <c r="AO254" s="44"/>
      <c r="AP254" s="44"/>
      <c r="AQ254" s="44"/>
    </row>
    <row r="255" spans="1:45" s="49" customFormat="1" ht="12.75" customHeight="1">
      <c r="A255" s="28" t="s">
        <v>287</v>
      </c>
      <c r="C255" s="28" t="s">
        <v>288</v>
      </c>
      <c r="E255" s="45">
        <v>3920271</v>
      </c>
      <c r="F255" s="45"/>
      <c r="G255" s="45">
        <v>697292</v>
      </c>
      <c r="H255" s="45"/>
      <c r="I255" s="45">
        <v>349133</v>
      </c>
      <c r="J255" s="45"/>
      <c r="K255" s="45">
        <v>59930</v>
      </c>
      <c r="L255" s="45"/>
      <c r="M255" s="45">
        <v>473500</v>
      </c>
      <c r="N255" s="45"/>
      <c r="O255" s="45">
        <v>670897</v>
      </c>
      <c r="P255" s="45"/>
      <c r="Q255" s="45">
        <v>0</v>
      </c>
      <c r="R255" s="45"/>
      <c r="S255" s="45">
        <v>366074</v>
      </c>
      <c r="T255" s="45"/>
      <c r="U255" s="45">
        <v>0</v>
      </c>
      <c r="V255" s="45"/>
      <c r="W255" s="45">
        <v>0</v>
      </c>
      <c r="X255" s="45"/>
      <c r="Y255" s="45">
        <v>16500</v>
      </c>
      <c r="Z255" s="44"/>
      <c r="AA255" s="45">
        <v>0</v>
      </c>
      <c r="AB255" s="44"/>
      <c r="AC255" s="45">
        <f t="shared" si="6"/>
        <v>6553597</v>
      </c>
      <c r="AD255" s="45"/>
      <c r="AE255" s="48">
        <v>0</v>
      </c>
      <c r="AF255" s="48"/>
      <c r="AG255" s="45">
        <v>7863255</v>
      </c>
      <c r="AH255" s="45"/>
      <c r="AI255" s="45">
        <v>2430223</v>
      </c>
      <c r="AJ255" s="45"/>
      <c r="AK255" s="45">
        <v>0</v>
      </c>
      <c r="AL255" s="45"/>
      <c r="AM255" s="45">
        <f>+'Gen rev'!U255-'Gen exp'!AC255-AG255+'Gen rev'!W255+AI255+AK255-'Gen Bal'!S255-'Gen exp'!AE255</f>
        <v>0</v>
      </c>
      <c r="AN255" s="44"/>
      <c r="AO255" s="44"/>
      <c r="AP255" s="44"/>
      <c r="AQ255" s="44"/>
    </row>
    <row r="256" spans="1:45" s="47" customFormat="1" ht="12.75" customHeight="1">
      <c r="A256" s="50"/>
      <c r="B256" s="51"/>
      <c r="C256" s="50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51"/>
      <c r="AA256" s="49"/>
      <c r="AB256" s="51"/>
      <c r="AC256" s="49"/>
      <c r="AD256" s="4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</row>
    <row r="257" spans="1:45" s="49" customFormat="1" ht="12.75" customHeight="1">
      <c r="A257" s="50"/>
      <c r="C257" s="50"/>
      <c r="D257" s="47"/>
    </row>
    <row r="258" spans="1:45" s="49" customFormat="1" ht="12.75" customHeight="1">
      <c r="A258" s="50"/>
      <c r="C258" s="50"/>
    </row>
    <row r="259" spans="1:45" s="49" customFormat="1" ht="12.75" customHeight="1">
      <c r="A259" s="50"/>
      <c r="C259" s="50"/>
    </row>
    <row r="260" spans="1:45" s="49" customFormat="1" ht="12.75" customHeight="1">
      <c r="A260" s="50"/>
      <c r="C260" s="50"/>
    </row>
    <row r="261" spans="1:45" s="49" customFormat="1" ht="12.75" customHeight="1">
      <c r="A261" s="50"/>
      <c r="C261" s="50"/>
      <c r="D261" s="47"/>
    </row>
    <row r="262" spans="1:45" s="49" customFormat="1" ht="12.75" customHeight="1">
      <c r="A262" s="50"/>
      <c r="C262" s="50"/>
      <c r="D262" s="47"/>
    </row>
    <row r="263" spans="1:45" s="49" customFormat="1" ht="12.75" customHeight="1">
      <c r="A263" s="50"/>
      <c r="C263" s="50"/>
      <c r="D263" s="47"/>
    </row>
    <row r="264" spans="1:45" s="49" customFormat="1" ht="12.75" customHeight="1">
      <c r="A264" s="50"/>
      <c r="C264" s="50"/>
      <c r="D264" s="47"/>
    </row>
    <row r="265" spans="1:45" s="49" customFormat="1" ht="12.75" customHeight="1">
      <c r="A265" s="50"/>
      <c r="C265" s="50"/>
      <c r="D265" s="47"/>
    </row>
    <row r="266" spans="1:45" s="49" customFormat="1" ht="12.75" customHeight="1">
      <c r="A266" s="50"/>
      <c r="C266" s="50"/>
      <c r="D266" s="47"/>
    </row>
    <row r="267" spans="1:45" s="49" customFormat="1" ht="12.75" customHeight="1">
      <c r="A267" s="50"/>
      <c r="C267" s="50"/>
      <c r="D267" s="47"/>
    </row>
    <row r="268" spans="1:45" s="49" customFormat="1" ht="12.75" customHeight="1">
      <c r="A268" s="50"/>
      <c r="C268" s="50"/>
      <c r="D268" s="47"/>
    </row>
    <row r="269" spans="1:45" s="49" customFormat="1" ht="12.75" customHeight="1">
      <c r="A269" s="50"/>
      <c r="C269" s="50"/>
      <c r="D269" s="47"/>
    </row>
    <row r="270" spans="1:45" s="49" customFormat="1" ht="12.75" customHeight="1">
      <c r="A270" s="50"/>
      <c r="C270" s="50"/>
      <c r="D270" s="47"/>
      <c r="AR270" s="47"/>
      <c r="AS270" s="47"/>
    </row>
    <row r="271" spans="1:45" s="49" customFormat="1" ht="12.75" customHeight="1">
      <c r="A271" s="50"/>
      <c r="C271" s="50"/>
      <c r="D271" s="47"/>
      <c r="AR271" s="47"/>
      <c r="AS271" s="47"/>
    </row>
    <row r="272" spans="1:45" s="49" customFormat="1" ht="12.75" customHeight="1">
      <c r="A272" s="50"/>
      <c r="C272" s="50"/>
      <c r="D272" s="47"/>
      <c r="AR272" s="47"/>
      <c r="AS272" s="47"/>
    </row>
    <row r="273" spans="1:45" s="49" customFormat="1" ht="12.75" customHeight="1">
      <c r="A273" s="50"/>
      <c r="C273" s="50"/>
      <c r="D273" s="47"/>
      <c r="AR273" s="47"/>
      <c r="AS273" s="47"/>
    </row>
    <row r="274" spans="1:45" s="49" customFormat="1" ht="12.75" customHeight="1">
      <c r="A274" s="50"/>
      <c r="C274" s="50"/>
      <c r="D274" s="47"/>
      <c r="AR274" s="47"/>
      <c r="AS274" s="47"/>
    </row>
    <row r="275" spans="1:45" s="49" customFormat="1" ht="12.75" customHeight="1">
      <c r="A275" s="50"/>
      <c r="C275" s="50"/>
      <c r="D275" s="47"/>
      <c r="AR275" s="47"/>
      <c r="AS275" s="47"/>
    </row>
    <row r="276" spans="1:45" s="49" customFormat="1" ht="12.75" customHeight="1">
      <c r="A276" s="50"/>
      <c r="C276" s="50"/>
      <c r="D276" s="47"/>
      <c r="AR276" s="47"/>
      <c r="AS276" s="47"/>
    </row>
    <row r="277" spans="1:45" s="49" customFormat="1" ht="12.75" customHeight="1">
      <c r="A277" s="50"/>
      <c r="C277" s="50"/>
      <c r="D277" s="47"/>
      <c r="AR277" s="47"/>
      <c r="AS277" s="47"/>
    </row>
    <row r="278" spans="1:45" s="49" customFormat="1" ht="12.75" customHeight="1">
      <c r="A278" s="50"/>
      <c r="C278" s="50"/>
      <c r="D278" s="47"/>
      <c r="AR278" s="47"/>
      <c r="AS278" s="47"/>
    </row>
    <row r="279" spans="1:45" s="49" customFormat="1" ht="12.75" customHeight="1">
      <c r="A279" s="50"/>
      <c r="C279" s="50"/>
      <c r="D279" s="47"/>
      <c r="AR279" s="47"/>
      <c r="AS279" s="47"/>
    </row>
    <row r="280" spans="1:45" s="49" customFormat="1" ht="12.75" customHeight="1">
      <c r="A280" s="50"/>
      <c r="C280" s="50"/>
      <c r="D280" s="47"/>
      <c r="AR280" s="47"/>
      <c r="AS280" s="47"/>
    </row>
    <row r="281" spans="1:45" s="49" customFormat="1" ht="12.75" customHeight="1">
      <c r="A281" s="50"/>
      <c r="C281" s="50"/>
      <c r="D281" s="47"/>
      <c r="AR281" s="47"/>
      <c r="AS281" s="47"/>
    </row>
    <row r="282" spans="1:45" s="49" customFormat="1" ht="12.75" customHeight="1">
      <c r="A282" s="50"/>
      <c r="C282" s="50"/>
      <c r="D282" s="47"/>
      <c r="AR282" s="47"/>
      <c r="AS282" s="47"/>
    </row>
    <row r="283" spans="1:45" s="49" customFormat="1" ht="12.75" customHeight="1">
      <c r="A283" s="50"/>
      <c r="C283" s="50"/>
      <c r="D283" s="47"/>
      <c r="AR283" s="47"/>
      <c r="AS283" s="47"/>
    </row>
    <row r="284" spans="1:45" s="49" customFormat="1" ht="12.75" customHeight="1">
      <c r="A284" s="50"/>
      <c r="C284" s="50"/>
      <c r="D284" s="47"/>
      <c r="AR284" s="47"/>
      <c r="AS284" s="47"/>
    </row>
    <row r="285" spans="1:45" s="49" customFormat="1" ht="12.75" customHeight="1">
      <c r="A285" s="50"/>
      <c r="C285" s="50"/>
      <c r="D285" s="47"/>
      <c r="AR285" s="47"/>
      <c r="AS285" s="47"/>
    </row>
    <row r="286" spans="1:45" s="49" customFormat="1" ht="12.75" customHeight="1">
      <c r="A286" s="50"/>
      <c r="C286" s="50"/>
      <c r="D286" s="47"/>
      <c r="AR286" s="47"/>
      <c r="AS286" s="47"/>
    </row>
    <row r="287" spans="1:45" s="49" customFormat="1" ht="12.75" customHeight="1">
      <c r="A287" s="50"/>
      <c r="C287" s="50"/>
      <c r="D287" s="47"/>
      <c r="AR287" s="47"/>
      <c r="AS287" s="47"/>
    </row>
    <row r="288" spans="1:45" s="49" customFormat="1" ht="12.75" customHeight="1">
      <c r="A288" s="50"/>
      <c r="C288" s="50"/>
      <c r="D288" s="47"/>
      <c r="AR288" s="47"/>
      <c r="AS288" s="47"/>
    </row>
    <row r="289" spans="1:45" s="49" customFormat="1" ht="12.75" customHeight="1">
      <c r="A289" s="50"/>
      <c r="C289" s="50"/>
      <c r="D289" s="47"/>
      <c r="AR289" s="47"/>
      <c r="AS289" s="47"/>
    </row>
    <row r="290" spans="1:45" s="49" customFormat="1" ht="12.75" customHeight="1">
      <c r="A290" s="50"/>
      <c r="C290" s="50"/>
      <c r="D290" s="47"/>
      <c r="AR290" s="47"/>
      <c r="AS290" s="47"/>
    </row>
    <row r="291" spans="1:45" s="49" customFormat="1" ht="12.75" customHeight="1">
      <c r="A291" s="50"/>
      <c r="C291" s="50"/>
      <c r="D291" s="47"/>
      <c r="AR291" s="47"/>
      <c r="AS291" s="47"/>
    </row>
    <row r="292" spans="1:45" s="49" customFormat="1" ht="12.75" customHeight="1">
      <c r="A292" s="50"/>
      <c r="C292" s="50"/>
      <c r="D292" s="47"/>
      <c r="AR292" s="47"/>
      <c r="AS292" s="47"/>
    </row>
    <row r="293" spans="1:45" s="49" customFormat="1" ht="12.75" customHeight="1">
      <c r="A293" s="50"/>
      <c r="C293" s="50"/>
      <c r="D293" s="47"/>
      <c r="AR293" s="47"/>
      <c r="AS293" s="47"/>
    </row>
    <row r="294" spans="1:45" s="49" customFormat="1" ht="12.75" customHeight="1">
      <c r="A294" s="50"/>
      <c r="C294" s="50"/>
      <c r="D294" s="47"/>
      <c r="AR294" s="47"/>
      <c r="AS294" s="47"/>
    </row>
    <row r="295" spans="1:45" s="49" customFormat="1" ht="12.75" customHeight="1">
      <c r="A295" s="50"/>
      <c r="C295" s="50"/>
      <c r="D295" s="47"/>
      <c r="AR295" s="47"/>
      <c r="AS295" s="47"/>
    </row>
    <row r="296" spans="1:45" s="49" customFormat="1" ht="12.75" customHeight="1">
      <c r="A296" s="50"/>
      <c r="C296" s="50"/>
      <c r="D296" s="47"/>
      <c r="AR296" s="47"/>
      <c r="AS296" s="47"/>
    </row>
    <row r="297" spans="1:45" s="49" customFormat="1" ht="12.75" customHeight="1">
      <c r="A297" s="50"/>
      <c r="C297" s="50"/>
      <c r="D297" s="47"/>
      <c r="AR297" s="47"/>
      <c r="AS297" s="47"/>
    </row>
    <row r="298" spans="1:45" s="49" customFormat="1" ht="12.75" customHeight="1">
      <c r="A298" s="50"/>
      <c r="C298" s="50"/>
      <c r="D298" s="47"/>
      <c r="AR298" s="47"/>
      <c r="AS298" s="47"/>
    </row>
    <row r="299" spans="1:45" s="49" customFormat="1" ht="12.75" customHeight="1">
      <c r="A299" s="50"/>
      <c r="C299" s="50"/>
      <c r="D299" s="47"/>
      <c r="AR299" s="47"/>
      <c r="AS299" s="47"/>
    </row>
    <row r="300" spans="1:45" s="49" customFormat="1" ht="12.75" customHeight="1">
      <c r="A300" s="50"/>
      <c r="C300" s="50"/>
      <c r="D300" s="47"/>
      <c r="AR300" s="47"/>
      <c r="AS300" s="47"/>
    </row>
    <row r="301" spans="1:45" s="49" customFormat="1" ht="12.75" customHeight="1">
      <c r="A301" s="50"/>
      <c r="C301" s="50"/>
      <c r="D301" s="47"/>
      <c r="AR301" s="47"/>
      <c r="AS301" s="47"/>
    </row>
    <row r="302" spans="1:45" s="49" customFormat="1" ht="12.75" customHeight="1">
      <c r="A302" s="50"/>
      <c r="C302" s="50"/>
      <c r="D302" s="47"/>
      <c r="AR302" s="47"/>
      <c r="AS302" s="47"/>
    </row>
    <row r="303" spans="1:45" s="49" customFormat="1" ht="12.75" customHeight="1">
      <c r="A303" s="50"/>
      <c r="C303" s="50"/>
      <c r="D303" s="47"/>
      <c r="AR303" s="47"/>
      <c r="AS303" s="47"/>
    </row>
    <row r="304" spans="1:45" s="49" customFormat="1" ht="12.75" customHeight="1">
      <c r="A304" s="50"/>
      <c r="C304" s="50"/>
      <c r="D304" s="47"/>
      <c r="AR304" s="47"/>
      <c r="AS304" s="47"/>
    </row>
    <row r="305" spans="1:45" s="49" customFormat="1" ht="12.75" customHeight="1">
      <c r="A305" s="50"/>
      <c r="C305" s="50"/>
      <c r="D305" s="47"/>
      <c r="AR305" s="47"/>
      <c r="AS305" s="47"/>
    </row>
    <row r="306" spans="1:45" s="17" customFormat="1" ht="12.75" customHeight="1">
      <c r="A306" s="11"/>
      <c r="C306" s="11"/>
      <c r="D306" s="10"/>
      <c r="AR306" s="10"/>
      <c r="AS306" s="10"/>
    </row>
    <row r="307" spans="1:45" s="17" customFormat="1" ht="12.75" customHeight="1">
      <c r="A307" s="11"/>
      <c r="C307" s="11"/>
      <c r="D307" s="10"/>
      <c r="AR307" s="10"/>
      <c r="AS307" s="10"/>
    </row>
    <row r="308" spans="1:45" s="17" customFormat="1" ht="12.75" customHeight="1">
      <c r="A308" s="11"/>
      <c r="C308" s="11"/>
      <c r="D308" s="10"/>
      <c r="AR308" s="10"/>
      <c r="AS308" s="10"/>
    </row>
    <row r="309" spans="1:45" s="17" customFormat="1" ht="12.75" customHeight="1">
      <c r="A309" s="11"/>
      <c r="C309" s="11"/>
      <c r="D309" s="10"/>
      <c r="AR309" s="10"/>
      <c r="AS309" s="10"/>
    </row>
    <row r="310" spans="1:45" s="17" customFormat="1" ht="12.75" customHeight="1">
      <c r="A310" s="11"/>
      <c r="C310" s="11"/>
      <c r="D310" s="10"/>
      <c r="AR310" s="10"/>
      <c r="AS310" s="10"/>
    </row>
    <row r="311" spans="1:45" s="17" customFormat="1" ht="12.75" customHeight="1">
      <c r="A311" s="11"/>
      <c r="C311" s="11"/>
      <c r="D311" s="10"/>
      <c r="AR311" s="10"/>
      <c r="AS311" s="10"/>
    </row>
    <row r="312" spans="1:45" s="17" customFormat="1" ht="12.75" customHeight="1">
      <c r="A312" s="11"/>
      <c r="C312" s="11"/>
      <c r="D312" s="10"/>
      <c r="AR312" s="10"/>
      <c r="AS312" s="10"/>
    </row>
    <row r="313" spans="1:45" s="17" customFormat="1" ht="12.75" customHeight="1">
      <c r="A313" s="11"/>
      <c r="C313" s="11"/>
      <c r="D313" s="10"/>
      <c r="AR313" s="10"/>
      <c r="AS313" s="10"/>
    </row>
    <row r="314" spans="1:45" s="17" customFormat="1" ht="12.75" customHeight="1">
      <c r="A314" s="11"/>
      <c r="C314" s="11"/>
      <c r="D314" s="10"/>
      <c r="AR314" s="10"/>
      <c r="AS314" s="10"/>
    </row>
    <row r="315" spans="1:45" s="17" customFormat="1" ht="12.75" customHeight="1">
      <c r="A315" s="11"/>
      <c r="C315" s="11"/>
      <c r="D315" s="10"/>
      <c r="AR315" s="10"/>
      <c r="AS315" s="10"/>
    </row>
    <row r="316" spans="1:45" s="17" customFormat="1" ht="12.75" customHeight="1">
      <c r="A316" s="11"/>
      <c r="C316" s="11"/>
      <c r="D316" s="10"/>
      <c r="AR316" s="10"/>
      <c r="AS316" s="10"/>
    </row>
    <row r="317" spans="1:45" s="17" customFormat="1" ht="12.75" customHeight="1">
      <c r="A317" s="11"/>
      <c r="C317" s="11"/>
      <c r="D317" s="10"/>
      <c r="AR317" s="10"/>
      <c r="AS317" s="10"/>
    </row>
    <row r="318" spans="1:45" s="17" customFormat="1" ht="12.75" customHeight="1">
      <c r="A318" s="11"/>
      <c r="C318" s="11"/>
      <c r="D318" s="10"/>
      <c r="AR318" s="10"/>
      <c r="AS318" s="10"/>
    </row>
    <row r="319" spans="1:45" s="17" customFormat="1" ht="12.75" customHeight="1">
      <c r="A319" s="11"/>
      <c r="C319" s="11"/>
      <c r="D319" s="10"/>
      <c r="AR319" s="10"/>
      <c r="AS319" s="10"/>
    </row>
    <row r="320" spans="1:45" s="17" customFormat="1" ht="12.75" customHeight="1">
      <c r="A320" s="11"/>
      <c r="C320" s="11"/>
      <c r="D320" s="10"/>
      <c r="AR320" s="10"/>
      <c r="AS320" s="10"/>
    </row>
    <row r="321" spans="1:45" s="17" customFormat="1" ht="12.75" customHeight="1">
      <c r="A321" s="11"/>
      <c r="C321" s="11"/>
      <c r="D321" s="10"/>
      <c r="AR321" s="10"/>
      <c r="AS321" s="10"/>
    </row>
    <row r="322" spans="1:45" s="17" customFormat="1" ht="12.75" customHeight="1">
      <c r="A322" s="11"/>
      <c r="C322" s="11"/>
      <c r="D322" s="10"/>
      <c r="AR322" s="10"/>
      <c r="AS322" s="10"/>
    </row>
    <row r="323" spans="1:45" s="17" customFormat="1" ht="12.75" customHeight="1">
      <c r="A323" s="11"/>
      <c r="C323" s="11"/>
      <c r="D323" s="10"/>
      <c r="AR323" s="10"/>
      <c r="AS323" s="10"/>
    </row>
    <row r="324" spans="1:45" s="17" customFormat="1" ht="12.75" customHeight="1">
      <c r="A324" s="11"/>
      <c r="C324" s="11"/>
      <c r="D324" s="10"/>
      <c r="AR324" s="10"/>
      <c r="AS324" s="10"/>
    </row>
    <row r="325" spans="1:45" s="17" customFormat="1" ht="12.75" customHeight="1">
      <c r="A325" s="11"/>
      <c r="C325" s="11"/>
      <c r="D325" s="10"/>
      <c r="AR325" s="10"/>
      <c r="AS325" s="10"/>
    </row>
    <row r="326" spans="1:45" s="17" customFormat="1" ht="12.75" customHeight="1">
      <c r="A326" s="11"/>
      <c r="C326" s="11"/>
      <c r="D326" s="10"/>
      <c r="AR326" s="10"/>
      <c r="AS326" s="10"/>
    </row>
    <row r="327" spans="1:45" s="17" customFormat="1" ht="12.75" customHeight="1">
      <c r="A327" s="11"/>
      <c r="C327" s="11"/>
      <c r="D327" s="10"/>
      <c r="AR327" s="10"/>
      <c r="AS327" s="10"/>
    </row>
    <row r="328" spans="1:45" s="17" customFormat="1" ht="12.75" customHeight="1">
      <c r="A328" s="11"/>
      <c r="C328" s="11"/>
      <c r="D328" s="10"/>
      <c r="AR328" s="10"/>
      <c r="AS328" s="10"/>
    </row>
    <row r="329" spans="1:45" s="17" customFormat="1" ht="12.75" customHeight="1">
      <c r="A329" s="11"/>
      <c r="C329" s="11"/>
      <c r="D329" s="10"/>
      <c r="AR329" s="10"/>
      <c r="AS329" s="10"/>
    </row>
    <row r="330" spans="1:45" s="17" customFormat="1" ht="12.75" customHeight="1">
      <c r="A330" s="11"/>
      <c r="C330" s="11"/>
      <c r="D330" s="10"/>
      <c r="AR330" s="10"/>
      <c r="AS330" s="10"/>
    </row>
    <row r="331" spans="1:45" s="17" customFormat="1" ht="12.75" customHeight="1">
      <c r="A331" s="11"/>
      <c r="C331" s="11"/>
      <c r="D331" s="10"/>
      <c r="AR331" s="10"/>
      <c r="AS331" s="10"/>
    </row>
    <row r="332" spans="1:45" s="17" customFormat="1" ht="12.75" customHeight="1">
      <c r="A332" s="11"/>
      <c r="C332" s="11"/>
      <c r="D332" s="10"/>
      <c r="AR332" s="10"/>
      <c r="AS332" s="10"/>
    </row>
    <row r="333" spans="1:45" s="17" customFormat="1" ht="12.75" customHeight="1">
      <c r="A333" s="11"/>
      <c r="C333" s="11"/>
      <c r="D333" s="10"/>
      <c r="AR333" s="10"/>
      <c r="AS333" s="10"/>
    </row>
    <row r="334" spans="1:45" s="17" customFormat="1" ht="12.75" customHeight="1">
      <c r="A334" s="11"/>
      <c r="C334" s="11"/>
      <c r="D334" s="10"/>
      <c r="AR334" s="10"/>
      <c r="AS334" s="10"/>
    </row>
    <row r="335" spans="1:45" s="17" customFormat="1" ht="12.75" customHeight="1">
      <c r="A335" s="11"/>
      <c r="C335" s="11"/>
      <c r="D335" s="10"/>
      <c r="AR335" s="10"/>
      <c r="AS335" s="10"/>
    </row>
    <row r="336" spans="1:45" s="17" customFormat="1" ht="12.75" customHeight="1">
      <c r="A336" s="11"/>
      <c r="C336" s="11"/>
      <c r="D336" s="10"/>
      <c r="AR336" s="10"/>
      <c r="AS336" s="10"/>
    </row>
    <row r="337" spans="1:45" s="17" customFormat="1" ht="12.75" customHeight="1">
      <c r="A337" s="11"/>
      <c r="C337" s="11"/>
      <c r="D337" s="10"/>
      <c r="AR337" s="10"/>
      <c r="AS337" s="10"/>
    </row>
    <row r="338" spans="1:45" s="17" customFormat="1" ht="12.75" customHeight="1">
      <c r="A338" s="11"/>
      <c r="C338" s="11"/>
      <c r="D338" s="10"/>
      <c r="AR338" s="10"/>
      <c r="AS338" s="10"/>
    </row>
    <row r="339" spans="1:45" s="17" customFormat="1" ht="12.75" customHeight="1">
      <c r="A339" s="11"/>
      <c r="C339" s="11"/>
      <c r="D339" s="10"/>
      <c r="AR339" s="10"/>
      <c r="AS339" s="10"/>
    </row>
    <row r="340" spans="1:45" s="17" customFormat="1" ht="12.75" customHeight="1">
      <c r="A340" s="11"/>
      <c r="C340" s="11"/>
      <c r="D340" s="10"/>
      <c r="AR340" s="10"/>
      <c r="AS340" s="10"/>
    </row>
    <row r="341" spans="1:45" s="17" customFormat="1" ht="12.75" customHeight="1">
      <c r="A341" s="11"/>
      <c r="C341" s="11"/>
      <c r="D341" s="10"/>
      <c r="AR341" s="10"/>
      <c r="AS341" s="10"/>
    </row>
    <row r="342" spans="1:45" s="17" customFormat="1" ht="12.75" customHeight="1">
      <c r="A342" s="11"/>
      <c r="C342" s="11"/>
      <c r="D342" s="10"/>
      <c r="AR342" s="10"/>
      <c r="AS342" s="10"/>
    </row>
    <row r="343" spans="1:45" s="17" customFormat="1" ht="12.75" customHeight="1">
      <c r="A343" s="11"/>
      <c r="C343" s="11"/>
      <c r="D343" s="10"/>
      <c r="AR343" s="10"/>
      <c r="AS343" s="10"/>
    </row>
    <row r="344" spans="1:45" s="17" customFormat="1" ht="12.75" customHeight="1">
      <c r="A344" s="11"/>
      <c r="C344" s="11"/>
      <c r="D344" s="10"/>
      <c r="AR344" s="10"/>
      <c r="AS344" s="10"/>
    </row>
    <row r="345" spans="1:45" s="17" customFormat="1" ht="12.75" customHeight="1">
      <c r="A345" s="11"/>
      <c r="C345" s="11"/>
      <c r="D345" s="10"/>
      <c r="AR345" s="10"/>
      <c r="AS345" s="10"/>
    </row>
    <row r="346" spans="1:45" s="17" customFormat="1" ht="12.75" customHeight="1">
      <c r="A346" s="11"/>
      <c r="C346" s="11"/>
      <c r="D346" s="10"/>
      <c r="AR346" s="10"/>
      <c r="AS346" s="10"/>
    </row>
    <row r="347" spans="1:45" s="17" customFormat="1" ht="12.75" customHeight="1">
      <c r="A347" s="11"/>
      <c r="C347" s="11"/>
      <c r="D347" s="10"/>
      <c r="AR347" s="10"/>
      <c r="AS347" s="10"/>
    </row>
    <row r="348" spans="1:45" s="17" customFormat="1" ht="12.75" customHeight="1">
      <c r="A348" s="11"/>
      <c r="C348" s="11"/>
      <c r="D348" s="10"/>
      <c r="AR348" s="10"/>
      <c r="AS348" s="10"/>
    </row>
    <row r="349" spans="1:45" s="17" customFormat="1" ht="12.75" customHeight="1">
      <c r="A349" s="11"/>
      <c r="C349" s="11"/>
      <c r="D349" s="10"/>
      <c r="AR349" s="10"/>
      <c r="AS349" s="10"/>
    </row>
    <row r="350" spans="1:45" s="17" customFormat="1" ht="12.75" customHeight="1">
      <c r="A350" s="11"/>
      <c r="C350" s="11"/>
      <c r="D350" s="10"/>
      <c r="AR350" s="10"/>
      <c r="AS350" s="10"/>
    </row>
    <row r="351" spans="1:45" s="17" customFormat="1" ht="12.75" customHeight="1">
      <c r="A351" s="11"/>
      <c r="C351" s="11"/>
      <c r="D351" s="10"/>
      <c r="AR351" s="10"/>
      <c r="AS351" s="10"/>
    </row>
    <row r="352" spans="1:45" s="17" customFormat="1" ht="12.75" customHeight="1">
      <c r="A352" s="11"/>
      <c r="C352" s="11"/>
      <c r="D352" s="10"/>
      <c r="AR352" s="10"/>
      <c r="AS352" s="10"/>
    </row>
    <row r="353" spans="1:45" s="17" customFormat="1" ht="12.75" customHeight="1">
      <c r="A353" s="11"/>
      <c r="C353" s="11"/>
      <c r="D353" s="10"/>
      <c r="AR353" s="10"/>
      <c r="AS353" s="10"/>
    </row>
    <row r="354" spans="1:45" s="17" customFormat="1" ht="12.75" customHeight="1">
      <c r="A354" s="11"/>
      <c r="C354" s="11"/>
      <c r="D354" s="10"/>
      <c r="AR354" s="10"/>
      <c r="AS354" s="10"/>
    </row>
    <row r="355" spans="1:45" s="17" customFormat="1" ht="12.75" customHeight="1">
      <c r="A355" s="11"/>
      <c r="C355" s="11"/>
      <c r="D355" s="10"/>
      <c r="AR355" s="10"/>
      <c r="AS355" s="10"/>
    </row>
    <row r="356" spans="1:45" s="17" customFormat="1" ht="12.75" customHeight="1">
      <c r="A356" s="11"/>
      <c r="C356" s="11"/>
      <c r="D356" s="10"/>
      <c r="AR356" s="10"/>
      <c r="AS356" s="10"/>
    </row>
    <row r="357" spans="1:45" s="17" customFormat="1" ht="12.75" customHeight="1">
      <c r="A357" s="11"/>
      <c r="C357" s="11"/>
      <c r="D357" s="10"/>
      <c r="AR357" s="10"/>
      <c r="AS357" s="10"/>
    </row>
    <row r="358" spans="1:45" s="17" customFormat="1" ht="12.75" customHeight="1">
      <c r="A358" s="11"/>
      <c r="C358" s="11"/>
      <c r="D358" s="10"/>
      <c r="AR358" s="10"/>
      <c r="AS358" s="10"/>
    </row>
    <row r="359" spans="1:45" s="17" customFormat="1" ht="12.75" customHeight="1">
      <c r="A359" s="11"/>
      <c r="C359" s="11"/>
      <c r="D359" s="10"/>
      <c r="AR359" s="10"/>
      <c r="AS359" s="10"/>
    </row>
    <row r="360" spans="1:45" s="17" customFormat="1" ht="12.75" customHeight="1">
      <c r="A360" s="11"/>
      <c r="C360" s="11"/>
      <c r="D360" s="10"/>
      <c r="AR360" s="10"/>
      <c r="AS360" s="10"/>
    </row>
    <row r="361" spans="1:45" s="17" customFormat="1" ht="12.75" customHeight="1">
      <c r="A361" s="11"/>
      <c r="C361" s="11"/>
      <c r="D361" s="10"/>
      <c r="AR361" s="10"/>
      <c r="AS361" s="10"/>
    </row>
    <row r="362" spans="1:45" s="17" customFormat="1" ht="12.75" customHeight="1">
      <c r="A362" s="11"/>
      <c r="C362" s="11"/>
      <c r="D362" s="10"/>
      <c r="AR362" s="10"/>
      <c r="AS362" s="10"/>
    </row>
    <row r="363" spans="1:45" s="17" customFormat="1" ht="12.75" customHeight="1">
      <c r="A363" s="11"/>
      <c r="C363" s="11"/>
      <c r="D363" s="10"/>
      <c r="AR363" s="10"/>
      <c r="AS363" s="10"/>
    </row>
    <row r="364" spans="1:45" s="17" customFormat="1" ht="12.75" customHeight="1">
      <c r="A364" s="11"/>
      <c r="C364" s="11"/>
      <c r="D364" s="10"/>
      <c r="AR364" s="10"/>
      <c r="AS364" s="10"/>
    </row>
    <row r="365" spans="1:45" s="17" customFormat="1" ht="12.75" customHeight="1">
      <c r="A365" s="11"/>
      <c r="C365" s="11"/>
      <c r="D365" s="10"/>
      <c r="AR365" s="10"/>
      <c r="AS365" s="10"/>
    </row>
    <row r="366" spans="1:45" s="17" customFormat="1" ht="12.75" customHeight="1">
      <c r="A366" s="11"/>
      <c r="C366" s="11"/>
      <c r="D366" s="10"/>
      <c r="AR366" s="10"/>
      <c r="AS366" s="10"/>
    </row>
    <row r="367" spans="1:45" s="17" customFormat="1" ht="12.75" customHeight="1">
      <c r="A367" s="11"/>
      <c r="C367" s="11"/>
      <c r="D367" s="10"/>
      <c r="AR367" s="10"/>
      <c r="AS367" s="10"/>
    </row>
    <row r="368" spans="1:45" s="17" customFormat="1" ht="12.75" customHeight="1">
      <c r="A368" s="11"/>
      <c r="C368" s="11"/>
      <c r="D368" s="10"/>
      <c r="AR368" s="10"/>
      <c r="AS368" s="10"/>
    </row>
    <row r="369" spans="1:45" s="17" customFormat="1" ht="12.75" customHeight="1">
      <c r="A369" s="11"/>
      <c r="C369" s="11"/>
      <c r="D369" s="10"/>
      <c r="AR369" s="10"/>
      <c r="AS369" s="10"/>
    </row>
    <row r="370" spans="1:45" s="17" customFormat="1" ht="12.75" customHeight="1">
      <c r="A370" s="11"/>
      <c r="C370" s="11"/>
      <c r="D370" s="10"/>
      <c r="AR370" s="10"/>
      <c r="AS370" s="10"/>
    </row>
    <row r="371" spans="1:45" s="17" customFormat="1" ht="12.75" customHeight="1">
      <c r="A371" s="11"/>
      <c r="C371" s="11"/>
      <c r="D371" s="10"/>
      <c r="AR371" s="10"/>
      <c r="AS371" s="10"/>
    </row>
    <row r="372" spans="1:45" s="17" customFormat="1" ht="12.75" customHeight="1">
      <c r="A372" s="11"/>
      <c r="C372" s="11"/>
      <c r="D372" s="10"/>
      <c r="AR372" s="10"/>
      <c r="AS372" s="10"/>
    </row>
    <row r="373" spans="1:45" s="17" customFormat="1" ht="12.75" customHeight="1">
      <c r="A373" s="11"/>
      <c r="C373" s="11"/>
      <c r="D373" s="10"/>
      <c r="AR373" s="10"/>
      <c r="AS373" s="10"/>
    </row>
    <row r="374" spans="1:45" s="17" customFormat="1" ht="12.75" customHeight="1">
      <c r="A374" s="11"/>
      <c r="C374" s="11"/>
      <c r="D374" s="10"/>
      <c r="AR374" s="10"/>
      <c r="AS374" s="10"/>
    </row>
    <row r="375" spans="1:45" s="17" customFormat="1" ht="12.75" customHeight="1">
      <c r="A375" s="11"/>
      <c r="C375" s="11"/>
      <c r="D375" s="10"/>
      <c r="AR375" s="10"/>
      <c r="AS375" s="10"/>
    </row>
    <row r="376" spans="1:45" s="17" customFormat="1" ht="12.75" customHeight="1">
      <c r="A376" s="11"/>
      <c r="C376" s="11"/>
      <c r="D376" s="10"/>
      <c r="AR376" s="10"/>
      <c r="AS376" s="10"/>
    </row>
    <row r="377" spans="1:45" s="17" customFormat="1" ht="12.75" customHeight="1">
      <c r="A377" s="11"/>
      <c r="C377" s="11"/>
      <c r="D377" s="10"/>
      <c r="AR377" s="10"/>
      <c r="AS377" s="10"/>
    </row>
    <row r="378" spans="1:45" s="17" customFormat="1" ht="12.75" customHeight="1">
      <c r="A378" s="11"/>
      <c r="C378" s="11"/>
      <c r="D378" s="10"/>
      <c r="AR378" s="10"/>
      <c r="AS378" s="10"/>
    </row>
    <row r="379" spans="1:45" s="17" customFormat="1" ht="12.75" customHeight="1">
      <c r="A379" s="11"/>
      <c r="C379" s="11"/>
      <c r="D379" s="10"/>
      <c r="AR379" s="10"/>
      <c r="AS379" s="10"/>
    </row>
    <row r="380" spans="1:45" s="17" customFormat="1" ht="12.75" customHeight="1">
      <c r="A380" s="11"/>
      <c r="C380" s="11"/>
      <c r="D380" s="10"/>
      <c r="AR380" s="10"/>
      <c r="AS380" s="10"/>
    </row>
    <row r="381" spans="1:45" s="17" customFormat="1" ht="12.75" customHeight="1">
      <c r="A381" s="11"/>
      <c r="C381" s="11"/>
      <c r="D381" s="10"/>
      <c r="AR381" s="10"/>
      <c r="AS381" s="10"/>
    </row>
    <row r="382" spans="1:45" s="17" customFormat="1" ht="12.75" customHeight="1">
      <c r="A382" s="11"/>
      <c r="C382" s="11"/>
      <c r="D382" s="10"/>
      <c r="AR382" s="10"/>
      <c r="AS382" s="10"/>
    </row>
    <row r="383" spans="1:45" s="17" customFormat="1" ht="12.75" customHeight="1">
      <c r="A383" s="11"/>
      <c r="C383" s="11"/>
      <c r="D383" s="10"/>
      <c r="AR383" s="10"/>
      <c r="AS383" s="10"/>
    </row>
    <row r="384" spans="1:45" s="17" customFormat="1" ht="12.75" customHeight="1">
      <c r="A384" s="11"/>
      <c r="C384" s="11"/>
      <c r="D384" s="10"/>
      <c r="AR384" s="10"/>
      <c r="AS384" s="10"/>
    </row>
    <row r="385" spans="1:45" s="17" customFormat="1" ht="12.75" customHeight="1">
      <c r="A385" s="11"/>
      <c r="C385" s="11"/>
      <c r="D385" s="10"/>
      <c r="AR385" s="10"/>
      <c r="AS385" s="10"/>
    </row>
    <row r="386" spans="1:45" s="17" customFormat="1" ht="12.75" customHeight="1">
      <c r="A386" s="11"/>
      <c r="C386" s="11"/>
      <c r="D386" s="10"/>
      <c r="AR386" s="10"/>
      <c r="AS386" s="10"/>
    </row>
    <row r="387" spans="1:45" s="17" customFormat="1" ht="12.75" customHeight="1">
      <c r="A387" s="11"/>
      <c r="C387" s="11"/>
      <c r="D387" s="10"/>
      <c r="AR387" s="10"/>
      <c r="AS387" s="10"/>
    </row>
    <row r="388" spans="1:45" s="17" customFormat="1" ht="12.75" customHeight="1">
      <c r="A388" s="11"/>
      <c r="C388" s="11"/>
      <c r="D388" s="10"/>
      <c r="AR388" s="10"/>
      <c r="AS388" s="10"/>
    </row>
    <row r="389" spans="1:45" s="17" customFormat="1" ht="12.75" customHeight="1">
      <c r="A389" s="11"/>
      <c r="C389" s="11"/>
      <c r="D389" s="10"/>
      <c r="AR389" s="10"/>
      <c r="AS389" s="10"/>
    </row>
    <row r="390" spans="1:45" s="17" customFormat="1" ht="12.75" customHeight="1">
      <c r="A390" s="11"/>
      <c r="C390" s="11"/>
      <c r="D390" s="10"/>
      <c r="AR390" s="10"/>
      <c r="AS390" s="10"/>
    </row>
    <row r="391" spans="1:45" s="17" customFormat="1" ht="12.75" customHeight="1">
      <c r="A391" s="11"/>
      <c r="C391" s="11"/>
      <c r="D391" s="10"/>
      <c r="AR391" s="10"/>
      <c r="AS391" s="10"/>
    </row>
    <row r="392" spans="1:45" s="17" customFormat="1" ht="12.75" customHeight="1">
      <c r="A392" s="11"/>
      <c r="C392" s="11"/>
      <c r="D392" s="10"/>
      <c r="AR392" s="10"/>
      <c r="AS392" s="10"/>
    </row>
    <row r="393" spans="1:45" s="17" customFormat="1" ht="12.75" customHeight="1">
      <c r="A393" s="11"/>
      <c r="C393" s="11"/>
      <c r="D393" s="10"/>
      <c r="AR393" s="10"/>
      <c r="AS393" s="10"/>
    </row>
    <row r="394" spans="1:45" s="17" customFormat="1" ht="12.75" customHeight="1">
      <c r="A394" s="11"/>
      <c r="C394" s="11"/>
      <c r="D394" s="10"/>
      <c r="AR394" s="10"/>
      <c r="AS394" s="10"/>
    </row>
    <row r="395" spans="1:45" s="17" customFormat="1" ht="12.75" customHeight="1">
      <c r="A395" s="11"/>
      <c r="C395" s="11"/>
      <c r="D395" s="10"/>
      <c r="AR395" s="10"/>
      <c r="AS395" s="10"/>
    </row>
    <row r="396" spans="1:45" s="17" customFormat="1" ht="12.75" customHeight="1">
      <c r="A396" s="11"/>
      <c r="C396" s="11"/>
      <c r="D396" s="10"/>
      <c r="AR396" s="10"/>
      <c r="AS396" s="10"/>
    </row>
    <row r="397" spans="1:45" s="17" customFormat="1" ht="12.75" customHeight="1">
      <c r="A397" s="11"/>
      <c r="C397" s="11"/>
      <c r="D397" s="10"/>
      <c r="AR397" s="10"/>
      <c r="AS397" s="10"/>
    </row>
    <row r="398" spans="1:45" s="17" customFormat="1" ht="12.75" customHeight="1">
      <c r="A398" s="11"/>
      <c r="C398" s="11"/>
      <c r="D398" s="10"/>
      <c r="AR398" s="10"/>
      <c r="AS398" s="10"/>
    </row>
    <row r="399" spans="1:45" s="17" customFormat="1" ht="12.75" customHeight="1">
      <c r="A399" s="11"/>
      <c r="C399" s="11"/>
      <c r="D399" s="10"/>
      <c r="AR399" s="10"/>
      <c r="AS399" s="10"/>
    </row>
    <row r="400" spans="1:45" s="17" customFormat="1" ht="12.75" customHeight="1">
      <c r="A400" s="11"/>
      <c r="C400" s="11"/>
      <c r="D400" s="10"/>
      <c r="AR400" s="10"/>
      <c r="AS400" s="10"/>
    </row>
    <row r="401" spans="1:45" s="17" customFormat="1" ht="12.75" customHeight="1">
      <c r="A401" s="11"/>
      <c r="C401" s="11"/>
      <c r="D401" s="10"/>
      <c r="AR401" s="10"/>
      <c r="AS401" s="10"/>
    </row>
    <row r="402" spans="1:45" s="17" customFormat="1" ht="12.75" customHeight="1">
      <c r="A402" s="11"/>
      <c r="C402" s="11"/>
      <c r="D402" s="10"/>
      <c r="AR402" s="10"/>
      <c r="AS402" s="10"/>
    </row>
    <row r="403" spans="1:45" s="17" customFormat="1" ht="12.75" customHeight="1">
      <c r="A403" s="11"/>
      <c r="C403" s="11"/>
      <c r="D403" s="10"/>
      <c r="AR403" s="10"/>
      <c r="AS403" s="10"/>
    </row>
    <row r="404" spans="1:45" s="17" customFormat="1" ht="12.75" customHeight="1">
      <c r="A404" s="11"/>
      <c r="C404" s="11"/>
      <c r="D404" s="10"/>
      <c r="AR404" s="10"/>
      <c r="AS404" s="10"/>
    </row>
    <row r="405" spans="1:45" s="17" customFormat="1" ht="12.75" customHeight="1">
      <c r="A405" s="11"/>
      <c r="C405" s="11"/>
      <c r="D405" s="10"/>
      <c r="AR405" s="10"/>
      <c r="AS405" s="10"/>
    </row>
    <row r="406" spans="1:45" s="17" customFormat="1" ht="12.75" customHeight="1">
      <c r="A406" s="11"/>
      <c r="C406" s="11"/>
      <c r="D406" s="10"/>
      <c r="AR406" s="10"/>
      <c r="AS406" s="10"/>
    </row>
    <row r="407" spans="1:45" s="17" customFormat="1" ht="12.75" customHeight="1">
      <c r="A407" s="11"/>
      <c r="C407" s="11"/>
      <c r="D407" s="10"/>
      <c r="AR407" s="10"/>
      <c r="AS407" s="10"/>
    </row>
    <row r="408" spans="1:45" s="17" customFormat="1" ht="12.75" customHeight="1">
      <c r="A408" s="11"/>
      <c r="C408" s="11"/>
      <c r="D408" s="10"/>
      <c r="AR408" s="10"/>
      <c r="AS408" s="10"/>
    </row>
    <row r="409" spans="1:45" s="17" customFormat="1" ht="12.75" customHeight="1">
      <c r="A409" s="11"/>
      <c r="C409" s="11"/>
      <c r="D409" s="10"/>
      <c r="AR409" s="10"/>
      <c r="AS409" s="10"/>
    </row>
    <row r="410" spans="1:45" s="17" customFormat="1" ht="12.75" customHeight="1">
      <c r="A410" s="11"/>
      <c r="C410" s="11"/>
      <c r="D410" s="10"/>
      <c r="AR410" s="10"/>
      <c r="AS410" s="10"/>
    </row>
    <row r="411" spans="1:45" s="17" customFormat="1" ht="12.75" customHeight="1">
      <c r="A411" s="11"/>
      <c r="C411" s="11"/>
      <c r="D411" s="10"/>
      <c r="AR411" s="10"/>
      <c r="AS411" s="10"/>
    </row>
    <row r="412" spans="1:45" s="17" customFormat="1" ht="12.75" customHeight="1">
      <c r="A412" s="11"/>
      <c r="C412" s="11"/>
      <c r="D412" s="10"/>
      <c r="AR412" s="10"/>
      <c r="AS412" s="10"/>
    </row>
    <row r="413" spans="1:45" s="17" customFormat="1" ht="12.75" customHeight="1">
      <c r="A413" s="11"/>
      <c r="C413" s="11"/>
      <c r="D413" s="10"/>
      <c r="AR413" s="10"/>
      <c r="AS413" s="10"/>
    </row>
    <row r="414" spans="1:45" s="17" customFormat="1" ht="12.75" customHeight="1">
      <c r="A414" s="11"/>
      <c r="C414" s="11"/>
      <c r="D414" s="10"/>
      <c r="AR414" s="10"/>
      <c r="AS414" s="10"/>
    </row>
    <row r="415" spans="1:45" s="17" customFormat="1" ht="12.75" customHeight="1">
      <c r="A415" s="11"/>
      <c r="C415" s="11"/>
      <c r="D415" s="10"/>
      <c r="AR415" s="10"/>
      <c r="AS415" s="10"/>
    </row>
    <row r="416" spans="1:45" s="17" customFormat="1" ht="12.75" customHeight="1">
      <c r="A416" s="11"/>
      <c r="C416" s="11"/>
      <c r="D416" s="10"/>
      <c r="AR416" s="10"/>
      <c r="AS416" s="10"/>
    </row>
    <row r="417" spans="1:45" s="17" customFormat="1" ht="12.75" customHeight="1">
      <c r="A417" s="11"/>
      <c r="C417" s="11"/>
      <c r="D417" s="10"/>
      <c r="AR417" s="10"/>
      <c r="AS417" s="10"/>
    </row>
    <row r="418" spans="1:45" s="17" customFormat="1" ht="12.75" customHeight="1">
      <c r="A418" s="11"/>
      <c r="C418" s="11"/>
      <c r="D418" s="10"/>
      <c r="AR418" s="10"/>
      <c r="AS418" s="10"/>
    </row>
    <row r="419" spans="1:45" s="17" customFormat="1" ht="12.75" customHeight="1">
      <c r="A419" s="11"/>
      <c r="C419" s="11"/>
      <c r="D419" s="10"/>
      <c r="AR419" s="10"/>
      <c r="AS419" s="10"/>
    </row>
    <row r="420" spans="1:45" s="17" customFormat="1" ht="12.75" customHeight="1">
      <c r="A420" s="11"/>
      <c r="C420" s="11"/>
      <c r="D420" s="10"/>
      <c r="AR420" s="10"/>
      <c r="AS420" s="10"/>
    </row>
    <row r="421" spans="1:45" s="17" customFormat="1" ht="12.75" customHeight="1">
      <c r="A421" s="11"/>
      <c r="C421" s="11"/>
      <c r="D421" s="10"/>
      <c r="AR421" s="10"/>
      <c r="AS421" s="10"/>
    </row>
    <row r="422" spans="1:45" s="17" customFormat="1" ht="12.75" customHeight="1">
      <c r="A422" s="11"/>
      <c r="C422" s="11"/>
      <c r="D422" s="10"/>
      <c r="AR422" s="10"/>
      <c r="AS422" s="10"/>
    </row>
    <row r="423" spans="1:45" s="17" customFormat="1" ht="12.75" customHeight="1">
      <c r="A423" s="11"/>
      <c r="C423" s="11"/>
      <c r="D423" s="10"/>
      <c r="AR423" s="10"/>
      <c r="AS423" s="10"/>
    </row>
    <row r="424" spans="1:45" s="17" customFormat="1" ht="12.75" customHeight="1">
      <c r="A424" s="11"/>
      <c r="C424" s="11"/>
      <c r="D424" s="10"/>
      <c r="AR424" s="10"/>
      <c r="AS424" s="10"/>
    </row>
    <row r="425" spans="1:45" s="17" customFormat="1" ht="12.75" customHeight="1">
      <c r="A425" s="11"/>
      <c r="C425" s="11"/>
      <c r="D425" s="10"/>
      <c r="AR425" s="10"/>
      <c r="AS425" s="10"/>
    </row>
    <row r="426" spans="1:45" s="17" customFormat="1" ht="12.75" customHeight="1">
      <c r="A426" s="11"/>
      <c r="C426" s="11"/>
      <c r="D426" s="10"/>
      <c r="AR426" s="10"/>
      <c r="AS426" s="10"/>
    </row>
    <row r="427" spans="1:45" s="17" customFormat="1" ht="12.75" customHeight="1">
      <c r="A427" s="11"/>
      <c r="C427" s="11"/>
      <c r="D427" s="10"/>
      <c r="AR427" s="10"/>
      <c r="AS427" s="10"/>
    </row>
    <row r="428" spans="1:45" s="17" customFormat="1" ht="12.75" customHeight="1">
      <c r="A428" s="11"/>
      <c r="C428" s="11"/>
      <c r="D428" s="10"/>
      <c r="AR428" s="10"/>
      <c r="AS428" s="10"/>
    </row>
    <row r="429" spans="1:45" s="17" customFormat="1" ht="12.75" customHeight="1">
      <c r="A429" s="11"/>
      <c r="C429" s="11"/>
      <c r="D429" s="10"/>
      <c r="AR429" s="10"/>
      <c r="AS429" s="10"/>
    </row>
    <row r="430" spans="1:45" s="17" customFormat="1" ht="12.75" customHeight="1">
      <c r="A430" s="11"/>
      <c r="C430" s="11"/>
      <c r="D430" s="10"/>
      <c r="AR430" s="10"/>
      <c r="AS430" s="10"/>
    </row>
    <row r="431" spans="1:45" s="17" customFormat="1" ht="12.75" customHeight="1">
      <c r="A431" s="11"/>
      <c r="C431" s="11"/>
      <c r="D431" s="10"/>
      <c r="AR431" s="10"/>
      <c r="AS431" s="10"/>
    </row>
    <row r="432" spans="1:45" s="17" customFormat="1" ht="12.75" customHeight="1">
      <c r="A432" s="11"/>
      <c r="C432" s="11"/>
      <c r="D432" s="10"/>
      <c r="AR432" s="10"/>
      <c r="AS432" s="10"/>
    </row>
    <row r="433" spans="1:45" s="17" customFormat="1" ht="12.75" customHeight="1">
      <c r="A433" s="11"/>
      <c r="C433" s="11"/>
      <c r="D433" s="10"/>
      <c r="AR433" s="10"/>
      <c r="AS433" s="10"/>
    </row>
    <row r="434" spans="1:45" s="17" customFormat="1" ht="12.75" customHeight="1">
      <c r="A434" s="11"/>
      <c r="C434" s="11"/>
      <c r="D434" s="10"/>
      <c r="AR434" s="10"/>
      <c r="AS434" s="10"/>
    </row>
    <row r="435" spans="1:45" s="17" customFormat="1" ht="12.75" customHeight="1">
      <c r="A435" s="11"/>
      <c r="C435" s="11"/>
      <c r="D435" s="10"/>
      <c r="AR435" s="10"/>
      <c r="AS435" s="10"/>
    </row>
    <row r="436" spans="1:45" s="17" customFormat="1" ht="12.75" customHeight="1">
      <c r="A436" s="11"/>
      <c r="C436" s="11"/>
      <c r="D436" s="10"/>
      <c r="AR436" s="10"/>
      <c r="AS436" s="10"/>
    </row>
    <row r="437" spans="1:45" s="17" customFormat="1" ht="12.75" customHeight="1">
      <c r="A437" s="11"/>
      <c r="C437" s="11"/>
      <c r="D437" s="10"/>
      <c r="AR437" s="10"/>
      <c r="AS437" s="10"/>
    </row>
    <row r="438" spans="1:45" s="17" customFormat="1" ht="12.75" customHeight="1">
      <c r="A438" s="11"/>
      <c r="C438" s="11"/>
      <c r="D438" s="10"/>
      <c r="AR438" s="10"/>
      <c r="AS438" s="10"/>
    </row>
    <row r="439" spans="1:45" s="17" customFormat="1" ht="12.75" customHeight="1">
      <c r="A439" s="11"/>
      <c r="C439" s="11"/>
      <c r="D439" s="10"/>
      <c r="AR439" s="10"/>
      <c r="AS439" s="10"/>
    </row>
    <row r="440" spans="1:45" s="17" customFormat="1" ht="12.75" customHeight="1">
      <c r="A440" s="11"/>
      <c r="C440" s="11"/>
      <c r="D440" s="10"/>
      <c r="AR440" s="10"/>
      <c r="AS440" s="10"/>
    </row>
    <row r="441" spans="1:45" s="17" customFormat="1" ht="12.75" customHeight="1">
      <c r="A441" s="11"/>
      <c r="C441" s="11"/>
      <c r="D441" s="10"/>
      <c r="AR441" s="10"/>
      <c r="AS441" s="10"/>
    </row>
    <row r="442" spans="1:45" s="17" customFormat="1" ht="12.75" customHeight="1">
      <c r="A442" s="11"/>
      <c r="C442" s="11"/>
      <c r="D442" s="10"/>
      <c r="AR442" s="10"/>
      <c r="AS442" s="10"/>
    </row>
    <row r="443" spans="1:45" s="17" customFormat="1" ht="12.75" customHeight="1">
      <c r="A443" s="11"/>
      <c r="C443" s="11"/>
      <c r="D443" s="10"/>
      <c r="AR443" s="10"/>
      <c r="AS443" s="10"/>
    </row>
    <row r="444" spans="1:45" s="17" customFormat="1" ht="12.75" customHeight="1">
      <c r="A444" s="11"/>
      <c r="C444" s="11"/>
      <c r="D444" s="10"/>
      <c r="AR444" s="10"/>
      <c r="AS444" s="10"/>
    </row>
    <row r="445" spans="1:45" s="17" customFormat="1" ht="12.75" customHeight="1">
      <c r="A445" s="11"/>
      <c r="C445" s="11"/>
      <c r="D445" s="10"/>
      <c r="AR445" s="10"/>
      <c r="AS445" s="10"/>
    </row>
    <row r="446" spans="1:45" s="17" customFormat="1" ht="12.75" customHeight="1">
      <c r="A446" s="11"/>
      <c r="C446" s="11"/>
      <c r="D446" s="10"/>
      <c r="AR446" s="10"/>
      <c r="AS446" s="10"/>
    </row>
    <row r="447" spans="1:45" s="17" customFormat="1" ht="12.75" customHeight="1">
      <c r="A447" s="11"/>
      <c r="C447" s="11"/>
      <c r="D447" s="10"/>
      <c r="AR447" s="10"/>
      <c r="AS447" s="10"/>
    </row>
    <row r="448" spans="1:45" s="17" customFormat="1" ht="12.75" customHeight="1">
      <c r="A448" s="11"/>
      <c r="C448" s="11"/>
      <c r="D448" s="10"/>
      <c r="AR448" s="10"/>
      <c r="AS448" s="10"/>
    </row>
    <row r="449" spans="1:45" s="17" customFormat="1" ht="12.75" customHeight="1">
      <c r="A449" s="11"/>
      <c r="C449" s="11"/>
      <c r="D449" s="10"/>
      <c r="AR449" s="10"/>
      <c r="AS449" s="10"/>
    </row>
    <row r="450" spans="1:45" s="17" customFormat="1" ht="12.75" customHeight="1">
      <c r="A450" s="11"/>
      <c r="C450" s="11"/>
      <c r="D450" s="10"/>
      <c r="AR450" s="10"/>
      <c r="AS450" s="10"/>
    </row>
    <row r="451" spans="1:45" s="17" customFormat="1" ht="12.75" customHeight="1">
      <c r="A451" s="11"/>
      <c r="C451" s="11"/>
      <c r="D451" s="10"/>
      <c r="AR451" s="10"/>
      <c r="AS451" s="10"/>
    </row>
    <row r="452" spans="1:45" s="17" customFormat="1" ht="12.75" customHeight="1">
      <c r="A452" s="11"/>
      <c r="C452" s="11"/>
      <c r="D452" s="10"/>
      <c r="AR452" s="10"/>
      <c r="AS452" s="10"/>
    </row>
    <row r="453" spans="1:45" s="17" customFormat="1" ht="12.75" customHeight="1">
      <c r="A453" s="11"/>
      <c r="C453" s="11"/>
      <c r="D453" s="10"/>
      <c r="AR453" s="10"/>
      <c r="AS453" s="10"/>
    </row>
    <row r="454" spans="1:45" s="17" customFormat="1" ht="12.75" customHeight="1">
      <c r="A454" s="11"/>
      <c r="C454" s="11"/>
      <c r="D454" s="10"/>
      <c r="AR454" s="10"/>
      <c r="AS454" s="10"/>
    </row>
    <row r="455" spans="1:45" s="17" customFormat="1" ht="12.75" customHeight="1">
      <c r="A455" s="11"/>
      <c r="C455" s="11"/>
      <c r="D455" s="10"/>
      <c r="AR455" s="10"/>
      <c r="AS455" s="10"/>
    </row>
    <row r="456" spans="1:45" s="17" customFormat="1" ht="12.75" customHeight="1">
      <c r="A456" s="11"/>
      <c r="C456" s="11"/>
      <c r="D456" s="10"/>
      <c r="AR456" s="10"/>
      <c r="AS456" s="10"/>
    </row>
    <row r="457" spans="1:45" s="17" customFormat="1" ht="12.75" customHeight="1">
      <c r="A457" s="11"/>
      <c r="C457" s="11"/>
      <c r="D457" s="10"/>
      <c r="AR457" s="10"/>
      <c r="AS457" s="10"/>
    </row>
    <row r="458" spans="1:45" s="17" customFormat="1" ht="12.75" customHeight="1">
      <c r="A458" s="11"/>
      <c r="C458" s="11"/>
      <c r="D458" s="10"/>
      <c r="AR458" s="10"/>
      <c r="AS458" s="10"/>
    </row>
    <row r="459" spans="1:45" s="17" customFormat="1" ht="12.75" customHeight="1">
      <c r="A459" s="11"/>
      <c r="C459" s="11"/>
      <c r="D459" s="10"/>
      <c r="AR459" s="10"/>
      <c r="AS459" s="10"/>
    </row>
    <row r="460" spans="1:45" s="17" customFormat="1" ht="12.75" customHeight="1">
      <c r="A460" s="11"/>
      <c r="C460" s="11"/>
      <c r="D460" s="10"/>
      <c r="AR460" s="10"/>
      <c r="AS460" s="10"/>
    </row>
    <row r="461" spans="1:45" s="17" customFormat="1" ht="12.75" customHeight="1">
      <c r="A461" s="11"/>
      <c r="C461" s="11"/>
      <c r="D461" s="10"/>
      <c r="AR461" s="10"/>
      <c r="AS461" s="10"/>
    </row>
    <row r="462" spans="1:45" s="17" customFormat="1" ht="12.75" customHeight="1">
      <c r="A462" s="11"/>
      <c r="C462" s="11"/>
      <c r="D462" s="10"/>
      <c r="AR462" s="10"/>
      <c r="AS462" s="10"/>
    </row>
    <row r="463" spans="1:45" s="17" customFormat="1" ht="12.75" customHeight="1">
      <c r="A463" s="11"/>
      <c r="C463" s="11"/>
      <c r="D463" s="10"/>
      <c r="AR463" s="10"/>
      <c r="AS463" s="10"/>
    </row>
    <row r="464" spans="1:45" s="17" customFormat="1" ht="12.75" customHeight="1">
      <c r="A464" s="11"/>
      <c r="C464" s="11"/>
      <c r="D464" s="10"/>
      <c r="AR464" s="10"/>
      <c r="AS464" s="10"/>
    </row>
    <row r="465" spans="1:45" s="17" customFormat="1" ht="12.75" customHeight="1">
      <c r="A465" s="11"/>
      <c r="C465" s="11"/>
      <c r="D465" s="10"/>
      <c r="AR465" s="10"/>
      <c r="AS465" s="10"/>
    </row>
    <row r="466" spans="1:45" s="17" customFormat="1" ht="12.75" customHeight="1">
      <c r="A466" s="11"/>
      <c r="C466" s="11"/>
      <c r="D466" s="10"/>
      <c r="AR466" s="10"/>
      <c r="AS466" s="10"/>
    </row>
    <row r="467" spans="1:45" s="17" customFormat="1" ht="12.75" customHeight="1">
      <c r="A467" s="11"/>
      <c r="C467" s="11"/>
      <c r="D467" s="10"/>
      <c r="AR467" s="10"/>
      <c r="AS467" s="10"/>
    </row>
    <row r="468" spans="1:45" s="17" customFormat="1" ht="12.75" customHeight="1">
      <c r="A468" s="11"/>
      <c r="C468" s="11"/>
      <c r="D468" s="10"/>
      <c r="AR468" s="10"/>
      <c r="AS468" s="10"/>
    </row>
    <row r="469" spans="1:45" s="17" customFormat="1" ht="12.75" customHeight="1">
      <c r="A469" s="11"/>
      <c r="C469" s="11"/>
      <c r="D469" s="10"/>
      <c r="AR469" s="10"/>
      <c r="AS469" s="10"/>
    </row>
    <row r="470" spans="1:45" s="17" customFormat="1" ht="12.75" customHeight="1">
      <c r="A470" s="11"/>
      <c r="C470" s="11"/>
      <c r="D470" s="10"/>
      <c r="AR470" s="10"/>
      <c r="AS470" s="10"/>
    </row>
    <row r="471" spans="1:45" s="17" customFormat="1" ht="12.75" customHeight="1">
      <c r="A471" s="11"/>
      <c r="C471" s="11"/>
      <c r="D471" s="10"/>
      <c r="AR471" s="10"/>
      <c r="AS471" s="10"/>
    </row>
    <row r="472" spans="1:45" s="17" customFormat="1" ht="12.75" customHeight="1">
      <c r="A472" s="11"/>
      <c r="C472" s="11"/>
      <c r="D472" s="10"/>
      <c r="AR472" s="10"/>
      <c r="AS472" s="10"/>
    </row>
    <row r="473" spans="1:45" s="17" customFormat="1" ht="12.75" customHeight="1">
      <c r="A473" s="11"/>
      <c r="C473" s="11"/>
      <c r="D473" s="10"/>
      <c r="AR473" s="10"/>
      <c r="AS473" s="10"/>
    </row>
    <row r="474" spans="1:45" s="17" customFormat="1" ht="12.75" customHeight="1">
      <c r="A474" s="11"/>
      <c r="C474" s="11"/>
      <c r="D474" s="10"/>
      <c r="AR474" s="10"/>
      <c r="AS474" s="10"/>
    </row>
    <row r="475" spans="1:45" s="17" customFormat="1" ht="12.75" customHeight="1">
      <c r="A475" s="11"/>
      <c r="C475" s="11"/>
      <c r="D475" s="10"/>
      <c r="AR475" s="10"/>
      <c r="AS475" s="10"/>
    </row>
    <row r="476" spans="1:45" s="17" customFormat="1" ht="12.75" customHeight="1">
      <c r="A476" s="11"/>
      <c r="C476" s="11"/>
      <c r="D476" s="10"/>
      <c r="AR476" s="10"/>
      <c r="AS476" s="10"/>
    </row>
    <row r="477" spans="1:45" s="17" customFormat="1" ht="12.75" customHeight="1">
      <c r="A477" s="11"/>
      <c r="C477" s="11"/>
      <c r="D477" s="10"/>
      <c r="AR477" s="10"/>
      <c r="AS477" s="10"/>
    </row>
    <row r="478" spans="1:45" s="17" customFormat="1" ht="12.75" customHeight="1">
      <c r="A478" s="11"/>
      <c r="C478" s="11"/>
      <c r="D478" s="10"/>
      <c r="AR478" s="10"/>
      <c r="AS478" s="10"/>
    </row>
    <row r="479" spans="1:45" s="17" customFormat="1" ht="12.75" customHeight="1">
      <c r="A479" s="11"/>
      <c r="C479" s="11"/>
      <c r="D479" s="10"/>
      <c r="AR479" s="10"/>
      <c r="AS479" s="10"/>
    </row>
    <row r="480" spans="1:45" s="17" customFormat="1" ht="12.75" customHeight="1">
      <c r="A480" s="11"/>
      <c r="C480" s="11"/>
      <c r="D480" s="10"/>
      <c r="AR480" s="10"/>
      <c r="AS480" s="10"/>
    </row>
    <row r="481" spans="1:45" s="17" customFormat="1" ht="12.75" customHeight="1">
      <c r="A481" s="11"/>
      <c r="C481" s="11"/>
      <c r="D481" s="10"/>
      <c r="AR481" s="10"/>
      <c r="AS481" s="10"/>
    </row>
    <row r="482" spans="1:45" s="17" customFormat="1" ht="12.75" customHeight="1">
      <c r="A482" s="11"/>
      <c r="C482" s="11"/>
      <c r="D482" s="10"/>
      <c r="AR482" s="10"/>
      <c r="AS482" s="10"/>
    </row>
    <row r="483" spans="1:45" s="17" customFormat="1" ht="12.75" customHeight="1">
      <c r="A483" s="11"/>
      <c r="C483" s="11"/>
      <c r="D483" s="10"/>
      <c r="AR483" s="10"/>
      <c r="AS483" s="10"/>
    </row>
    <row r="484" spans="1:45" s="17" customFormat="1" ht="12.75" customHeight="1">
      <c r="A484" s="11"/>
      <c r="C484" s="11"/>
      <c r="D484" s="10"/>
      <c r="AR484" s="10"/>
      <c r="AS484" s="10"/>
    </row>
    <row r="485" spans="1:45" s="17" customFormat="1" ht="12.75" customHeight="1">
      <c r="A485" s="11"/>
      <c r="C485" s="11"/>
      <c r="D485" s="10"/>
      <c r="AR485" s="10"/>
      <c r="AS485" s="10"/>
    </row>
    <row r="486" spans="1:45" s="17" customFormat="1" ht="12.75" customHeight="1">
      <c r="A486" s="11"/>
      <c r="C486" s="11"/>
      <c r="D486" s="10"/>
      <c r="AR486" s="10"/>
      <c r="AS486" s="10"/>
    </row>
    <row r="487" spans="1:45" s="17" customFormat="1" ht="12.75" customHeight="1">
      <c r="A487" s="11"/>
      <c r="C487" s="11"/>
      <c r="D487" s="10"/>
      <c r="AR487" s="10"/>
      <c r="AS487" s="10"/>
    </row>
    <row r="488" spans="1:45" s="17" customFormat="1" ht="12.75" customHeight="1">
      <c r="A488" s="11"/>
      <c r="C488" s="11"/>
      <c r="D488" s="10"/>
      <c r="AR488" s="10"/>
      <c r="AS488" s="10"/>
    </row>
    <row r="489" spans="1:45" s="17" customFormat="1" ht="12.75" customHeight="1">
      <c r="A489" s="11"/>
      <c r="C489" s="11"/>
      <c r="D489" s="10"/>
      <c r="AR489" s="10"/>
      <c r="AS489" s="10"/>
    </row>
    <row r="490" spans="1:45" s="17" customFormat="1" ht="12.75" customHeight="1">
      <c r="A490" s="11"/>
      <c r="C490" s="11"/>
      <c r="D490" s="10"/>
      <c r="AR490" s="10"/>
      <c r="AS490" s="10"/>
    </row>
    <row r="491" spans="1:45" s="17" customFormat="1" ht="12.75" customHeight="1">
      <c r="A491" s="11"/>
      <c r="C491" s="11"/>
      <c r="D491" s="10"/>
      <c r="AR491" s="10"/>
      <c r="AS491" s="10"/>
    </row>
    <row r="492" spans="1:45" s="17" customFormat="1" ht="12.75" customHeight="1">
      <c r="A492" s="11"/>
      <c r="C492" s="11"/>
      <c r="D492" s="10"/>
      <c r="AR492" s="10"/>
      <c r="AS492" s="10"/>
    </row>
    <row r="493" spans="1:45" s="17" customFormat="1" ht="12.75" customHeight="1">
      <c r="A493" s="11"/>
      <c r="C493" s="11"/>
      <c r="D493" s="10"/>
      <c r="AR493" s="10"/>
      <c r="AS493" s="10"/>
    </row>
    <row r="494" spans="1:45" s="17" customFormat="1" ht="12.75" customHeight="1">
      <c r="A494" s="11"/>
      <c r="C494" s="11"/>
      <c r="D494" s="10"/>
      <c r="AR494" s="10"/>
      <c r="AS494" s="10"/>
    </row>
    <row r="495" spans="1:45" s="17" customFormat="1" ht="12.75" customHeight="1">
      <c r="A495" s="11"/>
      <c r="C495" s="11"/>
      <c r="D495" s="10"/>
      <c r="AR495" s="10"/>
      <c r="AS495" s="10"/>
    </row>
    <row r="496" spans="1:45" s="17" customFormat="1" ht="12.75" customHeight="1">
      <c r="A496" s="11"/>
      <c r="C496" s="11"/>
      <c r="D496" s="10"/>
      <c r="AR496" s="10"/>
      <c r="AS496" s="10"/>
    </row>
    <row r="497" spans="1:45" s="17" customFormat="1" ht="12.75" customHeight="1">
      <c r="A497" s="11"/>
      <c r="C497" s="11"/>
      <c r="D497" s="10"/>
      <c r="AR497" s="10"/>
      <c r="AS497" s="10"/>
    </row>
    <row r="498" spans="1:45" s="17" customFormat="1" ht="12.75" customHeight="1">
      <c r="A498" s="11"/>
      <c r="C498" s="11"/>
      <c r="D498" s="10"/>
      <c r="AR498" s="10"/>
      <c r="AS498" s="10"/>
    </row>
    <row r="499" spans="1:45" s="17" customFormat="1" ht="12.75" customHeight="1">
      <c r="A499" s="11"/>
      <c r="C499" s="11"/>
      <c r="D499" s="10"/>
      <c r="AR499" s="10"/>
      <c r="AS499" s="10"/>
    </row>
    <row r="500" spans="1:45" s="17" customFormat="1" ht="12.75" customHeight="1">
      <c r="A500" s="11"/>
      <c r="C500" s="11"/>
      <c r="D500" s="10"/>
      <c r="AR500" s="10"/>
      <c r="AS500" s="10"/>
    </row>
    <row r="501" spans="1:45" s="17" customFormat="1" ht="12.75" customHeight="1">
      <c r="A501" s="11"/>
      <c r="C501" s="11"/>
      <c r="D501" s="10"/>
      <c r="AR501" s="10"/>
      <c r="AS501" s="10"/>
    </row>
    <row r="502" spans="1:45" s="17" customFormat="1" ht="12.75" customHeight="1">
      <c r="A502" s="11"/>
      <c r="C502" s="11"/>
      <c r="D502" s="10"/>
      <c r="AR502" s="10"/>
      <c r="AS502" s="10"/>
    </row>
    <row r="503" spans="1:45" s="17" customFormat="1" ht="12.75" customHeight="1">
      <c r="A503" s="11"/>
      <c r="C503" s="11"/>
      <c r="D503" s="10"/>
      <c r="AR503" s="10"/>
      <c r="AS503" s="10"/>
    </row>
    <row r="504" spans="1:45" s="17" customFormat="1" ht="12.75" customHeight="1">
      <c r="A504" s="11"/>
      <c r="C504" s="11"/>
      <c r="D504" s="10"/>
      <c r="AR504" s="10"/>
      <c r="AS504" s="10"/>
    </row>
    <row r="505" spans="1:45" s="17" customFormat="1" ht="12.75" customHeight="1">
      <c r="A505" s="11"/>
      <c r="C505" s="11"/>
      <c r="D505" s="10"/>
      <c r="AR505" s="10"/>
      <c r="AS505" s="10"/>
    </row>
    <row r="506" spans="1:45" s="17" customFormat="1" ht="12.75" customHeight="1">
      <c r="A506" s="11"/>
      <c r="C506" s="11"/>
      <c r="D506" s="10"/>
      <c r="AR506" s="10"/>
      <c r="AS506" s="10"/>
    </row>
    <row r="507" spans="1:45" s="17" customFormat="1" ht="12.75" customHeight="1">
      <c r="A507" s="11"/>
      <c r="C507" s="11"/>
      <c r="D507" s="10"/>
      <c r="AR507" s="10"/>
      <c r="AS507" s="10"/>
    </row>
    <row r="508" spans="1:45" s="17" customFormat="1" ht="12.75" customHeight="1">
      <c r="A508" s="11"/>
      <c r="C508" s="11"/>
      <c r="D508" s="10"/>
      <c r="AR508" s="10"/>
      <c r="AS508" s="10"/>
    </row>
    <row r="509" spans="1:45" s="17" customFormat="1" ht="12.75" customHeight="1">
      <c r="A509" s="11"/>
      <c r="C509" s="11"/>
      <c r="D509" s="10"/>
      <c r="AR509" s="10"/>
      <c r="AS509" s="10"/>
    </row>
    <row r="510" spans="1:45" s="17" customFormat="1" ht="12.75" customHeight="1">
      <c r="A510" s="11"/>
      <c r="C510" s="11"/>
      <c r="D510" s="10"/>
      <c r="AR510" s="10"/>
      <c r="AS510" s="10"/>
    </row>
    <row r="511" spans="1:45" s="17" customFormat="1" ht="12.75" customHeight="1">
      <c r="A511" s="11"/>
      <c r="C511" s="11"/>
      <c r="D511" s="10"/>
      <c r="AR511" s="10"/>
      <c r="AS511" s="10"/>
    </row>
    <row r="512" spans="1:45" s="17" customFormat="1" ht="12.75" customHeight="1">
      <c r="A512" s="11"/>
      <c r="C512" s="11"/>
      <c r="D512" s="10"/>
      <c r="AR512" s="10"/>
      <c r="AS512" s="10"/>
    </row>
    <row r="513" spans="1:45" s="17" customFormat="1" ht="12.75" customHeight="1">
      <c r="A513" s="11"/>
      <c r="C513" s="11"/>
      <c r="D513" s="10"/>
      <c r="AR513" s="10"/>
      <c r="AS513" s="10"/>
    </row>
    <row r="514" spans="1:45" s="17" customFormat="1" ht="12.75" customHeight="1">
      <c r="A514" s="11"/>
      <c r="C514" s="11"/>
      <c r="D514" s="10"/>
      <c r="AR514" s="10"/>
      <c r="AS514" s="10"/>
    </row>
    <row r="515" spans="1:45" s="17" customFormat="1" ht="12.75" customHeight="1">
      <c r="A515" s="11"/>
      <c r="C515" s="11"/>
      <c r="D515" s="10"/>
      <c r="AR515" s="10"/>
      <c r="AS515" s="10"/>
    </row>
    <row r="516" spans="1:45" s="17" customFormat="1" ht="12.75" customHeight="1">
      <c r="A516" s="11"/>
      <c r="C516" s="11"/>
      <c r="D516" s="10"/>
      <c r="AR516" s="10"/>
      <c r="AS516" s="10"/>
    </row>
    <row r="517" spans="1:45" s="17" customFormat="1" ht="12.75" customHeight="1">
      <c r="A517" s="11"/>
      <c r="C517" s="11"/>
      <c r="D517" s="10"/>
      <c r="AR517" s="10"/>
      <c r="AS517" s="10"/>
    </row>
    <row r="518" spans="1:45" s="17" customFormat="1" ht="12.75" customHeight="1">
      <c r="A518" s="11"/>
      <c r="C518" s="11"/>
      <c r="D518" s="10"/>
      <c r="AR518" s="10"/>
      <c r="AS518" s="10"/>
    </row>
    <row r="519" spans="1:45" s="17" customFormat="1" ht="12.75" customHeight="1">
      <c r="A519" s="11"/>
      <c r="C519" s="11"/>
      <c r="D519" s="10"/>
      <c r="AR519" s="10"/>
      <c r="AS519" s="10"/>
    </row>
    <row r="520" spans="1:45" s="17" customFormat="1" ht="12.75" customHeight="1">
      <c r="A520" s="11"/>
      <c r="C520" s="11"/>
      <c r="D520" s="10"/>
      <c r="AR520" s="10"/>
      <c r="AS520" s="10"/>
    </row>
    <row r="521" spans="1:45" s="17" customFormat="1" ht="12.75" customHeight="1">
      <c r="A521" s="11"/>
      <c r="C521" s="11"/>
      <c r="D521" s="10"/>
      <c r="AR521" s="10"/>
      <c r="AS521" s="10"/>
    </row>
    <row r="522" spans="1:45" s="17" customFormat="1" ht="12.75" customHeight="1">
      <c r="A522" s="11"/>
      <c r="C522" s="11"/>
      <c r="D522" s="10"/>
      <c r="AR522" s="10"/>
      <c r="AS522" s="10"/>
    </row>
    <row r="523" spans="1:45" s="17" customFormat="1" ht="12.75" customHeight="1">
      <c r="A523" s="11"/>
      <c r="C523" s="11"/>
      <c r="D523" s="10"/>
      <c r="AR523" s="10"/>
      <c r="AS523" s="10"/>
    </row>
    <row r="524" spans="1:45" s="17" customFormat="1" ht="12.75" customHeight="1">
      <c r="A524" s="11"/>
      <c r="C524" s="11"/>
      <c r="D524" s="10"/>
      <c r="AR524" s="10"/>
      <c r="AS524" s="10"/>
    </row>
    <row r="525" spans="1:45" s="17" customFormat="1" ht="12.75" customHeight="1">
      <c r="A525" s="11"/>
      <c r="C525" s="11"/>
      <c r="D525" s="10"/>
      <c r="AR525" s="10"/>
      <c r="AS525" s="10"/>
    </row>
    <row r="526" spans="1:45" s="17" customFormat="1" ht="12.75" customHeight="1">
      <c r="A526" s="11"/>
      <c r="C526" s="11"/>
      <c r="D526" s="10"/>
      <c r="AR526" s="10"/>
      <c r="AS526" s="10"/>
    </row>
    <row r="527" spans="1:45" s="17" customFormat="1" ht="12.75" customHeight="1">
      <c r="A527" s="11"/>
      <c r="C527" s="11"/>
      <c r="D527" s="10"/>
      <c r="AR527" s="10"/>
      <c r="AS527" s="10"/>
    </row>
    <row r="528" spans="1:45" s="17" customFormat="1" ht="12.75" customHeight="1">
      <c r="A528" s="11"/>
      <c r="C528" s="11"/>
      <c r="D528" s="10"/>
      <c r="AR528" s="10"/>
      <c r="AS528" s="10"/>
    </row>
    <row r="529" spans="1:45" s="17" customFormat="1" ht="12.75" customHeight="1">
      <c r="A529" s="11"/>
      <c r="C529" s="11"/>
      <c r="D529" s="10"/>
      <c r="AR529" s="10"/>
      <c r="AS529" s="10"/>
    </row>
    <row r="530" spans="1:45" s="17" customFormat="1" ht="12.75" customHeight="1">
      <c r="A530" s="11"/>
      <c r="C530" s="11"/>
      <c r="D530" s="10"/>
      <c r="AR530" s="10"/>
      <c r="AS530" s="10"/>
    </row>
    <row r="531" spans="1:45" s="17" customFormat="1" ht="12.75" customHeight="1">
      <c r="A531" s="11"/>
      <c r="C531" s="11"/>
      <c r="D531" s="10"/>
      <c r="AR531" s="10"/>
      <c r="AS531" s="10"/>
    </row>
    <row r="532" spans="1:45" s="17" customFormat="1" ht="12.75" customHeight="1">
      <c r="A532" s="11"/>
      <c r="C532" s="11"/>
      <c r="D532" s="10"/>
      <c r="AR532" s="10"/>
      <c r="AS532" s="10"/>
    </row>
    <row r="533" spans="1:45" s="17" customFormat="1" ht="12.75" customHeight="1">
      <c r="A533" s="11"/>
      <c r="C533" s="11"/>
      <c r="D533" s="10"/>
      <c r="AR533" s="10"/>
      <c r="AS533" s="10"/>
    </row>
    <row r="534" spans="1:45" s="17" customFormat="1" ht="12.75" customHeight="1">
      <c r="A534" s="11"/>
      <c r="C534" s="11"/>
      <c r="D534" s="10"/>
      <c r="AR534" s="10"/>
      <c r="AS534" s="10"/>
    </row>
    <row r="535" spans="1:45" s="17" customFormat="1" ht="12.75" customHeight="1">
      <c r="A535" s="11"/>
      <c r="C535" s="11"/>
      <c r="D535" s="10"/>
      <c r="AR535" s="10"/>
      <c r="AS535" s="10"/>
    </row>
    <row r="536" spans="1:45" s="17" customFormat="1" ht="12.75" customHeight="1">
      <c r="A536" s="11"/>
      <c r="C536" s="11"/>
      <c r="D536" s="10"/>
      <c r="AR536" s="10"/>
      <c r="AS536" s="10"/>
    </row>
    <row r="537" spans="1:45" s="17" customFormat="1" ht="12.75" customHeight="1">
      <c r="A537" s="11"/>
      <c r="C537" s="11"/>
      <c r="D537" s="10"/>
      <c r="AR537" s="10"/>
      <c r="AS537" s="10"/>
    </row>
    <row r="538" spans="1:45" s="17" customFormat="1" ht="12.75" customHeight="1">
      <c r="A538" s="11"/>
      <c r="C538" s="11"/>
      <c r="D538" s="10"/>
      <c r="AR538" s="10"/>
      <c r="AS538" s="10"/>
    </row>
    <row r="539" spans="1:45" s="17" customFormat="1" ht="12.75" customHeight="1">
      <c r="A539" s="11"/>
      <c r="C539" s="11"/>
      <c r="D539" s="10"/>
      <c r="AR539" s="10"/>
      <c r="AS539" s="10"/>
    </row>
    <row r="540" spans="1:45" s="17" customFormat="1" ht="12.75" customHeight="1">
      <c r="A540" s="11"/>
      <c r="C540" s="11"/>
      <c r="D540" s="10"/>
      <c r="AR540" s="10"/>
      <c r="AS540" s="10"/>
    </row>
    <row r="541" spans="1:45" s="17" customFormat="1" ht="12.75" customHeight="1">
      <c r="A541" s="11"/>
      <c r="C541" s="11"/>
      <c r="D541" s="10"/>
      <c r="AR541" s="10"/>
      <c r="AS541" s="10"/>
    </row>
    <row r="542" spans="1:45" s="17" customFormat="1" ht="12.75" customHeight="1">
      <c r="A542" s="11"/>
      <c r="C542" s="11"/>
      <c r="D542" s="10"/>
      <c r="AR542" s="10"/>
      <c r="AS542" s="10"/>
    </row>
    <row r="543" spans="1:45" s="17" customFormat="1" ht="12.75" customHeight="1">
      <c r="A543" s="11"/>
      <c r="C543" s="11"/>
      <c r="D543" s="10"/>
      <c r="AR543" s="10"/>
      <c r="AS543" s="10"/>
    </row>
    <row r="544" spans="1:45" s="17" customFormat="1" ht="12.75" customHeight="1">
      <c r="A544" s="11"/>
      <c r="C544" s="11"/>
      <c r="D544" s="10"/>
      <c r="AR544" s="10"/>
      <c r="AS544" s="10"/>
    </row>
    <row r="545" spans="1:45" s="17" customFormat="1" ht="12.75" customHeight="1">
      <c r="A545" s="11"/>
      <c r="C545" s="11"/>
      <c r="D545" s="10"/>
      <c r="AR545" s="10"/>
      <c r="AS545" s="10"/>
    </row>
    <row r="546" spans="1:45" s="17" customFormat="1" ht="12.75" customHeight="1">
      <c r="A546" s="11"/>
      <c r="C546" s="11"/>
      <c r="D546" s="10"/>
      <c r="AR546" s="10"/>
      <c r="AS546" s="10"/>
    </row>
    <row r="547" spans="1:45" s="17" customFormat="1" ht="12.75" customHeight="1">
      <c r="A547" s="11"/>
      <c r="C547" s="11"/>
      <c r="D547" s="10"/>
      <c r="AR547" s="10"/>
      <c r="AS547" s="10"/>
    </row>
    <row r="548" spans="1:45" s="17" customFormat="1" ht="12.75" customHeight="1">
      <c r="A548" s="11"/>
      <c r="C548" s="11"/>
      <c r="D548" s="10"/>
      <c r="AR548" s="10"/>
      <c r="AS548" s="10"/>
    </row>
    <row r="549" spans="1:45" s="17" customFormat="1" ht="12.75" customHeight="1">
      <c r="A549" s="11"/>
      <c r="C549" s="11"/>
      <c r="D549" s="10"/>
      <c r="AR549" s="10"/>
      <c r="AS549" s="10"/>
    </row>
    <row r="550" spans="1:45" s="17" customFormat="1" ht="12.75" customHeight="1">
      <c r="A550" s="11"/>
      <c r="C550" s="11"/>
      <c r="D550" s="10"/>
      <c r="AR550" s="10"/>
      <c r="AS550" s="10"/>
    </row>
    <row r="551" spans="1:45" s="17" customFormat="1" ht="12.75" customHeight="1">
      <c r="A551" s="11"/>
      <c r="C551" s="11"/>
      <c r="D551" s="10"/>
      <c r="AR551" s="10"/>
      <c r="AS551" s="10"/>
    </row>
    <row r="552" spans="1:45" s="17" customFormat="1" ht="12.75" customHeight="1">
      <c r="A552" s="11"/>
      <c r="C552" s="11"/>
      <c r="D552" s="10"/>
      <c r="AR552" s="10"/>
      <c r="AS552" s="10"/>
    </row>
    <row r="553" spans="1:45" s="17" customFormat="1" ht="12.75" customHeight="1">
      <c r="A553" s="11"/>
      <c r="C553" s="11"/>
      <c r="D553" s="10"/>
      <c r="AR553" s="10"/>
      <c r="AS553" s="10"/>
    </row>
    <row r="554" spans="1:45" s="17" customFormat="1" ht="12.75" customHeight="1">
      <c r="A554" s="11"/>
      <c r="C554" s="11"/>
      <c r="D554" s="10"/>
      <c r="AR554" s="10"/>
      <c r="AS554" s="10"/>
    </row>
    <row r="555" spans="1:45" s="17" customFormat="1" ht="12.75" customHeight="1">
      <c r="A555" s="11"/>
      <c r="C555" s="11"/>
      <c r="D555" s="10"/>
      <c r="AR555" s="10"/>
      <c r="AS555" s="10"/>
    </row>
    <row r="556" spans="1:45" s="17" customFormat="1" ht="12.75" customHeight="1">
      <c r="A556" s="11"/>
      <c r="C556" s="11"/>
      <c r="D556" s="10"/>
      <c r="AR556" s="10"/>
      <c r="AS556" s="10"/>
    </row>
    <row r="557" spans="1:45" s="17" customFormat="1" ht="12.75" customHeight="1">
      <c r="A557" s="11"/>
      <c r="C557" s="11"/>
      <c r="D557" s="10"/>
      <c r="AR557" s="10"/>
      <c r="AS557" s="10"/>
    </row>
    <row r="558" spans="1:45" s="17" customFormat="1" ht="12.75" customHeight="1">
      <c r="A558" s="11"/>
      <c r="C558" s="11"/>
      <c r="D558" s="10"/>
      <c r="AR558" s="10"/>
      <c r="AS558" s="10"/>
    </row>
    <row r="559" spans="1:45" s="17" customFormat="1" ht="12.75" customHeight="1">
      <c r="A559" s="11"/>
      <c r="C559" s="11"/>
      <c r="D559" s="10"/>
      <c r="AR559" s="10"/>
      <c r="AS559" s="10"/>
    </row>
    <row r="560" spans="1:45" s="17" customFormat="1" ht="12.75" customHeight="1">
      <c r="A560" s="11"/>
      <c r="C560" s="11"/>
      <c r="D560" s="10"/>
      <c r="AR560" s="10"/>
      <c r="AS560" s="10"/>
    </row>
    <row r="561" spans="1:45" s="17" customFormat="1" ht="12.75" customHeight="1">
      <c r="A561" s="11"/>
      <c r="C561" s="11"/>
      <c r="D561" s="10"/>
      <c r="AR561" s="10"/>
      <c r="AS561" s="10"/>
    </row>
    <row r="562" spans="1:45" s="17" customFormat="1" ht="12.75" customHeight="1">
      <c r="A562" s="11"/>
      <c r="C562" s="11"/>
      <c r="D562" s="10"/>
      <c r="AR562" s="10"/>
      <c r="AS562" s="10"/>
    </row>
    <row r="563" spans="1:45" s="17" customFormat="1" ht="12.75" customHeight="1">
      <c r="A563" s="11"/>
      <c r="C563" s="11"/>
      <c r="D563" s="10"/>
      <c r="AR563" s="10"/>
      <c r="AS563" s="10"/>
    </row>
    <row r="564" spans="1:45" s="17" customFormat="1" ht="12.75" customHeight="1">
      <c r="A564" s="11"/>
      <c r="C564" s="11"/>
      <c r="D564" s="10"/>
      <c r="AR564" s="10"/>
      <c r="AS564" s="10"/>
    </row>
    <row r="565" spans="1:45" s="17" customFormat="1" ht="12.75" customHeight="1">
      <c r="A565" s="11"/>
      <c r="C565" s="11"/>
      <c r="D565" s="10"/>
      <c r="AR565" s="10"/>
      <c r="AS565" s="10"/>
    </row>
    <row r="566" spans="1:45" s="17" customFormat="1" ht="12.75" customHeight="1">
      <c r="A566" s="11"/>
      <c r="C566" s="11"/>
      <c r="D566" s="10"/>
      <c r="AR566" s="10"/>
      <c r="AS566" s="10"/>
    </row>
    <row r="567" spans="1:45" s="17" customFormat="1" ht="12.75" customHeight="1">
      <c r="A567" s="11"/>
      <c r="C567" s="11"/>
      <c r="D567" s="10"/>
      <c r="AR567" s="10"/>
      <c r="AS567" s="10"/>
    </row>
    <row r="568" spans="1:45" s="17" customFormat="1" ht="12.75" customHeight="1">
      <c r="A568" s="11"/>
      <c r="C568" s="11"/>
      <c r="D568" s="10"/>
      <c r="AR568" s="10"/>
      <c r="AS568" s="10"/>
    </row>
    <row r="569" spans="1:45" s="17" customFormat="1" ht="12.75" customHeight="1">
      <c r="A569" s="11"/>
      <c r="C569" s="11"/>
      <c r="D569" s="10"/>
      <c r="AR569" s="10"/>
      <c r="AS569" s="10"/>
    </row>
    <row r="570" spans="1:45" s="17" customFormat="1" ht="12.75" customHeight="1">
      <c r="A570" s="11"/>
      <c r="C570" s="11"/>
      <c r="D570" s="10"/>
      <c r="AR570" s="10"/>
      <c r="AS570" s="10"/>
    </row>
    <row r="571" spans="1:45" s="17" customFormat="1" ht="12.75" customHeight="1">
      <c r="A571" s="11"/>
      <c r="C571" s="11"/>
      <c r="D571" s="10"/>
      <c r="AR571" s="10"/>
      <c r="AS571" s="10"/>
    </row>
    <row r="572" spans="1:45" s="17" customFormat="1" ht="12.75" customHeight="1">
      <c r="A572" s="11"/>
      <c r="C572" s="11"/>
      <c r="D572" s="10"/>
      <c r="AR572" s="10"/>
      <c r="AS572" s="10"/>
    </row>
    <row r="573" spans="1:45" s="17" customFormat="1" ht="12.75" customHeight="1">
      <c r="A573" s="11"/>
      <c r="C573" s="11"/>
      <c r="D573" s="10"/>
      <c r="AR573" s="10"/>
      <c r="AS573" s="10"/>
    </row>
    <row r="574" spans="1:45" s="17" customFormat="1" ht="12.75" customHeight="1">
      <c r="A574" s="11"/>
      <c r="C574" s="11"/>
      <c r="D574" s="10"/>
      <c r="AR574" s="10"/>
      <c r="AS574" s="10"/>
    </row>
    <row r="575" spans="1:45" s="17" customFormat="1" ht="12.75" customHeight="1">
      <c r="A575" s="11"/>
      <c r="C575" s="11"/>
      <c r="D575" s="10"/>
      <c r="AR575" s="10"/>
      <c r="AS575" s="10"/>
    </row>
    <row r="576" spans="1:45" s="17" customFormat="1" ht="12.75" customHeight="1">
      <c r="A576" s="11"/>
      <c r="C576" s="11"/>
      <c r="D576" s="10"/>
      <c r="AR576" s="10"/>
      <c r="AS576" s="10"/>
    </row>
    <row r="577" spans="1:45" s="17" customFormat="1" ht="12.75" customHeight="1">
      <c r="A577" s="11"/>
      <c r="C577" s="11"/>
      <c r="D577" s="10"/>
      <c r="AR577" s="10"/>
      <c r="AS577" s="10"/>
    </row>
    <row r="578" spans="1:45" s="17" customFormat="1" ht="12.75" customHeight="1">
      <c r="A578" s="11"/>
      <c r="C578" s="11"/>
      <c r="D578" s="10"/>
      <c r="AR578" s="10"/>
      <c r="AS578" s="10"/>
    </row>
    <row r="579" spans="1:45" s="17" customFormat="1" ht="12.75" customHeight="1">
      <c r="A579" s="11"/>
      <c r="C579" s="11"/>
      <c r="D579" s="10"/>
      <c r="AR579" s="10"/>
      <c r="AS579" s="10"/>
    </row>
    <row r="580" spans="1:45" s="17" customFormat="1" ht="12.75" customHeight="1">
      <c r="A580" s="11"/>
      <c r="C580" s="11"/>
      <c r="D580" s="10"/>
      <c r="AR580" s="10"/>
      <c r="AS580" s="10"/>
    </row>
    <row r="581" spans="1:45" s="17" customFormat="1" ht="12.75" customHeight="1">
      <c r="A581" s="11"/>
      <c r="C581" s="11"/>
      <c r="D581" s="10"/>
      <c r="AR581" s="10"/>
      <c r="AS581" s="10"/>
    </row>
    <row r="582" spans="1:45" s="17" customFormat="1" ht="12.75" customHeight="1">
      <c r="A582" s="11"/>
      <c r="C582" s="11"/>
      <c r="D582" s="10"/>
      <c r="AR582" s="10"/>
      <c r="AS582" s="10"/>
    </row>
    <row r="583" spans="1:45" s="17" customFormat="1" ht="12.75" customHeight="1">
      <c r="A583" s="11"/>
      <c r="C583" s="11"/>
      <c r="D583" s="10"/>
      <c r="AR583" s="10"/>
      <c r="AS583" s="10"/>
    </row>
    <row r="584" spans="1:45" s="17" customFormat="1" ht="12.75" customHeight="1">
      <c r="A584" s="11"/>
      <c r="C584" s="11"/>
      <c r="D584" s="10"/>
      <c r="AR584" s="10"/>
      <c r="AS584" s="10"/>
    </row>
    <row r="585" spans="1:45" s="17" customFormat="1" ht="12.75" customHeight="1">
      <c r="A585" s="11"/>
      <c r="C585" s="11"/>
      <c r="D585" s="10"/>
      <c r="AR585" s="10"/>
      <c r="AS585" s="10"/>
    </row>
    <row r="586" spans="1:45" s="17" customFormat="1" ht="12.75" customHeight="1">
      <c r="A586" s="11"/>
      <c r="C586" s="11"/>
      <c r="D586" s="10"/>
      <c r="AR586" s="10"/>
      <c r="AS586" s="10"/>
    </row>
    <row r="587" spans="1:45" s="17" customFormat="1" ht="12.75" customHeight="1">
      <c r="A587" s="11"/>
      <c r="C587" s="11"/>
      <c r="D587" s="10"/>
      <c r="AR587" s="10"/>
      <c r="AS587" s="10"/>
    </row>
    <row r="588" spans="1:45" s="17" customFormat="1" ht="12.75" customHeight="1">
      <c r="A588" s="11"/>
      <c r="C588" s="11"/>
      <c r="D588" s="10"/>
      <c r="AR588" s="10"/>
      <c r="AS588" s="10"/>
    </row>
    <row r="589" spans="1:45" s="17" customFormat="1" ht="12.75" customHeight="1">
      <c r="A589" s="11"/>
      <c r="C589" s="11"/>
      <c r="D589" s="10"/>
      <c r="AR589" s="10"/>
      <c r="AS589" s="10"/>
    </row>
    <row r="590" spans="1:45" s="17" customFormat="1" ht="12.75" customHeight="1">
      <c r="A590" s="11"/>
      <c r="C590" s="11"/>
      <c r="D590" s="10"/>
      <c r="AR590" s="10"/>
      <c r="AS590" s="10"/>
    </row>
    <row r="591" spans="1:45" s="17" customFormat="1" ht="12.75" customHeight="1">
      <c r="A591" s="11"/>
      <c r="C591" s="11"/>
      <c r="D591" s="10"/>
      <c r="AR591" s="10"/>
      <c r="AS591" s="10"/>
    </row>
    <row r="592" spans="1:45" s="17" customFormat="1" ht="12.75" customHeight="1">
      <c r="A592" s="11"/>
      <c r="C592" s="11"/>
      <c r="D592" s="10"/>
      <c r="AR592" s="10"/>
      <c r="AS592" s="10"/>
    </row>
    <row r="593" spans="1:45" s="17" customFormat="1" ht="12.75" customHeight="1">
      <c r="A593" s="11"/>
      <c r="C593" s="11"/>
      <c r="D593" s="10"/>
      <c r="AR593" s="10"/>
      <c r="AS593" s="10"/>
    </row>
    <row r="594" spans="1:45" s="17" customFormat="1" ht="12.75" customHeight="1">
      <c r="A594" s="11"/>
      <c r="C594" s="11"/>
      <c r="D594" s="10"/>
      <c r="AR594" s="10"/>
      <c r="AS594" s="10"/>
    </row>
    <row r="595" spans="1:45" s="17" customFormat="1" ht="12.75" customHeight="1">
      <c r="A595" s="11"/>
      <c r="C595" s="11"/>
      <c r="D595" s="10"/>
      <c r="AR595" s="10"/>
      <c r="AS595" s="10"/>
    </row>
    <row r="596" spans="1:45" s="17" customFormat="1" ht="12.75" customHeight="1">
      <c r="A596" s="11"/>
      <c r="C596" s="11"/>
      <c r="D596" s="10"/>
      <c r="AR596" s="10"/>
      <c r="AS596" s="10"/>
    </row>
    <row r="597" spans="1:45" s="17" customFormat="1" ht="12.75" customHeight="1">
      <c r="A597" s="11"/>
      <c r="C597" s="11"/>
      <c r="D597" s="10"/>
      <c r="AR597" s="10"/>
      <c r="AS597" s="10"/>
    </row>
    <row r="598" spans="1:45" s="17" customFormat="1" ht="12.75" customHeight="1">
      <c r="A598" s="11"/>
      <c r="C598" s="11"/>
      <c r="D598" s="10"/>
      <c r="AR598" s="10"/>
      <c r="AS598" s="10"/>
    </row>
    <row r="599" spans="1:45" s="17" customFormat="1" ht="12.75" customHeight="1">
      <c r="A599" s="11"/>
      <c r="C599" s="11"/>
      <c r="D599" s="10"/>
      <c r="AR599" s="10"/>
      <c r="AS599" s="10"/>
    </row>
    <row r="600" spans="1:45" s="17" customFormat="1" ht="12.75" customHeight="1">
      <c r="A600" s="11"/>
      <c r="C600" s="11"/>
      <c r="D600" s="10"/>
      <c r="AR600" s="10"/>
      <c r="AS600" s="10"/>
    </row>
    <row r="601" spans="1:45" s="17" customFormat="1" ht="12.75" customHeight="1">
      <c r="A601" s="11"/>
      <c r="C601" s="11"/>
      <c r="D601" s="10"/>
      <c r="AR601" s="10"/>
      <c r="AS601" s="10"/>
    </row>
    <row r="602" spans="1:45" s="17" customFormat="1" ht="12.75" customHeight="1">
      <c r="A602" s="11"/>
      <c r="C602" s="11"/>
      <c r="D602" s="10"/>
      <c r="AR602" s="10"/>
      <c r="AS602" s="10"/>
    </row>
    <row r="603" spans="1:45" s="17" customFormat="1" ht="12.75" customHeight="1">
      <c r="A603" s="11"/>
      <c r="C603" s="11"/>
      <c r="D603" s="10"/>
      <c r="AR603" s="10"/>
      <c r="AS603" s="10"/>
    </row>
    <row r="604" spans="1:45" s="17" customFormat="1" ht="12.75" customHeight="1">
      <c r="A604" s="11"/>
      <c r="C604" s="11"/>
      <c r="D604" s="10"/>
      <c r="AR604" s="10"/>
      <c r="AS604" s="10"/>
    </row>
    <row r="605" spans="1:45" s="17" customFormat="1" ht="12.75" customHeight="1">
      <c r="A605" s="11"/>
      <c r="C605" s="11"/>
      <c r="D605" s="10"/>
      <c r="AR605" s="10"/>
      <c r="AS605" s="10"/>
    </row>
    <row r="606" spans="1:45" s="17" customFormat="1" ht="12.75" customHeight="1">
      <c r="A606" s="11"/>
      <c r="C606" s="11"/>
      <c r="D606" s="10"/>
      <c r="AR606" s="10"/>
      <c r="AS606" s="10"/>
    </row>
    <row r="607" spans="1:45" s="17" customFormat="1" ht="12.75" customHeight="1">
      <c r="A607" s="11"/>
      <c r="C607" s="11"/>
      <c r="D607" s="10"/>
      <c r="AR607" s="10"/>
      <c r="AS607" s="10"/>
    </row>
    <row r="608" spans="1:45" s="17" customFormat="1" ht="12.75" customHeight="1">
      <c r="A608" s="11"/>
      <c r="C608" s="11"/>
      <c r="D608" s="10"/>
      <c r="AR608" s="10"/>
      <c r="AS608" s="10"/>
    </row>
    <row r="609" spans="1:45" s="17" customFormat="1" ht="12.75" customHeight="1">
      <c r="A609" s="11"/>
      <c r="C609" s="11"/>
      <c r="D609" s="10"/>
      <c r="AR609" s="10"/>
      <c r="AS609" s="10"/>
    </row>
    <row r="610" spans="1:45" s="17" customFormat="1" ht="12.75" customHeight="1">
      <c r="A610" s="11"/>
      <c r="C610" s="11"/>
      <c r="D610" s="10"/>
      <c r="AR610" s="10"/>
      <c r="AS610" s="10"/>
    </row>
    <row r="611" spans="1:45" s="17" customFormat="1" ht="12.75" customHeight="1">
      <c r="A611" s="11"/>
      <c r="C611" s="11"/>
      <c r="D611" s="10"/>
      <c r="AR611" s="10"/>
      <c r="AS611" s="10"/>
    </row>
    <row r="612" spans="1:45" s="17" customFormat="1" ht="12.75" customHeight="1">
      <c r="A612" s="11"/>
      <c r="C612" s="11"/>
      <c r="D612" s="10"/>
      <c r="AR612" s="10"/>
      <c r="AS612" s="10"/>
    </row>
    <row r="613" spans="1:45" s="17" customFormat="1" ht="12.75" customHeight="1">
      <c r="A613" s="11"/>
      <c r="C613" s="11"/>
      <c r="D613" s="10"/>
      <c r="AR613" s="10"/>
      <c r="AS613" s="10"/>
    </row>
    <row r="614" spans="1:45" s="17" customFormat="1" ht="12.75" customHeight="1">
      <c r="A614" s="11"/>
      <c r="C614" s="11"/>
      <c r="D614" s="10"/>
      <c r="AR614" s="10"/>
      <c r="AS614" s="10"/>
    </row>
    <row r="615" spans="1:45" s="17" customFormat="1" ht="12.75" customHeight="1">
      <c r="A615" s="11"/>
      <c r="C615" s="11"/>
      <c r="D615" s="10"/>
      <c r="AR615" s="10"/>
      <c r="AS615" s="10"/>
    </row>
    <row r="616" spans="1:45" s="17" customFormat="1" ht="12.75" customHeight="1">
      <c r="A616" s="11"/>
      <c r="C616" s="11"/>
      <c r="D616" s="10"/>
      <c r="AR616" s="10"/>
      <c r="AS616" s="10"/>
    </row>
    <row r="617" spans="1:45" s="17" customFormat="1" ht="12.75" customHeight="1">
      <c r="A617" s="11"/>
      <c r="C617" s="11"/>
      <c r="D617" s="10"/>
      <c r="AR617" s="10"/>
      <c r="AS617" s="10"/>
    </row>
    <row r="618" spans="1:45" s="17" customFormat="1" ht="12.75" customHeight="1">
      <c r="A618" s="11"/>
      <c r="C618" s="11"/>
      <c r="D618" s="10"/>
      <c r="AR618" s="10"/>
      <c r="AS618" s="10"/>
    </row>
    <row r="619" spans="1:45" s="17" customFormat="1" ht="12.75" customHeight="1">
      <c r="A619" s="11"/>
      <c r="C619" s="11"/>
      <c r="D619" s="10"/>
      <c r="AR619" s="10"/>
      <c r="AS619" s="10"/>
    </row>
    <row r="620" spans="1:45" s="17" customFormat="1" ht="12.75" customHeight="1">
      <c r="A620" s="11"/>
      <c r="C620" s="11"/>
      <c r="D620" s="10"/>
      <c r="AR620" s="10"/>
      <c r="AS620" s="10"/>
    </row>
    <row r="621" spans="1:45" s="17" customFormat="1" ht="12.75" customHeight="1">
      <c r="A621" s="11"/>
      <c r="C621" s="11"/>
      <c r="D621" s="10"/>
      <c r="AR621" s="10"/>
      <c r="AS621" s="10"/>
    </row>
    <row r="622" spans="1:45" s="17" customFormat="1" ht="12.75" customHeight="1">
      <c r="A622" s="11"/>
      <c r="C622" s="11"/>
      <c r="D622" s="10"/>
      <c r="AR622" s="10"/>
      <c r="AS622" s="10"/>
    </row>
    <row r="623" spans="1:45" s="17" customFormat="1" ht="12.75" customHeight="1">
      <c r="A623" s="11"/>
      <c r="C623" s="11"/>
      <c r="D623" s="10"/>
      <c r="AR623" s="10"/>
      <c r="AS623" s="10"/>
    </row>
    <row r="624" spans="1:45" s="17" customFormat="1" ht="12.75" customHeight="1">
      <c r="A624" s="11"/>
      <c r="C624" s="11"/>
      <c r="D624" s="10"/>
      <c r="AR624" s="10"/>
      <c r="AS624" s="10"/>
    </row>
    <row r="625" spans="1:45" s="17" customFormat="1" ht="12.75" customHeight="1">
      <c r="A625" s="11"/>
      <c r="C625" s="11"/>
      <c r="D625" s="10"/>
      <c r="AR625" s="10"/>
      <c r="AS625" s="10"/>
    </row>
    <row r="626" spans="1:45" s="17" customFormat="1" ht="12.75" customHeight="1">
      <c r="A626" s="11"/>
      <c r="C626" s="11"/>
      <c r="D626" s="10"/>
      <c r="AR626" s="10"/>
      <c r="AS626" s="10"/>
    </row>
    <row r="627" spans="1:45" s="17" customFormat="1" ht="12.75" customHeight="1">
      <c r="A627" s="11"/>
      <c r="C627" s="11"/>
      <c r="D627" s="10"/>
      <c r="AR627" s="10"/>
      <c r="AS627" s="10"/>
    </row>
    <row r="628" spans="1:45" s="17" customFormat="1" ht="12.75" customHeight="1">
      <c r="A628" s="11"/>
      <c r="C628" s="11"/>
      <c r="D628" s="10"/>
      <c r="AR628" s="10"/>
      <c r="AS628" s="10"/>
    </row>
    <row r="629" spans="1:45" s="17" customFormat="1" ht="12.75" customHeight="1">
      <c r="A629" s="11"/>
      <c r="C629" s="11"/>
      <c r="D629" s="10"/>
      <c r="AR629" s="10"/>
      <c r="AS629" s="10"/>
    </row>
    <row r="630" spans="1:45" s="17" customFormat="1" ht="12.75" customHeight="1">
      <c r="A630" s="11"/>
      <c r="C630" s="11"/>
      <c r="D630" s="10"/>
      <c r="AR630" s="10"/>
      <c r="AS630" s="10"/>
    </row>
    <row r="631" spans="1:45" s="17" customFormat="1" ht="12.75" customHeight="1">
      <c r="A631" s="11"/>
      <c r="C631" s="11"/>
      <c r="D631" s="10"/>
      <c r="AR631" s="10"/>
      <c r="AS631" s="10"/>
    </row>
    <row r="632" spans="1:45" s="17" customFormat="1" ht="12.75" customHeight="1">
      <c r="A632" s="11"/>
      <c r="C632" s="11"/>
      <c r="D632" s="10"/>
      <c r="AR632" s="10"/>
      <c r="AS632" s="10"/>
    </row>
    <row r="633" spans="1:45" s="17" customFormat="1" ht="12.75" customHeight="1">
      <c r="A633" s="11"/>
      <c r="C633" s="11"/>
      <c r="D633" s="10"/>
      <c r="AR633" s="10"/>
      <c r="AS633" s="10"/>
    </row>
    <row r="634" spans="1:45" s="17" customFormat="1" ht="12.75" customHeight="1">
      <c r="A634" s="11"/>
      <c r="C634" s="11"/>
      <c r="D634" s="10"/>
      <c r="AR634" s="10"/>
      <c r="AS634" s="10"/>
    </row>
    <row r="635" spans="1:45" s="17" customFormat="1" ht="12.75" customHeight="1">
      <c r="A635" s="11"/>
      <c r="C635" s="11"/>
      <c r="D635" s="10"/>
      <c r="AR635" s="10"/>
      <c r="AS635" s="10"/>
    </row>
    <row r="636" spans="1:45" s="17" customFormat="1" ht="12.75" customHeight="1">
      <c r="A636" s="11"/>
      <c r="C636" s="11"/>
      <c r="D636" s="10"/>
      <c r="AR636" s="10"/>
      <c r="AS636" s="10"/>
    </row>
    <row r="637" spans="1:45" s="17" customFormat="1" ht="12.75" customHeight="1">
      <c r="A637" s="11"/>
      <c r="C637" s="11"/>
      <c r="D637" s="10"/>
      <c r="AR637" s="10"/>
      <c r="AS637" s="10"/>
    </row>
    <row r="638" spans="1:45" s="17" customFormat="1" ht="12.75" customHeight="1">
      <c r="A638" s="11"/>
      <c r="C638" s="11"/>
      <c r="D638" s="10"/>
      <c r="AR638" s="10"/>
      <c r="AS638" s="10"/>
    </row>
    <row r="639" spans="1:45" s="17" customFormat="1" ht="12.75" customHeight="1">
      <c r="A639" s="11"/>
      <c r="C639" s="11"/>
      <c r="D639" s="10"/>
      <c r="AR639" s="10"/>
      <c r="AS639" s="10"/>
    </row>
    <row r="640" spans="1:45" s="17" customFormat="1" ht="12.75" customHeight="1">
      <c r="A640" s="11"/>
      <c r="C640" s="11"/>
      <c r="D640" s="10"/>
      <c r="AR640" s="10"/>
      <c r="AS640" s="10"/>
    </row>
    <row r="641" spans="1:45" s="17" customFormat="1" ht="12.75" customHeight="1">
      <c r="A641" s="11"/>
      <c r="C641" s="11"/>
      <c r="D641" s="10"/>
      <c r="AR641" s="10"/>
      <c r="AS641" s="10"/>
    </row>
    <row r="642" spans="1:45" s="17" customFormat="1" ht="12.75" customHeight="1">
      <c r="A642" s="11"/>
      <c r="C642" s="11"/>
      <c r="D642" s="10"/>
      <c r="AR642" s="10"/>
      <c r="AS642" s="10"/>
    </row>
    <row r="643" spans="1:45" s="17" customFormat="1" ht="12.75" customHeight="1">
      <c r="A643" s="11"/>
      <c r="C643" s="11"/>
      <c r="D643" s="10"/>
      <c r="AR643" s="10"/>
      <c r="AS643" s="10"/>
    </row>
    <row r="644" spans="1:45" s="17" customFormat="1" ht="12.75" customHeight="1">
      <c r="A644" s="11"/>
      <c r="C644" s="11"/>
      <c r="D644" s="10"/>
      <c r="AR644" s="10"/>
      <c r="AS644" s="10"/>
    </row>
    <row r="645" spans="1:45" s="17" customFormat="1" ht="12.75" customHeight="1">
      <c r="A645" s="11"/>
      <c r="C645" s="11"/>
      <c r="D645" s="10"/>
      <c r="AR645" s="10"/>
      <c r="AS645" s="10"/>
    </row>
    <row r="646" spans="1:45" s="17" customFormat="1" ht="12.75" customHeight="1">
      <c r="A646" s="11"/>
      <c r="C646" s="11"/>
      <c r="D646" s="10"/>
      <c r="AR646" s="10"/>
      <c r="AS646" s="10"/>
    </row>
    <row r="647" spans="1:45" s="17" customFormat="1" ht="12.75" customHeight="1">
      <c r="A647" s="11"/>
      <c r="C647" s="11"/>
      <c r="D647" s="10"/>
      <c r="AR647" s="10"/>
      <c r="AS647" s="10"/>
    </row>
    <row r="648" spans="1:45" s="17" customFormat="1" ht="12.75" customHeight="1">
      <c r="A648" s="11"/>
      <c r="C648" s="11"/>
      <c r="D648" s="10"/>
      <c r="AR648" s="10"/>
      <c r="AS648" s="10"/>
    </row>
    <row r="649" spans="1:45" s="17" customFormat="1" ht="12.75" customHeight="1">
      <c r="A649" s="11"/>
      <c r="C649" s="11"/>
      <c r="D649" s="10"/>
      <c r="AR649" s="10"/>
      <c r="AS649" s="10"/>
    </row>
    <row r="650" spans="1:45" s="17" customFormat="1" ht="12.75" customHeight="1">
      <c r="A650" s="11"/>
      <c r="C650" s="11"/>
      <c r="D650" s="10"/>
      <c r="AR650" s="10"/>
      <c r="AS650" s="10"/>
    </row>
    <row r="651" spans="1:45" s="17" customFormat="1" ht="12.75" customHeight="1">
      <c r="A651" s="11"/>
      <c r="C651" s="11"/>
      <c r="D651" s="10"/>
      <c r="AR651" s="10"/>
      <c r="AS651" s="10"/>
    </row>
    <row r="652" spans="1:45" s="17" customFormat="1" ht="12.75" customHeight="1">
      <c r="A652" s="11"/>
      <c r="C652" s="11"/>
      <c r="D652" s="10"/>
      <c r="AR652" s="10"/>
      <c r="AS652" s="10"/>
    </row>
    <row r="653" spans="1:45" s="17" customFormat="1" ht="12.75" customHeight="1">
      <c r="A653" s="11"/>
      <c r="C653" s="11"/>
      <c r="D653" s="10"/>
      <c r="AR653" s="10"/>
      <c r="AS653" s="10"/>
    </row>
    <row r="654" spans="1:45" s="17" customFormat="1" ht="12.75" customHeight="1">
      <c r="A654" s="11"/>
      <c r="C654" s="11"/>
      <c r="D654" s="10"/>
      <c r="AR654" s="10"/>
      <c r="AS654" s="10"/>
    </row>
    <row r="655" spans="1:45" ht="12.75" customHeight="1">
      <c r="B655" s="10"/>
    </row>
    <row r="656" spans="1:45" ht="12.75" customHeight="1">
      <c r="B656" s="10"/>
    </row>
  </sheetData>
  <phoneticPr fontId="4" type="noConversion"/>
  <pageMargins left="0.75" right="0.75" top="0.5" bottom="0.5" header="0" footer="0.25"/>
  <pageSetup scale="82" firstPageNumber="52" pageOrder="overThenDown" orientation="portrait" useFirstPageNumber="1" r:id="rId1"/>
  <headerFooter alignWithMargins="0">
    <oddFooter>&amp;C&amp;"Times New Roman,Regular"&amp;12&amp;P</oddFooter>
  </headerFooter>
  <rowBreaks count="3" manualBreakCount="3">
    <brk id="69" max="32" man="1"/>
    <brk id="130" max="32" man="1"/>
    <brk id="195" max="32" man="1"/>
  </rowBreaks>
  <colBreaks count="1" manualBreakCount="1">
    <brk id="16" min="9" max="25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X336"/>
  <sheetViews>
    <sheetView view="pageBreakPreview" zoomScale="75" zoomScaleNormal="170" zoomScaleSheetLayoutView="75" workbookViewId="0">
      <pane xSplit="3" ySplit="8" topLeftCell="D9" activePane="bottomRight" state="frozen"/>
      <selection pane="topRight" activeCell="D1" sqref="D1"/>
      <selection pane="bottomLeft" activeCell="A11" sqref="A11"/>
      <selection pane="bottomRight" activeCell="B14" sqref="B14"/>
    </sheetView>
  </sheetViews>
  <sheetFormatPr defaultColWidth="9.109375" defaultRowHeight="12.75" customHeight="1"/>
  <cols>
    <col min="1" max="1" width="16.33203125" style="110" customWidth="1"/>
    <col min="2" max="2" width="2.88671875" style="111" customWidth="1"/>
    <col min="3" max="3" width="14.44140625" style="110" customWidth="1"/>
    <col min="4" max="4" width="2.109375" style="111" customWidth="1"/>
    <col min="5" max="5" width="12.6640625" style="110" customWidth="1"/>
    <col min="6" max="6" width="2.109375" style="110" customWidth="1"/>
    <col min="7" max="7" width="12.33203125" style="110" customWidth="1"/>
    <col min="8" max="8" width="2.109375" style="110" customWidth="1"/>
    <col min="9" max="9" width="12.109375" style="110" customWidth="1"/>
    <col min="10" max="10" width="2.6640625" style="110" customWidth="1"/>
    <col min="11" max="11" width="12.33203125" style="110" customWidth="1"/>
    <col min="12" max="12" width="1.6640625" style="110" customWidth="1"/>
    <col min="13" max="13" width="13.6640625" style="110" customWidth="1"/>
    <col min="14" max="14" width="2.44140625" style="110" customWidth="1"/>
    <col min="15" max="15" width="13" style="110" customWidth="1"/>
    <col min="16" max="16" width="2.44140625" style="110" customWidth="1"/>
    <col min="17" max="17" width="13.33203125" style="110" customWidth="1"/>
    <col min="18" max="18" width="2.6640625" style="110" customWidth="1"/>
    <col min="19" max="19" width="14" style="112" customWidth="1"/>
    <col min="20" max="20" width="2.6640625" style="110" customWidth="1"/>
    <col min="21" max="21" width="12.88671875" style="113" customWidth="1"/>
    <col min="22" max="22" width="2.6640625" style="111" customWidth="1"/>
    <col min="23" max="23" width="12.6640625" style="2" customWidth="1"/>
    <col min="24" max="24" width="11.6640625" style="111" bestFit="1" customWidth="1"/>
    <col min="25" max="16384" width="9.109375" style="111"/>
  </cols>
  <sheetData>
    <row r="1" spans="1:23" s="109" customFormat="1" ht="12.75" customHeight="1">
      <c r="A1" s="23" t="s">
        <v>493</v>
      </c>
      <c r="C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"/>
      <c r="T1" s="24"/>
      <c r="U1" s="73"/>
      <c r="V1" s="27"/>
      <c r="W1" s="1"/>
    </row>
    <row r="2" spans="1:23" s="109" customFormat="1" ht="12.75" customHeight="1">
      <c r="A2" s="23" t="s">
        <v>501</v>
      </c>
      <c r="C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2"/>
      <c r="T2" s="24"/>
      <c r="U2" s="73"/>
      <c r="V2" s="27"/>
      <c r="W2" s="1"/>
    </row>
    <row r="3" spans="1:23" s="109" customFormat="1" ht="12.75" customHeight="1">
      <c r="A3" s="24" t="s">
        <v>289</v>
      </c>
      <c r="C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2"/>
      <c r="T3" s="24"/>
      <c r="U3" s="73"/>
      <c r="V3" s="27"/>
      <c r="W3" s="1"/>
    </row>
    <row r="4" spans="1:23" ht="12.75" customHeight="1">
      <c r="A4" s="156" t="s">
        <v>484</v>
      </c>
    </row>
    <row r="6" spans="1:23" s="114" customFormat="1" ht="12.75" customHeight="1">
      <c r="A6" s="23"/>
      <c r="C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6"/>
      <c r="T6" s="25"/>
      <c r="U6" s="37"/>
      <c r="V6" s="15"/>
      <c r="W6" s="3" t="s">
        <v>294</v>
      </c>
    </row>
    <row r="7" spans="1:23" s="114" customFormat="1" ht="12.75" customHeight="1">
      <c r="A7" s="25"/>
      <c r="C7" s="25"/>
      <c r="E7" s="25" t="s">
        <v>293</v>
      </c>
      <c r="F7" s="25"/>
      <c r="G7" s="25" t="s">
        <v>326</v>
      </c>
      <c r="H7" s="25"/>
      <c r="I7" s="25" t="s">
        <v>294</v>
      </c>
      <c r="J7" s="25"/>
      <c r="K7" s="25" t="s">
        <v>292</v>
      </c>
      <c r="L7" s="25"/>
      <c r="M7" s="25" t="s">
        <v>327</v>
      </c>
      <c r="N7" s="25"/>
      <c r="O7" s="25" t="s">
        <v>328</v>
      </c>
      <c r="P7" s="25"/>
      <c r="Q7" s="25" t="s">
        <v>329</v>
      </c>
      <c r="R7" s="25"/>
      <c r="S7" s="6" t="s">
        <v>330</v>
      </c>
      <c r="T7" s="25"/>
      <c r="U7" s="6" t="s">
        <v>6</v>
      </c>
      <c r="V7" s="15"/>
      <c r="W7" s="3" t="s">
        <v>434</v>
      </c>
    </row>
    <row r="8" spans="1:23" s="115" customFormat="1" ht="12.75" customHeight="1">
      <c r="A8" s="99" t="s">
        <v>8</v>
      </c>
      <c r="C8" s="99" t="s">
        <v>9</v>
      </c>
      <c r="E8" s="100" t="s">
        <v>423</v>
      </c>
      <c r="F8" s="26"/>
      <c r="G8" s="100" t="s">
        <v>299</v>
      </c>
      <c r="H8" s="26"/>
      <c r="I8" s="100" t="s">
        <v>299</v>
      </c>
      <c r="J8" s="26"/>
      <c r="K8" s="100" t="s">
        <v>297</v>
      </c>
      <c r="L8" s="26"/>
      <c r="M8" s="100" t="s">
        <v>331</v>
      </c>
      <c r="N8" s="26"/>
      <c r="O8" s="100" t="s">
        <v>332</v>
      </c>
      <c r="P8" s="26"/>
      <c r="Q8" s="100" t="s">
        <v>401</v>
      </c>
      <c r="R8" s="26"/>
      <c r="S8" s="78" t="s">
        <v>323</v>
      </c>
      <c r="T8" s="26"/>
      <c r="U8" s="78" t="s">
        <v>302</v>
      </c>
      <c r="V8" s="18"/>
      <c r="W8" s="7" t="s">
        <v>435</v>
      </c>
    </row>
    <row r="9" spans="1:23" s="115" customFormat="1" ht="12.75" customHeight="1">
      <c r="A9" s="26"/>
      <c r="C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8"/>
      <c r="T9" s="26"/>
      <c r="U9" s="53"/>
      <c r="V9" s="18"/>
      <c r="W9" s="81"/>
    </row>
    <row r="10" spans="1:23" s="117" customFormat="1" ht="12.75" customHeight="1">
      <c r="A10" s="44" t="s">
        <v>12</v>
      </c>
      <c r="B10" s="116"/>
      <c r="C10" s="44" t="s">
        <v>13</v>
      </c>
      <c r="D10" s="35"/>
      <c r="E10" s="94">
        <v>34008937</v>
      </c>
      <c r="F10" s="94"/>
      <c r="G10" s="94">
        <v>133917849</v>
      </c>
      <c r="H10" s="94"/>
      <c r="I10" s="94">
        <v>0</v>
      </c>
      <c r="J10" s="94"/>
      <c r="K10" s="94">
        <v>27410285</v>
      </c>
      <c r="L10" s="94"/>
      <c r="M10" s="94">
        <v>0</v>
      </c>
      <c r="N10" s="94"/>
      <c r="O10" s="94">
        <v>14412033</v>
      </c>
      <c r="P10" s="94"/>
      <c r="Q10" s="94">
        <v>9901876</v>
      </c>
      <c r="R10" s="94"/>
      <c r="S10" s="46">
        <f t="shared" ref="S10:S72" si="0">+U10-SUM(E10:Q10)</f>
        <v>112701608</v>
      </c>
      <c r="T10" s="94"/>
      <c r="U10" s="79">
        <v>332352588</v>
      </c>
      <c r="V10" s="46"/>
      <c r="W10" s="46">
        <f>20150000+2752385+3580999</f>
        <v>26483384</v>
      </c>
    </row>
    <row r="11" spans="1:23" s="118" customFormat="1" ht="12.75" customHeight="1">
      <c r="A11" s="44" t="s">
        <v>14</v>
      </c>
      <c r="C11" s="44" t="s">
        <v>15</v>
      </c>
      <c r="D11" s="35"/>
      <c r="E11" s="45">
        <v>1317000</v>
      </c>
      <c r="F11" s="45"/>
      <c r="G11" s="45">
        <v>8918599</v>
      </c>
      <c r="H11" s="45"/>
      <c r="I11" s="45">
        <v>0</v>
      </c>
      <c r="J11" s="45"/>
      <c r="K11" s="45">
        <v>219980</v>
      </c>
      <c r="L11" s="45"/>
      <c r="M11" s="45">
        <v>3339642</v>
      </c>
      <c r="N11" s="45"/>
      <c r="O11" s="45">
        <v>67529</v>
      </c>
      <c r="P11" s="45"/>
      <c r="Q11" s="45">
        <f>211965+707122</f>
        <v>919087</v>
      </c>
      <c r="R11" s="45"/>
      <c r="S11" s="44">
        <f t="shared" si="0"/>
        <v>1108471</v>
      </c>
      <c r="T11" s="45"/>
      <c r="U11" s="45">
        <v>15890308</v>
      </c>
      <c r="V11" s="44"/>
      <c r="W11" s="45">
        <v>1120695</v>
      </c>
    </row>
    <row r="12" spans="1:23" s="116" customFormat="1" ht="12.75" customHeight="1">
      <c r="A12" s="44" t="s">
        <v>16</v>
      </c>
      <c r="C12" s="44" t="s">
        <v>17</v>
      </c>
      <c r="D12" s="35"/>
      <c r="E12" s="45">
        <v>1488284</v>
      </c>
      <c r="F12" s="45"/>
      <c r="G12" s="45">
        <v>5063361</v>
      </c>
      <c r="H12" s="45"/>
      <c r="I12" s="45">
        <v>0</v>
      </c>
      <c r="J12" s="45"/>
      <c r="K12" s="45">
        <v>250524</v>
      </c>
      <c r="L12" s="45"/>
      <c r="M12" s="45">
        <v>2045228</v>
      </c>
      <c r="N12" s="45"/>
      <c r="O12" s="45">
        <v>0</v>
      </c>
      <c r="P12" s="45"/>
      <c r="Q12" s="45">
        <f>178742+74222</f>
        <v>252964</v>
      </c>
      <c r="R12" s="45"/>
      <c r="S12" s="44">
        <f t="shared" si="0"/>
        <v>648420</v>
      </c>
      <c r="T12" s="45"/>
      <c r="U12" s="45">
        <v>9748781</v>
      </c>
      <c r="V12" s="44"/>
      <c r="W12" s="45">
        <v>585000</v>
      </c>
    </row>
    <row r="13" spans="1:23" s="116" customFormat="1" ht="12.75" customHeight="1">
      <c r="A13" s="44" t="s">
        <v>18</v>
      </c>
      <c r="C13" s="44" t="s">
        <v>18</v>
      </c>
      <c r="D13" s="35"/>
      <c r="E13" s="45">
        <v>1285673</v>
      </c>
      <c r="F13" s="45"/>
      <c r="G13" s="45">
        <v>8231759</v>
      </c>
      <c r="H13" s="45"/>
      <c r="I13" s="45">
        <v>0</v>
      </c>
      <c r="J13" s="45"/>
      <c r="K13" s="45">
        <v>2116113</v>
      </c>
      <c r="L13" s="45"/>
      <c r="M13" s="45">
        <v>367013</v>
      </c>
      <c r="N13" s="45"/>
      <c r="O13" s="45">
        <v>0</v>
      </c>
      <c r="P13" s="45"/>
      <c r="Q13" s="45">
        <f>1098332+3745252+34102</f>
        <v>4877686</v>
      </c>
      <c r="R13" s="45"/>
      <c r="S13" s="44">
        <f t="shared" si="0"/>
        <v>327396</v>
      </c>
      <c r="T13" s="45"/>
      <c r="U13" s="45">
        <v>17205640</v>
      </c>
      <c r="V13" s="44"/>
      <c r="W13" s="45">
        <f>846829+250000+9944</f>
        <v>1106773</v>
      </c>
    </row>
    <row r="14" spans="1:23" s="116" customFormat="1" ht="12.75" customHeight="1">
      <c r="A14" s="44" t="s">
        <v>19</v>
      </c>
      <c r="C14" s="44" t="s">
        <v>19</v>
      </c>
      <c r="D14" s="35"/>
      <c r="E14" s="45">
        <v>2109613</v>
      </c>
      <c r="F14" s="45"/>
      <c r="G14" s="45">
        <v>6757873</v>
      </c>
      <c r="H14" s="45"/>
      <c r="I14" s="45">
        <v>0</v>
      </c>
      <c r="J14" s="45"/>
      <c r="K14" s="45">
        <v>1886125</v>
      </c>
      <c r="L14" s="45"/>
      <c r="M14" s="45">
        <v>3870165</v>
      </c>
      <c r="N14" s="45"/>
      <c r="O14" s="45">
        <v>37417</v>
      </c>
      <c r="P14" s="45"/>
      <c r="Q14" s="45">
        <f>328673+883633</f>
        <v>1212306</v>
      </c>
      <c r="R14" s="45"/>
      <c r="S14" s="44">
        <f t="shared" si="0"/>
        <v>741860</v>
      </c>
      <c r="T14" s="45"/>
      <c r="U14" s="45">
        <v>16615359</v>
      </c>
      <c r="V14" s="44"/>
      <c r="W14" s="45">
        <f>5400+1706720</f>
        <v>1712120</v>
      </c>
    </row>
    <row r="15" spans="1:23" s="116" customFormat="1" ht="12.75" customHeight="1">
      <c r="A15" s="44" t="s">
        <v>20</v>
      </c>
      <c r="C15" s="44" t="s">
        <v>20</v>
      </c>
      <c r="D15" s="35"/>
      <c r="E15" s="45">
        <v>689031</v>
      </c>
      <c r="F15" s="45"/>
      <c r="G15" s="45">
        <v>9400164</v>
      </c>
      <c r="H15" s="45"/>
      <c r="I15" s="45">
        <v>249680</v>
      </c>
      <c r="J15" s="45"/>
      <c r="K15" s="45">
        <v>1694600</v>
      </c>
      <c r="L15" s="45"/>
      <c r="M15" s="45">
        <v>4166843</v>
      </c>
      <c r="N15" s="45"/>
      <c r="O15" s="45">
        <v>6398</v>
      </c>
      <c r="P15" s="45"/>
      <c r="Q15" s="45">
        <f>728019+1246992</f>
        <v>1975011</v>
      </c>
      <c r="R15" s="45"/>
      <c r="S15" s="44">
        <f t="shared" si="0"/>
        <v>1298430</v>
      </c>
      <c r="T15" s="45"/>
      <c r="U15" s="45">
        <v>19480157</v>
      </c>
      <c r="V15" s="44"/>
      <c r="W15" s="45">
        <v>875071</v>
      </c>
    </row>
    <row r="16" spans="1:23" s="116" customFormat="1" ht="12.75" customHeight="1">
      <c r="A16" s="44" t="s">
        <v>21</v>
      </c>
      <c r="C16" s="44" t="s">
        <v>22</v>
      </c>
      <c r="D16" s="35"/>
      <c r="E16" s="45">
        <v>4126122</v>
      </c>
      <c r="F16" s="45"/>
      <c r="G16" s="45">
        <v>10983103</v>
      </c>
      <c r="H16" s="45"/>
      <c r="I16" s="45">
        <v>737414</v>
      </c>
      <c r="J16" s="45"/>
      <c r="K16" s="45">
        <v>581794</v>
      </c>
      <c r="L16" s="45"/>
      <c r="M16" s="45">
        <v>2070861</v>
      </c>
      <c r="N16" s="45"/>
      <c r="O16" s="45">
        <v>0</v>
      </c>
      <c r="P16" s="45"/>
      <c r="Q16" s="45">
        <f>247036+62223</f>
        <v>309259</v>
      </c>
      <c r="R16" s="45"/>
      <c r="S16" s="44">
        <f t="shared" si="0"/>
        <v>778974</v>
      </c>
      <c r="T16" s="45"/>
      <c r="U16" s="45">
        <v>19587527</v>
      </c>
      <c r="V16" s="44"/>
      <c r="W16" s="45">
        <f>150000+3186476</f>
        <v>3336476</v>
      </c>
    </row>
    <row r="17" spans="1:23" s="116" customFormat="1" ht="12.75" customHeight="1">
      <c r="A17" s="44" t="s">
        <v>23</v>
      </c>
      <c r="C17" s="44" t="s">
        <v>17</v>
      </c>
      <c r="D17" s="35"/>
      <c r="E17" s="45">
        <v>3854146</v>
      </c>
      <c r="F17" s="45"/>
      <c r="G17" s="45">
        <v>9294659</v>
      </c>
      <c r="H17" s="45"/>
      <c r="I17" s="45">
        <v>0</v>
      </c>
      <c r="J17" s="45"/>
      <c r="K17" s="45">
        <v>814606</v>
      </c>
      <c r="L17" s="45"/>
      <c r="M17" s="45">
        <v>3581433</v>
      </c>
      <c r="N17" s="45"/>
      <c r="O17" s="45">
        <v>243986</v>
      </c>
      <c r="P17" s="45"/>
      <c r="Q17" s="45">
        <f>974480+206207</f>
        <v>1180687</v>
      </c>
      <c r="R17" s="45"/>
      <c r="S17" s="44">
        <f t="shared" si="0"/>
        <v>1079942</v>
      </c>
      <c r="T17" s="45"/>
      <c r="U17" s="45">
        <v>20049459</v>
      </c>
      <c r="V17" s="44"/>
      <c r="W17" s="45">
        <f>45981044-14669261</f>
        <v>31311783</v>
      </c>
    </row>
    <row r="18" spans="1:23" s="116" customFormat="1" ht="12.75" customHeight="1">
      <c r="A18" s="44" t="s">
        <v>24</v>
      </c>
      <c r="C18" s="44" t="s">
        <v>17</v>
      </c>
      <c r="D18" s="35"/>
      <c r="E18" s="45">
        <v>5586026</v>
      </c>
      <c r="F18" s="45"/>
      <c r="G18" s="45">
        <v>10685567</v>
      </c>
      <c r="H18" s="45"/>
      <c r="I18" s="45"/>
      <c r="J18" s="45"/>
      <c r="K18" s="45">
        <v>404574</v>
      </c>
      <c r="L18" s="45"/>
      <c r="M18" s="45">
        <v>3245949</v>
      </c>
      <c r="N18" s="45"/>
      <c r="O18" s="45">
        <v>422505</v>
      </c>
      <c r="P18" s="45"/>
      <c r="Q18" s="45">
        <f>480964+280896</f>
        <v>761860</v>
      </c>
      <c r="R18" s="45"/>
      <c r="S18" s="44">
        <f t="shared" si="0"/>
        <v>723767</v>
      </c>
      <c r="T18" s="45"/>
      <c r="U18" s="45">
        <v>21830248</v>
      </c>
      <c r="V18" s="44"/>
      <c r="W18" s="45">
        <v>10569353</v>
      </c>
    </row>
    <row r="19" spans="1:23" s="116" customFormat="1" ht="12.75" customHeight="1">
      <c r="A19" s="44" t="s">
        <v>25</v>
      </c>
      <c r="C19" s="44" t="s">
        <v>13</v>
      </c>
      <c r="D19" s="35"/>
      <c r="E19" s="45">
        <v>1758868</v>
      </c>
      <c r="F19" s="45"/>
      <c r="G19" s="45">
        <v>10843018</v>
      </c>
      <c r="H19" s="45"/>
      <c r="I19" s="45">
        <v>0</v>
      </c>
      <c r="J19" s="45"/>
      <c r="K19" s="45">
        <v>2348503</v>
      </c>
      <c r="L19" s="45"/>
      <c r="M19" s="45">
        <v>5646214</v>
      </c>
      <c r="N19" s="45"/>
      <c r="O19" s="45">
        <v>187152</v>
      </c>
      <c r="P19" s="45"/>
      <c r="Q19" s="45">
        <f>141944+91960</f>
        <v>233904</v>
      </c>
      <c r="R19" s="45"/>
      <c r="S19" s="44">
        <f t="shared" si="0"/>
        <v>2437093</v>
      </c>
      <c r="T19" s="45"/>
      <c r="U19" s="45">
        <v>23454752</v>
      </c>
      <c r="V19" s="44"/>
      <c r="W19" s="45">
        <f>17282+300000+79843+1771349</f>
        <v>2168474</v>
      </c>
    </row>
    <row r="20" spans="1:23" s="116" customFormat="1" ht="12.75" customHeight="1">
      <c r="A20" s="44" t="s">
        <v>26</v>
      </c>
      <c r="C20" s="44" t="s">
        <v>27</v>
      </c>
      <c r="D20" s="35"/>
      <c r="E20" s="45">
        <v>6643888</v>
      </c>
      <c r="F20" s="45"/>
      <c r="G20" s="45">
        <v>5066993</v>
      </c>
      <c r="H20" s="45"/>
      <c r="I20" s="45">
        <v>0</v>
      </c>
      <c r="J20" s="45"/>
      <c r="K20" s="45">
        <v>360097</v>
      </c>
      <c r="L20" s="45"/>
      <c r="M20" s="45">
        <v>3254560</v>
      </c>
      <c r="N20" s="45"/>
      <c r="O20" s="45">
        <v>52588</v>
      </c>
      <c r="P20" s="45"/>
      <c r="Q20" s="45">
        <v>422428</v>
      </c>
      <c r="R20" s="45"/>
      <c r="S20" s="44">
        <f t="shared" si="0"/>
        <v>999771</v>
      </c>
      <c r="T20" s="45"/>
      <c r="U20" s="45">
        <v>16800325</v>
      </c>
      <c r="V20" s="44"/>
      <c r="W20" s="45">
        <f>1125000+10120+26421+12557850</f>
        <v>13719391</v>
      </c>
    </row>
    <row r="21" spans="1:23" s="116" customFormat="1" ht="12.75" customHeight="1">
      <c r="A21" s="44" t="s">
        <v>28</v>
      </c>
      <c r="C21" s="44" t="s">
        <v>27</v>
      </c>
      <c r="D21" s="35"/>
      <c r="E21" s="45">
        <v>2792537</v>
      </c>
      <c r="F21" s="45"/>
      <c r="G21" s="45">
        <v>20440036</v>
      </c>
      <c r="H21" s="45"/>
      <c r="I21" s="45">
        <f>143979+809102+122662+4593353</f>
        <v>5669096</v>
      </c>
      <c r="J21" s="45"/>
      <c r="K21" s="45">
        <v>1782627</v>
      </c>
      <c r="L21" s="45"/>
      <c r="M21" s="45">
        <v>939868</v>
      </c>
      <c r="N21" s="45"/>
      <c r="O21" s="45">
        <v>1025493</v>
      </c>
      <c r="P21" s="45"/>
      <c r="Q21" s="45">
        <v>1324213</v>
      </c>
      <c r="R21" s="45"/>
      <c r="S21" s="44">
        <f t="shared" si="0"/>
        <v>2135515</v>
      </c>
      <c r="T21" s="45"/>
      <c r="U21" s="45">
        <v>36109385</v>
      </c>
      <c r="V21" s="44"/>
      <c r="W21" s="45">
        <f>5036263</f>
        <v>5036263</v>
      </c>
    </row>
    <row r="22" spans="1:23" s="116" customFormat="1" ht="12.75" customHeight="1">
      <c r="A22" s="44" t="s">
        <v>29</v>
      </c>
      <c r="C22" s="44" t="s">
        <v>30</v>
      </c>
      <c r="D22" s="35"/>
      <c r="E22" s="45">
        <v>11676522</v>
      </c>
      <c r="F22" s="45"/>
      <c r="G22" s="45">
        <v>0</v>
      </c>
      <c r="H22" s="45"/>
      <c r="I22" s="45">
        <v>0</v>
      </c>
      <c r="J22" s="45"/>
      <c r="K22" s="45">
        <v>490591</v>
      </c>
      <c r="L22" s="45"/>
      <c r="M22" s="45">
        <v>6215413</v>
      </c>
      <c r="N22" s="45"/>
      <c r="O22" s="45">
        <v>617175</v>
      </c>
      <c r="P22" s="45"/>
      <c r="Q22" s="45">
        <v>1077570</v>
      </c>
      <c r="R22" s="45"/>
      <c r="S22" s="44">
        <f t="shared" si="0"/>
        <v>496536</v>
      </c>
      <c r="T22" s="45"/>
      <c r="U22" s="45">
        <v>20573807</v>
      </c>
      <c r="V22" s="44"/>
      <c r="W22" s="45">
        <f>57097+207986</f>
        <v>265083</v>
      </c>
    </row>
    <row r="23" spans="1:23" s="116" customFormat="1" ht="12.75" customHeight="1">
      <c r="A23" s="44" t="s">
        <v>31</v>
      </c>
      <c r="C23" s="44" t="s">
        <v>27</v>
      </c>
      <c r="D23" s="35"/>
      <c r="E23" s="45">
        <v>3314450</v>
      </c>
      <c r="F23" s="45"/>
      <c r="G23" s="45">
        <v>9401167</v>
      </c>
      <c r="H23" s="45"/>
      <c r="I23" s="45">
        <v>0</v>
      </c>
      <c r="J23" s="45"/>
      <c r="K23" s="45">
        <v>774816</v>
      </c>
      <c r="L23" s="45"/>
      <c r="M23" s="45">
        <v>3954097</v>
      </c>
      <c r="N23" s="45"/>
      <c r="O23" s="45">
        <v>449480</v>
      </c>
      <c r="P23" s="45"/>
      <c r="Q23" s="45">
        <v>207702</v>
      </c>
      <c r="R23" s="45"/>
      <c r="S23" s="44">
        <f t="shared" si="0"/>
        <v>2555976</v>
      </c>
      <c r="T23" s="45"/>
      <c r="U23" s="45">
        <v>20657688</v>
      </c>
      <c r="V23" s="44"/>
      <c r="W23" s="45">
        <f>4701390+40845+336433</f>
        <v>5078668</v>
      </c>
    </row>
    <row r="24" spans="1:23" s="116" customFormat="1" ht="12.75" customHeight="1">
      <c r="A24" s="44" t="s">
        <v>32</v>
      </c>
      <c r="C24" s="44" t="s">
        <v>27</v>
      </c>
      <c r="D24" s="35"/>
      <c r="E24" s="45">
        <v>3722521</v>
      </c>
      <c r="F24" s="45"/>
      <c r="G24" s="45">
        <v>9682822</v>
      </c>
      <c r="H24" s="45"/>
      <c r="I24" s="45">
        <v>11998</v>
      </c>
      <c r="J24" s="45"/>
      <c r="K24" s="45">
        <v>4495695</v>
      </c>
      <c r="L24" s="45"/>
      <c r="M24" s="45">
        <v>2076539</v>
      </c>
      <c r="N24" s="45"/>
      <c r="O24" s="45">
        <v>0</v>
      </c>
      <c r="P24" s="45"/>
      <c r="Q24" s="45">
        <f>526433+156415</f>
        <v>682848</v>
      </c>
      <c r="R24" s="45"/>
      <c r="S24" s="44">
        <f t="shared" ref="S24:S53" si="1">+U24-SUM(E24:Q24)</f>
        <v>1093043</v>
      </c>
      <c r="T24" s="45"/>
      <c r="U24" s="45">
        <v>21765466</v>
      </c>
      <c r="V24" s="44"/>
      <c r="W24" s="45">
        <f>2916044+39664+1352800</f>
        <v>4308508</v>
      </c>
    </row>
    <row r="25" spans="1:23" s="116" customFormat="1" ht="12.75" customHeight="1">
      <c r="A25" s="46" t="s">
        <v>34</v>
      </c>
      <c r="B25" s="46"/>
      <c r="C25" s="46" t="s">
        <v>30</v>
      </c>
      <c r="D25" s="35"/>
      <c r="E25" s="45">
        <v>2212778</v>
      </c>
      <c r="F25" s="45"/>
      <c r="G25" s="45">
        <v>0</v>
      </c>
      <c r="H25" s="45"/>
      <c r="I25" s="45">
        <v>0</v>
      </c>
      <c r="J25" s="45"/>
      <c r="K25" s="45">
        <v>143474</v>
      </c>
      <c r="L25" s="45"/>
      <c r="M25" s="45">
        <v>1118626</v>
      </c>
      <c r="N25" s="45"/>
      <c r="O25" s="45">
        <v>0</v>
      </c>
      <c r="P25" s="45"/>
      <c r="Q25" s="45">
        <v>166577</v>
      </c>
      <c r="R25" s="45"/>
      <c r="S25" s="44">
        <f t="shared" si="1"/>
        <v>132207</v>
      </c>
      <c r="T25" s="45"/>
      <c r="U25" s="45">
        <v>3773662</v>
      </c>
      <c r="V25" s="44"/>
      <c r="W25" s="45">
        <v>530000</v>
      </c>
    </row>
    <row r="26" spans="1:23" s="116" customFormat="1" ht="12.75" customHeight="1">
      <c r="A26" s="44" t="s">
        <v>35</v>
      </c>
      <c r="C26" s="44" t="s">
        <v>36</v>
      </c>
      <c r="D26" s="35"/>
      <c r="E26" s="45">
        <v>811543</v>
      </c>
      <c r="F26" s="45"/>
      <c r="G26" s="45">
        <v>5741697</v>
      </c>
      <c r="H26" s="45"/>
      <c r="I26" s="45">
        <v>45633</v>
      </c>
      <c r="J26" s="45"/>
      <c r="K26" s="45">
        <v>189115</v>
      </c>
      <c r="L26" s="45"/>
      <c r="M26" s="45">
        <v>2141475</v>
      </c>
      <c r="N26" s="45"/>
      <c r="O26" s="45">
        <v>29788</v>
      </c>
      <c r="P26" s="45"/>
      <c r="Q26" s="45">
        <v>83393</v>
      </c>
      <c r="R26" s="45"/>
      <c r="S26" s="44">
        <f t="shared" si="1"/>
        <v>1127114</v>
      </c>
      <c r="T26" s="45"/>
      <c r="U26" s="45">
        <v>10169758</v>
      </c>
      <c r="V26" s="44"/>
      <c r="W26" s="45">
        <f>294371+933941</f>
        <v>1228312</v>
      </c>
    </row>
    <row r="27" spans="1:23" s="116" customFormat="1" ht="12.75" customHeight="1">
      <c r="A27" s="44" t="s">
        <v>37</v>
      </c>
      <c r="C27" s="44" t="s">
        <v>38</v>
      </c>
      <c r="D27" s="35"/>
      <c r="E27" s="45">
        <v>869780</v>
      </c>
      <c r="F27" s="45"/>
      <c r="G27" s="45">
        <v>3387592</v>
      </c>
      <c r="H27" s="45"/>
      <c r="I27" s="45">
        <v>0</v>
      </c>
      <c r="J27" s="45"/>
      <c r="K27" s="45">
        <v>164728</v>
      </c>
      <c r="L27" s="45"/>
      <c r="M27" s="45">
        <v>1855220</v>
      </c>
      <c r="N27" s="45"/>
      <c r="O27" s="45">
        <v>0</v>
      </c>
      <c r="P27" s="45"/>
      <c r="Q27" s="45">
        <f>140273+164728</f>
        <v>305001</v>
      </c>
      <c r="R27" s="45"/>
      <c r="S27" s="44">
        <f t="shared" si="1"/>
        <v>151362</v>
      </c>
      <c r="T27" s="45"/>
      <c r="U27" s="45">
        <v>6733683</v>
      </c>
      <c r="V27" s="44"/>
      <c r="W27" s="45">
        <v>1469485</v>
      </c>
    </row>
    <row r="28" spans="1:23" s="116" customFormat="1" ht="12.75" customHeight="1">
      <c r="A28" s="44" t="s">
        <v>39</v>
      </c>
      <c r="C28" s="44" t="s">
        <v>40</v>
      </c>
      <c r="D28" s="35"/>
      <c r="E28" s="45">
        <v>294231</v>
      </c>
      <c r="F28" s="45"/>
      <c r="G28" s="45">
        <v>1086144</v>
      </c>
      <c r="H28" s="45"/>
      <c r="I28" s="45">
        <f>52720+558</f>
        <v>53278</v>
      </c>
      <c r="J28" s="45"/>
      <c r="K28" s="45">
        <v>258073</v>
      </c>
      <c r="L28" s="45"/>
      <c r="M28" s="45">
        <v>1039112</v>
      </c>
      <c r="N28" s="45"/>
      <c r="O28" s="45">
        <v>0</v>
      </c>
      <c r="P28" s="45"/>
      <c r="Q28" s="45">
        <v>256939</v>
      </c>
      <c r="R28" s="45"/>
      <c r="S28" s="44">
        <f t="shared" si="1"/>
        <v>175764</v>
      </c>
      <c r="T28" s="45"/>
      <c r="U28" s="45">
        <v>3163541</v>
      </c>
      <c r="V28" s="44"/>
      <c r="W28" s="45">
        <v>145000</v>
      </c>
    </row>
    <row r="29" spans="1:23" s="116" customFormat="1" ht="12.75" customHeight="1">
      <c r="A29" s="44" t="s">
        <v>41</v>
      </c>
      <c r="C29" s="44" t="s">
        <v>27</v>
      </c>
      <c r="D29" s="35"/>
      <c r="E29" s="45">
        <v>4379976</v>
      </c>
      <c r="F29" s="45"/>
      <c r="G29" s="45">
        <v>10928016</v>
      </c>
      <c r="H29" s="45"/>
      <c r="I29" s="45">
        <v>267231</v>
      </c>
      <c r="J29" s="45"/>
      <c r="K29" s="45">
        <v>1066019</v>
      </c>
      <c r="L29" s="45"/>
      <c r="M29" s="45">
        <v>2979611</v>
      </c>
      <c r="N29" s="45"/>
      <c r="O29" s="45">
        <v>844993</v>
      </c>
      <c r="P29" s="45"/>
      <c r="Q29" s="45">
        <f>274645+2385269</f>
        <v>2659914</v>
      </c>
      <c r="R29" s="45"/>
      <c r="S29" s="44">
        <f t="shared" si="1"/>
        <v>671353</v>
      </c>
      <c r="T29" s="45"/>
      <c r="U29" s="45">
        <v>23797113</v>
      </c>
      <c r="V29" s="44"/>
      <c r="W29" s="45">
        <f>975000+4160+2104000</f>
        <v>3083160</v>
      </c>
    </row>
    <row r="30" spans="1:23" s="116" customFormat="1" ht="12.75" customHeight="1">
      <c r="A30" s="44" t="s">
        <v>42</v>
      </c>
      <c r="C30" s="44" t="s">
        <v>43</v>
      </c>
      <c r="D30" s="35"/>
      <c r="E30" s="45">
        <v>1787840</v>
      </c>
      <c r="F30" s="45"/>
      <c r="G30" s="45">
        <v>6043906</v>
      </c>
      <c r="H30" s="45"/>
      <c r="I30" s="45">
        <v>160764</v>
      </c>
      <c r="J30" s="45"/>
      <c r="K30" s="45">
        <v>720370</v>
      </c>
      <c r="L30" s="45"/>
      <c r="M30" s="45">
        <v>3104638</v>
      </c>
      <c r="N30" s="45"/>
      <c r="O30" s="45">
        <v>0</v>
      </c>
      <c r="P30" s="45"/>
      <c r="Q30" s="45">
        <f>313548+85109</f>
        <v>398657</v>
      </c>
      <c r="R30" s="45"/>
      <c r="S30" s="44">
        <f t="shared" si="1"/>
        <v>636578</v>
      </c>
      <c r="T30" s="45"/>
      <c r="U30" s="45">
        <v>12852753</v>
      </c>
      <c r="V30" s="44"/>
      <c r="W30" s="45">
        <f>6582500+1330000+6350+504198+181826+61544+1845277</f>
        <v>10511695</v>
      </c>
    </row>
    <row r="31" spans="1:23" s="116" customFormat="1" ht="12.75" customHeight="1">
      <c r="A31" s="44" t="s">
        <v>44</v>
      </c>
      <c r="C31" s="44" t="s">
        <v>45</v>
      </c>
      <c r="D31" s="35"/>
      <c r="E31" s="45">
        <v>2896080</v>
      </c>
      <c r="F31" s="45"/>
      <c r="G31" s="45">
        <v>28934385</v>
      </c>
      <c r="H31" s="45"/>
      <c r="I31" s="45">
        <v>966974</v>
      </c>
      <c r="J31" s="45"/>
      <c r="K31" s="45">
        <v>1355985</v>
      </c>
      <c r="L31" s="45"/>
      <c r="M31" s="45">
        <v>4181614</v>
      </c>
      <c r="N31" s="45"/>
      <c r="O31" s="45">
        <v>0</v>
      </c>
      <c r="P31" s="45"/>
      <c r="Q31" s="45">
        <v>335746</v>
      </c>
      <c r="R31" s="45"/>
      <c r="S31" s="44">
        <f t="shared" si="1"/>
        <v>1230172</v>
      </c>
      <c r="T31" s="45"/>
      <c r="U31" s="45">
        <v>39900956</v>
      </c>
      <c r="V31" s="44"/>
      <c r="W31" s="45">
        <f>72728+1147701+13558928</f>
        <v>14779357</v>
      </c>
    </row>
    <row r="32" spans="1:23" s="116" customFormat="1" ht="12.75" customHeight="1">
      <c r="A32" s="44" t="s">
        <v>46</v>
      </c>
      <c r="C32" s="44" t="s">
        <v>47</v>
      </c>
      <c r="D32" s="35"/>
      <c r="E32" s="45">
        <v>2262974</v>
      </c>
      <c r="F32" s="45"/>
      <c r="G32" s="45">
        <v>15258535</v>
      </c>
      <c r="H32" s="45"/>
      <c r="I32" s="45">
        <v>2475594</v>
      </c>
      <c r="J32" s="45"/>
      <c r="K32" s="45">
        <v>2261800</v>
      </c>
      <c r="L32" s="45"/>
      <c r="M32" s="45">
        <v>4445932</v>
      </c>
      <c r="N32" s="45"/>
      <c r="O32" s="45">
        <v>44323</v>
      </c>
      <c r="P32" s="45"/>
      <c r="Q32" s="45">
        <f>85312+939738</f>
        <v>1025050</v>
      </c>
      <c r="R32" s="45"/>
      <c r="S32" s="44">
        <f t="shared" si="1"/>
        <v>1184041</v>
      </c>
      <c r="T32" s="45"/>
      <c r="U32" s="45">
        <v>28958249</v>
      </c>
      <c r="V32" s="44"/>
      <c r="W32" s="45">
        <f>2577+2248199</f>
        <v>2250776</v>
      </c>
    </row>
    <row r="33" spans="1:23" s="116" customFormat="1" ht="12.75" customHeight="1">
      <c r="A33" s="44" t="s">
        <v>48</v>
      </c>
      <c r="C33" s="44" t="s">
        <v>27</v>
      </c>
      <c r="D33" s="35"/>
      <c r="E33" s="45">
        <v>4591192</v>
      </c>
      <c r="F33" s="45"/>
      <c r="G33" s="45">
        <v>15763909</v>
      </c>
      <c r="H33" s="45"/>
      <c r="I33" s="45">
        <v>0</v>
      </c>
      <c r="J33" s="45"/>
      <c r="K33" s="45">
        <v>1006940</v>
      </c>
      <c r="L33" s="45"/>
      <c r="M33" s="45">
        <v>2612165</v>
      </c>
      <c r="N33" s="45"/>
      <c r="O33" s="45">
        <v>620735</v>
      </c>
      <c r="P33" s="45"/>
      <c r="Q33" s="45">
        <f>387068+338338</f>
        <v>725406</v>
      </c>
      <c r="R33" s="45"/>
      <c r="S33" s="44">
        <f t="shared" si="1"/>
        <v>1442871</v>
      </c>
      <c r="T33" s="45"/>
      <c r="U33" s="45">
        <v>26763218</v>
      </c>
      <c r="V33" s="44"/>
      <c r="W33" s="45">
        <f>75049+3798793</f>
        <v>3873842</v>
      </c>
    </row>
    <row r="34" spans="1:23" s="116" customFormat="1" ht="12.75" customHeight="1">
      <c r="A34" s="44" t="s">
        <v>49</v>
      </c>
      <c r="C34" s="44" t="s">
        <v>27</v>
      </c>
      <c r="D34" s="35"/>
      <c r="E34" s="45">
        <v>13371231</v>
      </c>
      <c r="F34" s="45"/>
      <c r="G34" s="45">
        <v>0</v>
      </c>
      <c r="H34" s="45"/>
      <c r="I34" s="45">
        <v>0</v>
      </c>
      <c r="J34" s="45"/>
      <c r="K34" s="45">
        <v>1261173</v>
      </c>
      <c r="L34" s="45"/>
      <c r="M34" s="45">
        <v>2880021</v>
      </c>
      <c r="N34" s="45"/>
      <c r="O34" s="45">
        <v>1411751</v>
      </c>
      <c r="P34" s="45"/>
      <c r="Q34" s="45">
        <f>1673663+374751</f>
        <v>2048414</v>
      </c>
      <c r="R34" s="45"/>
      <c r="S34" s="44">
        <f t="shared" si="1"/>
        <v>444095</v>
      </c>
      <c r="T34" s="45"/>
      <c r="U34" s="45">
        <v>21416685</v>
      </c>
      <c r="V34" s="44"/>
      <c r="W34" s="45">
        <f>200000+1183566</f>
        <v>1383566</v>
      </c>
    </row>
    <row r="35" spans="1:23" s="116" customFormat="1" ht="12.75" customHeight="1">
      <c r="A35" s="44" t="s">
        <v>50</v>
      </c>
      <c r="C35" s="44" t="s">
        <v>27</v>
      </c>
      <c r="D35" s="35"/>
      <c r="E35" s="45">
        <v>2338903</v>
      </c>
      <c r="F35" s="45"/>
      <c r="G35" s="45">
        <v>17999769</v>
      </c>
      <c r="H35" s="45"/>
      <c r="I35" s="45">
        <v>358969</v>
      </c>
      <c r="J35" s="45"/>
      <c r="K35" s="45"/>
      <c r="L35" s="45"/>
      <c r="M35" s="45">
        <v>8224555</v>
      </c>
      <c r="N35" s="45"/>
      <c r="O35" s="45">
        <v>83419</v>
      </c>
      <c r="P35" s="45"/>
      <c r="Q35" s="45">
        <v>358033</v>
      </c>
      <c r="R35" s="45"/>
      <c r="S35" s="44">
        <f t="shared" si="1"/>
        <v>3749260</v>
      </c>
      <c r="T35" s="45"/>
      <c r="U35" s="45">
        <v>33112908</v>
      </c>
      <c r="V35" s="44"/>
      <c r="W35" s="45">
        <f>12573+650985+1678203+1209598</f>
        <v>3551359</v>
      </c>
    </row>
    <row r="36" spans="1:23" s="116" customFormat="1" ht="12.75" customHeight="1">
      <c r="A36" s="44" t="s">
        <v>51</v>
      </c>
      <c r="C36" s="44" t="s">
        <v>27</v>
      </c>
      <c r="D36" s="35"/>
      <c r="E36" s="45">
        <v>2451888</v>
      </c>
      <c r="F36" s="45"/>
      <c r="G36" s="45">
        <v>12105798</v>
      </c>
      <c r="H36" s="45"/>
      <c r="I36" s="45">
        <v>0</v>
      </c>
      <c r="J36" s="45"/>
      <c r="K36" s="45">
        <v>1079706</v>
      </c>
      <c r="L36" s="45"/>
      <c r="M36" s="45">
        <v>2845721</v>
      </c>
      <c r="N36" s="45"/>
      <c r="O36" s="45">
        <v>0</v>
      </c>
      <c r="P36" s="45"/>
      <c r="Q36" s="45">
        <v>636014</v>
      </c>
      <c r="R36" s="45"/>
      <c r="S36" s="44">
        <f t="shared" si="1"/>
        <v>530211</v>
      </c>
      <c r="T36" s="45"/>
      <c r="U36" s="45">
        <v>19649338</v>
      </c>
      <c r="V36" s="44"/>
      <c r="W36" s="45">
        <f>575000+1181245</f>
        <v>1756245</v>
      </c>
    </row>
    <row r="37" spans="1:23" s="116" customFormat="1" ht="12.75" customHeight="1">
      <c r="A37" s="44" t="s">
        <v>462</v>
      </c>
      <c r="C37" s="44" t="s">
        <v>66</v>
      </c>
      <c r="D37" s="35"/>
      <c r="E37" s="45">
        <v>135832</v>
      </c>
      <c r="F37" s="45"/>
      <c r="G37" s="45">
        <v>2330025</v>
      </c>
      <c r="H37" s="45"/>
      <c r="I37" s="45">
        <v>0</v>
      </c>
      <c r="J37" s="45"/>
      <c r="K37" s="45">
        <v>819113</v>
      </c>
      <c r="L37" s="45"/>
      <c r="M37" s="45">
        <v>1210376</v>
      </c>
      <c r="N37" s="45"/>
      <c r="O37" s="45">
        <v>17084</v>
      </c>
      <c r="P37" s="45"/>
      <c r="Q37" s="45">
        <v>153442</v>
      </c>
      <c r="R37" s="45"/>
      <c r="S37" s="44">
        <f t="shared" si="1"/>
        <v>246343</v>
      </c>
      <c r="T37" s="45"/>
      <c r="U37" s="45">
        <v>4912215</v>
      </c>
      <c r="V37" s="44"/>
      <c r="W37" s="45">
        <f>42361+1250000+18145+654000+6153</f>
        <v>1970659</v>
      </c>
    </row>
    <row r="38" spans="1:23" s="116" customFormat="1" ht="12.75" customHeight="1">
      <c r="A38" s="44" t="s">
        <v>52</v>
      </c>
      <c r="C38" s="44" t="s">
        <v>53</v>
      </c>
      <c r="D38" s="35"/>
      <c r="E38" s="45">
        <v>2175311</v>
      </c>
      <c r="F38" s="45"/>
      <c r="G38" s="45">
        <v>9322892</v>
      </c>
      <c r="H38" s="45"/>
      <c r="I38" s="45">
        <v>0</v>
      </c>
      <c r="J38" s="45"/>
      <c r="K38" s="45">
        <v>1755498</v>
      </c>
      <c r="L38" s="45"/>
      <c r="M38" s="45">
        <v>4414730</v>
      </c>
      <c r="N38" s="45"/>
      <c r="O38" s="45">
        <v>234028</v>
      </c>
      <c r="P38" s="45"/>
      <c r="Q38" s="45">
        <v>598733</v>
      </c>
      <c r="R38" s="45"/>
      <c r="S38" s="44">
        <f t="shared" si="1"/>
        <v>1528779</v>
      </c>
      <c r="T38" s="45"/>
      <c r="U38" s="45">
        <v>20029971</v>
      </c>
      <c r="V38" s="44"/>
      <c r="W38" s="45">
        <f>5664+505907</f>
        <v>511571</v>
      </c>
    </row>
    <row r="39" spans="1:23" s="116" customFormat="1" ht="12.75" customHeight="1">
      <c r="A39" s="44" t="s">
        <v>54</v>
      </c>
      <c r="C39" s="44" t="s">
        <v>55</v>
      </c>
      <c r="D39" s="35"/>
      <c r="E39" s="45">
        <v>8023749</v>
      </c>
      <c r="F39" s="45"/>
      <c r="G39" s="45">
        <v>0</v>
      </c>
      <c r="H39" s="45"/>
      <c r="I39" s="45">
        <v>0</v>
      </c>
      <c r="J39" s="45"/>
      <c r="K39" s="45">
        <v>227985</v>
      </c>
      <c r="L39" s="45"/>
      <c r="M39" s="45">
        <v>1901020</v>
      </c>
      <c r="N39" s="45"/>
      <c r="O39" s="45">
        <v>101214</v>
      </c>
      <c r="P39" s="45"/>
      <c r="Q39" s="45">
        <v>798534</v>
      </c>
      <c r="R39" s="45"/>
      <c r="S39" s="44">
        <f t="shared" si="1"/>
        <v>772930</v>
      </c>
      <c r="T39" s="45"/>
      <c r="U39" s="45">
        <v>11825432</v>
      </c>
      <c r="V39" s="44"/>
      <c r="W39" s="45">
        <f>5848+2400000+5556450</f>
        <v>7962298</v>
      </c>
    </row>
    <row r="40" spans="1:23" s="116" customFormat="1" ht="12.75" customHeight="1">
      <c r="A40" s="44" t="s">
        <v>56</v>
      </c>
      <c r="C40" s="44" t="s">
        <v>57</v>
      </c>
      <c r="D40" s="35"/>
      <c r="E40" s="45">
        <v>653547</v>
      </c>
      <c r="F40" s="45"/>
      <c r="G40" s="45">
        <v>4186803</v>
      </c>
      <c r="H40" s="45"/>
      <c r="I40" s="45">
        <v>89973</v>
      </c>
      <c r="J40" s="45"/>
      <c r="K40" s="45">
        <v>396320</v>
      </c>
      <c r="L40" s="45"/>
      <c r="M40" s="45">
        <v>0</v>
      </c>
      <c r="N40" s="45"/>
      <c r="O40" s="45">
        <v>14468</v>
      </c>
      <c r="P40" s="45"/>
      <c r="Q40" s="45">
        <f>195905+31002</f>
        <v>226907</v>
      </c>
      <c r="R40" s="45"/>
      <c r="S40" s="44">
        <f t="shared" si="1"/>
        <v>3052718</v>
      </c>
      <c r="T40" s="45"/>
      <c r="U40" s="45">
        <v>8620736</v>
      </c>
      <c r="V40" s="44"/>
      <c r="W40" s="45">
        <f>3975+10845+313967</f>
        <v>328787</v>
      </c>
    </row>
    <row r="41" spans="1:23" s="116" customFormat="1" ht="12.75" customHeight="1">
      <c r="A41" s="44" t="s">
        <v>58</v>
      </c>
      <c r="C41" s="44" t="s">
        <v>59</v>
      </c>
      <c r="D41" s="35"/>
      <c r="E41" s="45">
        <v>1525582</v>
      </c>
      <c r="F41" s="45"/>
      <c r="G41" s="45">
        <v>4486280</v>
      </c>
      <c r="H41" s="45"/>
      <c r="I41" s="45">
        <v>0</v>
      </c>
      <c r="J41" s="45"/>
      <c r="K41" s="45">
        <v>0</v>
      </c>
      <c r="L41" s="45"/>
      <c r="M41" s="45">
        <v>0</v>
      </c>
      <c r="N41" s="45"/>
      <c r="O41" s="45">
        <v>0</v>
      </c>
      <c r="P41" s="45"/>
      <c r="Q41" s="45">
        <v>0</v>
      </c>
      <c r="R41" s="45"/>
      <c r="S41" s="44">
        <f t="shared" si="1"/>
        <v>7589926</v>
      </c>
      <c r="T41" s="45"/>
      <c r="U41" s="45">
        <v>13601788</v>
      </c>
      <c r="V41" s="44"/>
      <c r="W41" s="45">
        <f>709263+19061+15500</f>
        <v>743824</v>
      </c>
    </row>
    <row r="42" spans="1:23" s="116" customFormat="1" ht="12.75" customHeight="1">
      <c r="A42" s="44" t="s">
        <v>476</v>
      </c>
      <c r="C42" s="44" t="s">
        <v>15</v>
      </c>
      <c r="D42" s="35"/>
      <c r="E42" s="45">
        <v>465570</v>
      </c>
      <c r="F42" s="45"/>
      <c r="G42" s="45">
        <v>1801739</v>
      </c>
      <c r="H42" s="45"/>
      <c r="I42" s="45">
        <v>0</v>
      </c>
      <c r="J42" s="45"/>
      <c r="K42" s="45">
        <v>66026</v>
      </c>
      <c r="L42" s="45"/>
      <c r="M42" s="45">
        <v>686248</v>
      </c>
      <c r="N42" s="45"/>
      <c r="O42" s="45">
        <v>16000</v>
      </c>
      <c r="P42" s="45"/>
      <c r="Q42" s="45">
        <v>31131</v>
      </c>
      <c r="R42" s="45"/>
      <c r="S42" s="44">
        <f>+U42-SUM(E42:Q42)</f>
        <v>138097</v>
      </c>
      <c r="T42" s="45"/>
      <c r="U42" s="45">
        <v>3204811</v>
      </c>
      <c r="V42" s="44"/>
      <c r="W42" s="45">
        <v>2040801</v>
      </c>
    </row>
    <row r="43" spans="1:23" s="116" customFormat="1" ht="12.75" customHeight="1">
      <c r="A43" s="44" t="s">
        <v>60</v>
      </c>
      <c r="C43" s="44" t="s">
        <v>61</v>
      </c>
      <c r="D43" s="35"/>
      <c r="E43" s="45">
        <v>509427</v>
      </c>
      <c r="F43" s="45"/>
      <c r="G43" s="45">
        <v>2456525</v>
      </c>
      <c r="H43" s="45"/>
      <c r="I43" s="45">
        <v>63556</v>
      </c>
      <c r="J43" s="45"/>
      <c r="K43" s="45"/>
      <c r="L43" s="45"/>
      <c r="M43" s="45">
        <v>248803</v>
      </c>
      <c r="N43" s="45"/>
      <c r="O43" s="45">
        <v>26535</v>
      </c>
      <c r="P43" s="45"/>
      <c r="Q43" s="45">
        <v>0</v>
      </c>
      <c r="R43" s="45"/>
      <c r="S43" s="44">
        <f t="shared" si="1"/>
        <v>1123716</v>
      </c>
      <c r="T43" s="45"/>
      <c r="U43" s="45">
        <v>4428562</v>
      </c>
      <c r="V43" s="44"/>
      <c r="W43" s="45">
        <f>4036+133718</f>
        <v>137754</v>
      </c>
    </row>
    <row r="44" spans="1:23" s="116" customFormat="1" ht="12.75" customHeight="1">
      <c r="A44" s="44" t="s">
        <v>62</v>
      </c>
      <c r="C44" s="44" t="s">
        <v>15</v>
      </c>
      <c r="D44" s="35"/>
      <c r="E44" s="45">
        <v>4385206</v>
      </c>
      <c r="F44" s="45"/>
      <c r="G44" s="45">
        <v>44532380</v>
      </c>
      <c r="H44" s="45"/>
      <c r="I44" s="45">
        <v>0</v>
      </c>
      <c r="J44" s="45"/>
      <c r="K44" s="45">
        <v>10613296</v>
      </c>
      <c r="L44" s="45"/>
      <c r="M44" s="45">
        <v>10378440</v>
      </c>
      <c r="N44" s="45"/>
      <c r="O44" s="45"/>
      <c r="P44" s="45"/>
      <c r="Q44" s="45">
        <f>1548479+1001384</f>
        <v>2549863</v>
      </c>
      <c r="R44" s="45"/>
      <c r="S44" s="44">
        <f t="shared" si="1"/>
        <v>12989029</v>
      </c>
      <c r="T44" s="45"/>
      <c r="U44" s="45">
        <v>85448214</v>
      </c>
      <c r="V44" s="44"/>
      <c r="W44" s="45">
        <f>54166+273385+87149+40000</f>
        <v>454700</v>
      </c>
    </row>
    <row r="45" spans="1:23" s="116" customFormat="1" ht="12.75" customHeight="1">
      <c r="A45" s="44" t="s">
        <v>485</v>
      </c>
      <c r="C45" s="44" t="s">
        <v>111</v>
      </c>
      <c r="D45" s="35"/>
      <c r="E45" s="45">
        <v>201820</v>
      </c>
      <c r="F45" s="45"/>
      <c r="G45" s="45">
        <v>818336</v>
      </c>
      <c r="H45" s="45"/>
      <c r="I45" s="45">
        <v>0</v>
      </c>
      <c r="J45" s="45"/>
      <c r="K45" s="45">
        <v>45841</v>
      </c>
      <c r="L45" s="45"/>
      <c r="M45" s="45">
        <v>64639</v>
      </c>
      <c r="N45" s="45"/>
      <c r="O45" s="45">
        <v>670666</v>
      </c>
      <c r="P45" s="45"/>
      <c r="Q45" s="45">
        <f>45841+83946</f>
        <v>129787</v>
      </c>
      <c r="R45" s="45"/>
      <c r="S45" s="44">
        <f>+U45-SUM(E45:Q45)</f>
        <v>509669</v>
      </c>
      <c r="T45" s="45"/>
      <c r="U45" s="45">
        <v>2440758</v>
      </c>
      <c r="V45" s="44"/>
      <c r="W45" s="45">
        <f>1921+124000</f>
        <v>125921</v>
      </c>
    </row>
    <row r="46" spans="1:23" s="116" customFormat="1" ht="12.75" customHeight="1">
      <c r="A46" s="44" t="s">
        <v>63</v>
      </c>
      <c r="C46" s="44" t="s">
        <v>64</v>
      </c>
      <c r="D46" s="35"/>
      <c r="E46" s="45">
        <v>379654</v>
      </c>
      <c r="F46" s="45"/>
      <c r="G46" s="45">
        <v>2795024</v>
      </c>
      <c r="H46" s="45"/>
      <c r="I46" s="45">
        <v>572183</v>
      </c>
      <c r="J46" s="45"/>
      <c r="K46" s="45">
        <v>484073</v>
      </c>
      <c r="L46" s="45"/>
      <c r="M46" s="45">
        <v>2341935</v>
      </c>
      <c r="N46" s="45"/>
      <c r="O46" s="45">
        <v>5155</v>
      </c>
      <c r="P46" s="45"/>
      <c r="Q46" s="45">
        <f>484073+106710</f>
        <v>590783</v>
      </c>
      <c r="R46" s="45"/>
      <c r="S46" s="44">
        <f t="shared" si="1"/>
        <v>867243</v>
      </c>
      <c r="T46" s="45"/>
      <c r="U46" s="45">
        <v>8036050</v>
      </c>
      <c r="V46" s="44"/>
      <c r="W46" s="45">
        <f>1200000+78241+19260+1238389</f>
        <v>2535890</v>
      </c>
    </row>
    <row r="47" spans="1:23" s="116" customFormat="1" ht="12.75" customHeight="1">
      <c r="A47" s="44" t="s">
        <v>65</v>
      </c>
      <c r="C47" s="44" t="s">
        <v>66</v>
      </c>
      <c r="D47" s="35"/>
      <c r="E47" s="45">
        <v>12141850</v>
      </c>
      <c r="F47" s="45"/>
      <c r="G47" s="45">
        <v>0</v>
      </c>
      <c r="H47" s="45"/>
      <c r="I47" s="45">
        <v>0</v>
      </c>
      <c r="J47" s="45"/>
      <c r="K47" s="45">
        <v>56023</v>
      </c>
      <c r="L47" s="45"/>
      <c r="M47" s="45">
        <v>4657789</v>
      </c>
      <c r="N47" s="45"/>
      <c r="O47" s="45">
        <v>639090</v>
      </c>
      <c r="P47" s="45"/>
      <c r="Q47" s="45">
        <v>233597</v>
      </c>
      <c r="R47" s="45"/>
      <c r="S47" s="44">
        <f t="shared" si="1"/>
        <v>2037800</v>
      </c>
      <c r="T47" s="45"/>
      <c r="U47" s="45">
        <v>19766149</v>
      </c>
      <c r="V47" s="44"/>
      <c r="W47" s="45">
        <f>21825+2700000</f>
        <v>2721825</v>
      </c>
    </row>
    <row r="48" spans="1:23" s="116" customFormat="1" ht="12.75" customHeight="1">
      <c r="A48" s="44" t="s">
        <v>67</v>
      </c>
      <c r="C48" s="44" t="s">
        <v>375</v>
      </c>
      <c r="D48" s="35"/>
      <c r="E48" s="45">
        <v>1334719</v>
      </c>
      <c r="F48" s="45"/>
      <c r="G48" s="45">
        <v>5131012</v>
      </c>
      <c r="H48" s="45"/>
      <c r="I48" s="45">
        <v>0</v>
      </c>
      <c r="J48" s="45"/>
      <c r="K48" s="45">
        <v>407570</v>
      </c>
      <c r="L48" s="45"/>
      <c r="M48" s="45">
        <v>704186</v>
      </c>
      <c r="N48" s="45"/>
      <c r="O48" s="45">
        <v>161826</v>
      </c>
      <c r="P48" s="45"/>
      <c r="Q48" s="45">
        <f>261978+1324681</f>
        <v>1586659</v>
      </c>
      <c r="R48" s="45"/>
      <c r="S48" s="44">
        <f t="shared" si="1"/>
        <v>1262665</v>
      </c>
      <c r="T48" s="45"/>
      <c r="U48" s="45">
        <v>10588637</v>
      </c>
      <c r="V48" s="44"/>
      <c r="W48" s="45">
        <v>592000</v>
      </c>
    </row>
    <row r="49" spans="1:23" s="116" customFormat="1" ht="12.75" customHeight="1">
      <c r="A49" s="44" t="s">
        <v>68</v>
      </c>
      <c r="C49" s="44" t="s">
        <v>45</v>
      </c>
      <c r="D49" s="35"/>
      <c r="E49" s="45">
        <v>1229146</v>
      </c>
      <c r="F49" s="45"/>
      <c r="G49" s="45">
        <v>1817852</v>
      </c>
      <c r="H49" s="45"/>
      <c r="I49" s="45">
        <v>70677</v>
      </c>
      <c r="J49" s="45"/>
      <c r="K49" s="45">
        <v>194986</v>
      </c>
      <c r="L49" s="45"/>
      <c r="M49" s="45">
        <v>1150011</v>
      </c>
      <c r="N49" s="45"/>
      <c r="O49" s="45">
        <v>8983</v>
      </c>
      <c r="P49" s="45"/>
      <c r="Q49" s="45">
        <v>20328</v>
      </c>
      <c r="R49" s="45"/>
      <c r="S49" s="44">
        <f t="shared" si="1"/>
        <v>297410</v>
      </c>
      <c r="T49" s="45"/>
      <c r="U49" s="45">
        <v>4789393</v>
      </c>
      <c r="V49" s="44"/>
      <c r="W49" s="45">
        <v>122833</v>
      </c>
    </row>
    <row r="50" spans="1:23" s="116" customFormat="1" ht="12.75" customHeight="1">
      <c r="A50" s="44" t="s">
        <v>69</v>
      </c>
      <c r="C50" s="44" t="s">
        <v>70</v>
      </c>
      <c r="D50" s="35"/>
      <c r="E50" s="45">
        <v>1215794</v>
      </c>
      <c r="F50" s="45"/>
      <c r="G50" s="45">
        <v>10718814</v>
      </c>
      <c r="H50" s="45"/>
      <c r="I50" s="45">
        <v>190237</v>
      </c>
      <c r="J50" s="45"/>
      <c r="K50" s="45">
        <v>2212147</v>
      </c>
      <c r="L50" s="45"/>
      <c r="M50" s="45">
        <v>6625215</v>
      </c>
      <c r="N50" s="45"/>
      <c r="O50" s="45">
        <v>21631</v>
      </c>
      <c r="P50" s="45"/>
      <c r="Q50" s="45">
        <v>2003958</v>
      </c>
      <c r="R50" s="45"/>
      <c r="S50" s="44">
        <f t="shared" si="1"/>
        <v>1011962</v>
      </c>
      <c r="T50" s="45"/>
      <c r="U50" s="45">
        <v>23999758</v>
      </c>
      <c r="V50" s="44"/>
      <c r="W50" s="45">
        <f>25731+200000+17892+2820011</f>
        <v>3063634</v>
      </c>
    </row>
    <row r="51" spans="1:23" s="116" customFormat="1" ht="12.75" customHeight="1">
      <c r="A51" s="44" t="s">
        <v>71</v>
      </c>
      <c r="C51" s="44" t="s">
        <v>45</v>
      </c>
      <c r="D51" s="35"/>
      <c r="E51" s="45">
        <v>398520</v>
      </c>
      <c r="F51" s="45"/>
      <c r="G51" s="45">
        <v>0</v>
      </c>
      <c r="H51" s="45"/>
      <c r="I51" s="45">
        <v>0</v>
      </c>
      <c r="J51" s="45"/>
      <c r="K51" s="45">
        <v>0</v>
      </c>
      <c r="L51" s="45"/>
      <c r="M51" s="45">
        <v>77737</v>
      </c>
      <c r="N51" s="45"/>
      <c r="O51" s="45">
        <v>4327</v>
      </c>
      <c r="P51" s="45"/>
      <c r="Q51" s="45">
        <v>11302</v>
      </c>
      <c r="R51" s="45"/>
      <c r="S51" s="44">
        <f t="shared" si="1"/>
        <v>127548</v>
      </c>
      <c r="T51" s="45"/>
      <c r="U51" s="45">
        <v>619434</v>
      </c>
      <c r="V51" s="44"/>
      <c r="W51" s="45">
        <f>41600+35280+1133+130747</f>
        <v>208760</v>
      </c>
    </row>
    <row r="52" spans="1:23" s="116" customFormat="1" ht="12.75" customHeight="1">
      <c r="A52" s="44" t="s">
        <v>463</v>
      </c>
      <c r="C52" s="44" t="s">
        <v>464</v>
      </c>
      <c r="D52" s="35"/>
      <c r="E52" s="45">
        <v>908199</v>
      </c>
      <c r="F52" s="45"/>
      <c r="G52" s="45">
        <v>4576465</v>
      </c>
      <c r="H52" s="45"/>
      <c r="I52" s="45">
        <v>240744</v>
      </c>
      <c r="J52" s="45"/>
      <c r="K52" s="45">
        <v>742292</v>
      </c>
      <c r="L52" s="45"/>
      <c r="M52" s="45">
        <v>2731303</v>
      </c>
      <c r="N52" s="45"/>
      <c r="O52" s="45">
        <v>7758</v>
      </c>
      <c r="P52" s="45"/>
      <c r="Q52" s="45">
        <f>267388+938086</f>
        <v>1205474</v>
      </c>
      <c r="R52" s="45"/>
      <c r="S52" s="44">
        <f t="shared" si="1"/>
        <v>675500</v>
      </c>
      <c r="T52" s="45"/>
      <c r="U52" s="45">
        <v>11087735</v>
      </c>
      <c r="V52" s="44"/>
      <c r="W52" s="45">
        <f>31735+355000+16694+165819</f>
        <v>569248</v>
      </c>
    </row>
    <row r="53" spans="1:23" s="116" customFormat="1" ht="12.75" customHeight="1">
      <c r="A53" s="44" t="s">
        <v>72</v>
      </c>
      <c r="C53" s="44" t="s">
        <v>66</v>
      </c>
      <c r="D53" s="64"/>
      <c r="E53" s="45">
        <v>2063329</v>
      </c>
      <c r="F53" s="45"/>
      <c r="G53" s="45">
        <v>2003061</v>
      </c>
      <c r="H53" s="45"/>
      <c r="I53" s="45">
        <v>115173</v>
      </c>
      <c r="J53" s="45"/>
      <c r="K53" s="45">
        <v>393877</v>
      </c>
      <c r="L53" s="45"/>
      <c r="M53" s="45">
        <v>1923306</v>
      </c>
      <c r="N53" s="45"/>
      <c r="O53" s="45">
        <v>28991</v>
      </c>
      <c r="P53" s="45"/>
      <c r="Q53" s="45">
        <f>18264+11806</f>
        <v>30070</v>
      </c>
      <c r="R53" s="45"/>
      <c r="S53" s="44">
        <f t="shared" si="1"/>
        <v>532154</v>
      </c>
      <c r="T53" s="45"/>
      <c r="U53" s="45">
        <v>7089961</v>
      </c>
      <c r="V53" s="44"/>
      <c r="W53" s="45">
        <v>1163496</v>
      </c>
    </row>
    <row r="54" spans="1:23" s="116" customFormat="1" ht="12.75" customHeight="1">
      <c r="A54" s="44" t="s">
        <v>73</v>
      </c>
      <c r="C54" s="44" t="s">
        <v>27</v>
      </c>
      <c r="D54" s="35"/>
      <c r="E54" s="45">
        <v>65258000</v>
      </c>
      <c r="F54" s="45"/>
      <c r="G54" s="45">
        <v>326464000</v>
      </c>
      <c r="H54" s="45"/>
      <c r="I54" s="45">
        <v>0</v>
      </c>
      <c r="J54" s="45"/>
      <c r="K54" s="45">
        <v>26000000</v>
      </c>
      <c r="L54" s="45"/>
      <c r="M54" s="45">
        <f>52269000+81200000</f>
        <v>133469000</v>
      </c>
      <c r="N54" s="45"/>
      <c r="O54" s="45">
        <v>0</v>
      </c>
      <c r="P54" s="45"/>
      <c r="Q54" s="45">
        <f>34763000+15047000</f>
        <v>49810000</v>
      </c>
      <c r="R54" s="45"/>
      <c r="S54" s="44">
        <f t="shared" si="0"/>
        <v>131838000</v>
      </c>
      <c r="T54" s="45"/>
      <c r="U54" s="45">
        <v>732839000</v>
      </c>
      <c r="V54" s="44"/>
      <c r="W54" s="45">
        <v>328026000</v>
      </c>
    </row>
    <row r="55" spans="1:23" s="116" customFormat="1" ht="12.75" hidden="1" customHeight="1">
      <c r="A55" s="44" t="s">
        <v>74</v>
      </c>
      <c r="C55" s="44" t="s">
        <v>27</v>
      </c>
      <c r="D55" s="35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1">
        <f t="shared" si="0"/>
        <v>0</v>
      </c>
      <c r="T55" s="127"/>
      <c r="U55" s="127"/>
      <c r="V55" s="121"/>
      <c r="W55" s="138"/>
    </row>
    <row r="56" spans="1:23" s="116" customFormat="1" ht="12.75" customHeight="1">
      <c r="A56" s="44" t="s">
        <v>75</v>
      </c>
      <c r="C56" s="44" t="s">
        <v>76</v>
      </c>
      <c r="D56" s="35"/>
      <c r="E56" s="45">
        <v>838585</v>
      </c>
      <c r="F56" s="45"/>
      <c r="G56" s="45">
        <v>3528735</v>
      </c>
      <c r="H56" s="45"/>
      <c r="I56" s="45">
        <v>0</v>
      </c>
      <c r="J56" s="45"/>
      <c r="K56" s="45">
        <v>295963</v>
      </c>
      <c r="L56" s="45"/>
      <c r="M56" s="45">
        <v>622970</v>
      </c>
      <c r="N56" s="45"/>
      <c r="O56" s="45">
        <v>50966</v>
      </c>
      <c r="P56" s="45"/>
      <c r="Q56" s="45">
        <f>51722+14068</f>
        <v>65790</v>
      </c>
      <c r="R56" s="45"/>
      <c r="S56" s="44">
        <f t="shared" si="0"/>
        <v>550534</v>
      </c>
      <c r="T56" s="45"/>
      <c r="U56" s="45">
        <v>5953543</v>
      </c>
      <c r="V56" s="44"/>
      <c r="W56" s="45">
        <f>169841+1600000+573957+161362</f>
        <v>2505160</v>
      </c>
    </row>
    <row r="57" spans="1:23" s="116" customFormat="1" ht="12.75" customHeight="1">
      <c r="A57" s="44" t="s">
        <v>77</v>
      </c>
      <c r="C57" s="44" t="s">
        <v>43</v>
      </c>
      <c r="D57" s="35"/>
      <c r="E57" s="45">
        <v>52515000</v>
      </c>
      <c r="F57" s="45"/>
      <c r="G57" s="45">
        <v>515739000</v>
      </c>
      <c r="H57" s="45"/>
      <c r="I57" s="45">
        <v>0</v>
      </c>
      <c r="J57" s="45"/>
      <c r="K57" s="45">
        <v>92472000</v>
      </c>
      <c r="L57" s="45"/>
      <c r="M57" s="45">
        <v>93829000</v>
      </c>
      <c r="N57" s="45"/>
      <c r="O57" s="45">
        <v>0</v>
      </c>
      <c r="P57" s="45"/>
      <c r="Q57" s="45">
        <f>28579000+27518000</f>
        <v>56097000</v>
      </c>
      <c r="R57" s="45"/>
      <c r="S57" s="44">
        <f t="shared" si="0"/>
        <v>206986000</v>
      </c>
      <c r="T57" s="45"/>
      <c r="U57" s="45">
        <v>1017638000</v>
      </c>
      <c r="V57" s="44"/>
      <c r="W57" s="45">
        <f>108819000+7227000+1900000+58000</f>
        <v>118004000</v>
      </c>
    </row>
    <row r="58" spans="1:23" s="116" customFormat="1" ht="12.75" customHeight="1">
      <c r="A58" s="44" t="s">
        <v>94</v>
      </c>
      <c r="C58" s="44" t="s">
        <v>94</v>
      </c>
      <c r="D58" s="35"/>
      <c r="E58" s="45">
        <v>9091411</v>
      </c>
      <c r="F58" s="45"/>
      <c r="G58" s="45">
        <v>0</v>
      </c>
      <c r="H58" s="45"/>
      <c r="I58" s="45">
        <v>34123</v>
      </c>
      <c r="J58" s="45"/>
      <c r="K58" s="45">
        <v>273288</v>
      </c>
      <c r="L58" s="45"/>
      <c r="M58" s="45">
        <v>2364997</v>
      </c>
      <c r="N58" s="45"/>
      <c r="O58" s="45">
        <v>0</v>
      </c>
      <c r="P58" s="45"/>
      <c r="Q58" s="45">
        <f>16974+100491</f>
        <v>117465</v>
      </c>
      <c r="R58" s="45"/>
      <c r="S58" s="44">
        <f>+U58-SUM(E58:Q58)</f>
        <v>-6680041</v>
      </c>
      <c r="T58" s="45"/>
      <c r="U58" s="45">
        <v>5201243</v>
      </c>
      <c r="V58" s="44"/>
      <c r="W58" s="45">
        <v>2138379</v>
      </c>
    </row>
    <row r="59" spans="1:23" s="116" customFormat="1" ht="12.75" customHeight="1">
      <c r="A59" s="44" t="s">
        <v>78</v>
      </c>
      <c r="C59" s="44" t="s">
        <v>19</v>
      </c>
      <c r="D59" s="35"/>
      <c r="E59" s="45">
        <v>1200633</v>
      </c>
      <c r="F59" s="45"/>
      <c r="G59" s="45">
        <v>2966852</v>
      </c>
      <c r="H59" s="45"/>
      <c r="I59" s="45">
        <v>0</v>
      </c>
      <c r="J59" s="45"/>
      <c r="K59" s="45">
        <v>327059</v>
      </c>
      <c r="L59" s="45"/>
      <c r="M59" s="45">
        <v>2564852</v>
      </c>
      <c r="N59" s="45"/>
      <c r="O59" s="45">
        <v>156324</v>
      </c>
      <c r="P59" s="45"/>
      <c r="Q59" s="45">
        <f>203988+204923</f>
        <v>408911</v>
      </c>
      <c r="R59" s="45"/>
      <c r="S59" s="44">
        <f t="shared" si="0"/>
        <v>161916</v>
      </c>
      <c r="T59" s="45"/>
      <c r="U59" s="45">
        <v>7786547</v>
      </c>
      <c r="V59" s="44"/>
      <c r="W59" s="45">
        <f>39439+185000+500000+74999+100350</f>
        <v>899788</v>
      </c>
    </row>
    <row r="60" spans="1:23" s="116" customFormat="1" ht="12.75" customHeight="1">
      <c r="A60" s="44" t="s">
        <v>79</v>
      </c>
      <c r="C60" s="44" t="s">
        <v>80</v>
      </c>
      <c r="D60" s="35"/>
      <c r="E60" s="45">
        <v>2139071</v>
      </c>
      <c r="F60" s="45"/>
      <c r="G60" s="45">
        <v>0</v>
      </c>
      <c r="H60" s="45"/>
      <c r="I60" s="45">
        <v>0</v>
      </c>
      <c r="J60" s="45"/>
      <c r="K60" s="45">
        <v>377390</v>
      </c>
      <c r="L60" s="45"/>
      <c r="M60" s="45">
        <v>2115008</v>
      </c>
      <c r="N60" s="45"/>
      <c r="O60" s="45">
        <v>0</v>
      </c>
      <c r="P60" s="45"/>
      <c r="Q60" s="45">
        <f>130909+4931</f>
        <v>135840</v>
      </c>
      <c r="R60" s="45"/>
      <c r="S60" s="44">
        <f t="shared" si="0"/>
        <v>79752</v>
      </c>
      <c r="T60" s="45"/>
      <c r="U60" s="45">
        <v>4847061</v>
      </c>
      <c r="V60" s="44"/>
      <c r="W60" s="45">
        <f>12500+80000</f>
        <v>92500</v>
      </c>
    </row>
    <row r="61" spans="1:23" s="116" customFormat="1" ht="12.75" customHeight="1">
      <c r="A61" s="44" t="s">
        <v>81</v>
      </c>
      <c r="C61" s="44" t="s">
        <v>81</v>
      </c>
      <c r="D61" s="35"/>
      <c r="E61" s="45">
        <v>613920</v>
      </c>
      <c r="F61" s="45"/>
      <c r="G61" s="45">
        <v>4133001</v>
      </c>
      <c r="H61" s="45"/>
      <c r="I61" s="45">
        <v>0</v>
      </c>
      <c r="J61" s="45"/>
      <c r="K61" s="45">
        <v>1155557</v>
      </c>
      <c r="L61" s="45"/>
      <c r="M61" s="45">
        <v>1572419</v>
      </c>
      <c r="N61" s="45"/>
      <c r="O61" s="45">
        <v>0</v>
      </c>
      <c r="P61" s="45"/>
      <c r="Q61" s="45">
        <f>27485+77277</f>
        <v>104762</v>
      </c>
      <c r="R61" s="45"/>
      <c r="S61" s="44">
        <f t="shared" si="0"/>
        <v>1159239</v>
      </c>
      <c r="T61" s="45"/>
      <c r="U61" s="45">
        <v>8738898</v>
      </c>
      <c r="V61" s="44"/>
      <c r="W61" s="45">
        <v>600000</v>
      </c>
    </row>
    <row r="62" spans="1:23" s="116" customFormat="1" ht="12.75" customHeight="1">
      <c r="A62" s="47" t="s">
        <v>465</v>
      </c>
      <c r="B62" s="47"/>
      <c r="C62" s="47" t="s">
        <v>57</v>
      </c>
      <c r="D62" s="35"/>
      <c r="E62" s="45">
        <v>251216</v>
      </c>
      <c r="F62" s="45"/>
      <c r="G62" s="45">
        <v>1058505</v>
      </c>
      <c r="H62" s="45"/>
      <c r="I62" s="45">
        <v>0</v>
      </c>
      <c r="J62" s="45"/>
      <c r="K62" s="45">
        <v>150672</v>
      </c>
      <c r="L62" s="45"/>
      <c r="M62" s="45">
        <v>1087148</v>
      </c>
      <c r="N62" s="45"/>
      <c r="O62" s="45">
        <v>0</v>
      </c>
      <c r="P62" s="45"/>
      <c r="Q62" s="45">
        <f>74281+79022</f>
        <v>153303</v>
      </c>
      <c r="R62" s="45"/>
      <c r="S62" s="44">
        <f t="shared" si="0"/>
        <v>191702</v>
      </c>
      <c r="T62" s="45"/>
      <c r="U62" s="45">
        <v>2892546</v>
      </c>
      <c r="V62" s="44"/>
      <c r="W62" s="45">
        <v>110785</v>
      </c>
    </row>
    <row r="63" spans="1:23" s="116" customFormat="1" ht="12.75" customHeight="1">
      <c r="A63" s="44" t="s">
        <v>82</v>
      </c>
      <c r="C63" s="44" t="s">
        <v>13</v>
      </c>
      <c r="D63" s="35"/>
      <c r="E63" s="45">
        <v>10757164</v>
      </c>
      <c r="F63" s="45"/>
      <c r="G63" s="45">
        <v>18753883</v>
      </c>
      <c r="H63" s="45"/>
      <c r="I63" s="45">
        <v>560210</v>
      </c>
      <c r="J63" s="45"/>
      <c r="K63" s="45">
        <v>7837010</v>
      </c>
      <c r="L63" s="45"/>
      <c r="M63" s="45">
        <v>2214516</v>
      </c>
      <c r="N63" s="45"/>
      <c r="O63" s="45">
        <v>0</v>
      </c>
      <c r="P63" s="45"/>
      <c r="Q63" s="45">
        <f>1835432+303492</f>
        <v>2138924</v>
      </c>
      <c r="R63" s="45"/>
      <c r="S63" s="44">
        <f t="shared" si="0"/>
        <v>9707921</v>
      </c>
      <c r="T63" s="45"/>
      <c r="U63" s="45">
        <v>51969628</v>
      </c>
      <c r="V63" s="44"/>
      <c r="W63" s="45">
        <f>540197+22777318</f>
        <v>23317515</v>
      </c>
    </row>
    <row r="64" spans="1:23" s="117" customFormat="1" ht="12.75" customHeight="1">
      <c r="A64" s="46" t="s">
        <v>83</v>
      </c>
      <c r="C64" s="46" t="s">
        <v>66</v>
      </c>
      <c r="D64" s="35"/>
      <c r="E64" s="45">
        <v>21116220</v>
      </c>
      <c r="F64" s="45"/>
      <c r="G64" s="45">
        <v>109008881</v>
      </c>
      <c r="H64" s="45"/>
      <c r="I64" s="45">
        <v>22389507</v>
      </c>
      <c r="J64" s="45"/>
      <c r="K64" s="45">
        <v>23926449</v>
      </c>
      <c r="L64" s="45"/>
      <c r="M64" s="45">
        <v>25707748</v>
      </c>
      <c r="N64" s="45"/>
      <c r="O64" s="45">
        <v>546047</v>
      </c>
      <c r="P64" s="45"/>
      <c r="Q64" s="45">
        <f>1817153+2908861</f>
        <v>4726014</v>
      </c>
      <c r="R64" s="45"/>
      <c r="S64" s="44">
        <f t="shared" si="0"/>
        <v>16775337</v>
      </c>
      <c r="T64" s="45"/>
      <c r="U64" s="45">
        <v>224196203</v>
      </c>
      <c r="V64" s="44"/>
      <c r="W64" s="45">
        <f>32000000+239750+9831205</f>
        <v>42070955</v>
      </c>
    </row>
    <row r="65" spans="1:23" s="116" customFormat="1" ht="12.75" customHeight="1">
      <c r="A65" s="44" t="s">
        <v>84</v>
      </c>
      <c r="C65" s="44" t="s">
        <v>45</v>
      </c>
      <c r="D65" s="35"/>
      <c r="E65" s="45">
        <v>2960852</v>
      </c>
      <c r="F65" s="45"/>
      <c r="G65" s="45">
        <v>0</v>
      </c>
      <c r="H65" s="45"/>
      <c r="I65" s="45">
        <v>0</v>
      </c>
      <c r="J65" s="45"/>
      <c r="K65" s="45">
        <v>121986</v>
      </c>
      <c r="L65" s="45"/>
      <c r="M65" s="45">
        <v>429336</v>
      </c>
      <c r="N65" s="45"/>
      <c r="O65" s="45">
        <v>0</v>
      </c>
      <c r="P65" s="45"/>
      <c r="Q65" s="45">
        <v>87270</v>
      </c>
      <c r="R65" s="45"/>
      <c r="S65" s="44">
        <f t="shared" si="0"/>
        <v>222884</v>
      </c>
      <c r="T65" s="45"/>
      <c r="U65" s="45">
        <v>3822328</v>
      </c>
      <c r="V65" s="44"/>
      <c r="W65" s="45">
        <f>11500+71234+102500+194313</f>
        <v>379547</v>
      </c>
    </row>
    <row r="66" spans="1:23" s="116" customFormat="1" ht="12.75" customHeight="1">
      <c r="A66" s="44" t="s">
        <v>85</v>
      </c>
      <c r="C66" s="44" t="s">
        <v>85</v>
      </c>
      <c r="D66" s="35"/>
      <c r="E66" s="45">
        <v>941651</v>
      </c>
      <c r="F66" s="45"/>
      <c r="G66" s="45">
        <v>7392483</v>
      </c>
      <c r="H66" s="45"/>
      <c r="I66" s="45">
        <v>0</v>
      </c>
      <c r="J66" s="45"/>
      <c r="K66" s="45">
        <v>583007</v>
      </c>
      <c r="L66" s="45"/>
      <c r="M66" s="45">
        <v>2306703</v>
      </c>
      <c r="N66" s="45"/>
      <c r="O66" s="45">
        <v>128763</v>
      </c>
      <c r="P66" s="45"/>
      <c r="Q66" s="45">
        <f>357625+362524</f>
        <v>720149</v>
      </c>
      <c r="R66" s="45"/>
      <c r="S66" s="44">
        <f t="shared" si="0"/>
        <v>1078140</v>
      </c>
      <c r="T66" s="45"/>
      <c r="U66" s="45">
        <v>13150896</v>
      </c>
      <c r="V66" s="44"/>
      <c r="W66" s="45">
        <v>1108237</v>
      </c>
    </row>
    <row r="67" spans="1:23" s="117" customFormat="1" ht="12.75" customHeight="1">
      <c r="A67" s="44" t="s">
        <v>86</v>
      </c>
      <c r="B67" s="116"/>
      <c r="C67" s="44" t="s">
        <v>86</v>
      </c>
      <c r="D67" s="35"/>
      <c r="E67" s="45">
        <v>1849164</v>
      </c>
      <c r="F67" s="45"/>
      <c r="G67" s="45">
        <v>13919764</v>
      </c>
      <c r="H67" s="45"/>
      <c r="I67" s="45">
        <v>64531</v>
      </c>
      <c r="J67" s="45"/>
      <c r="K67" s="45">
        <v>2236182</v>
      </c>
      <c r="L67" s="45"/>
      <c r="M67" s="45">
        <v>4411719</v>
      </c>
      <c r="N67" s="45"/>
      <c r="O67" s="45">
        <v>38467</v>
      </c>
      <c r="P67" s="45"/>
      <c r="Q67" s="45">
        <f>911800+2170171</f>
        <v>3081971</v>
      </c>
      <c r="R67" s="45"/>
      <c r="S67" s="44">
        <f t="shared" si="0"/>
        <v>2213410</v>
      </c>
      <c r="T67" s="45"/>
      <c r="U67" s="45">
        <v>27815208</v>
      </c>
      <c r="V67" s="44"/>
      <c r="W67" s="45">
        <f>1123313+126669+5671567</f>
        <v>6921549</v>
      </c>
    </row>
    <row r="68" spans="1:23" s="118" customFormat="1" ht="12.75" customHeight="1">
      <c r="A68" s="46" t="s">
        <v>87</v>
      </c>
      <c r="B68" s="117"/>
      <c r="C68" s="46" t="s">
        <v>88</v>
      </c>
      <c r="D68" s="64"/>
      <c r="E68" s="45">
        <v>400454</v>
      </c>
      <c r="F68" s="45"/>
      <c r="G68" s="45">
        <v>2431331</v>
      </c>
      <c r="H68" s="45"/>
      <c r="I68" s="45">
        <v>0</v>
      </c>
      <c r="J68" s="45"/>
      <c r="K68" s="45">
        <v>471539</v>
      </c>
      <c r="L68" s="45"/>
      <c r="M68" s="45">
        <v>1473822</v>
      </c>
      <c r="N68" s="45"/>
      <c r="O68" s="45">
        <v>0</v>
      </c>
      <c r="P68" s="45"/>
      <c r="Q68" s="45">
        <v>102782</v>
      </c>
      <c r="R68" s="45"/>
      <c r="S68" s="44">
        <f t="shared" si="0"/>
        <v>212036</v>
      </c>
      <c r="T68" s="45"/>
      <c r="U68" s="45">
        <v>5091964</v>
      </c>
      <c r="V68" s="44"/>
      <c r="W68" s="45">
        <f>321478+88196</f>
        <v>409674</v>
      </c>
    </row>
    <row r="69" spans="1:23" s="118" customFormat="1" ht="12.75" customHeight="1">
      <c r="A69" s="44" t="s">
        <v>471</v>
      </c>
      <c r="B69" s="117"/>
      <c r="C69" s="46"/>
      <c r="D69" s="64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4"/>
      <c r="T69" s="45"/>
      <c r="U69" s="45"/>
      <c r="V69" s="44"/>
      <c r="W69" s="48" t="s">
        <v>484</v>
      </c>
    </row>
    <row r="70" spans="1:23" s="116" customFormat="1" ht="12.75" customHeight="1">
      <c r="A70" s="46" t="s">
        <v>394</v>
      </c>
      <c r="B70" s="117"/>
      <c r="C70" s="46" t="s">
        <v>89</v>
      </c>
      <c r="D70" s="35"/>
      <c r="E70" s="94">
        <v>1218183</v>
      </c>
      <c r="F70" s="94"/>
      <c r="G70" s="94">
        <v>6770438</v>
      </c>
      <c r="H70" s="94"/>
      <c r="I70" s="94">
        <v>0</v>
      </c>
      <c r="J70" s="94"/>
      <c r="K70" s="94">
        <v>1040296</v>
      </c>
      <c r="L70" s="94"/>
      <c r="M70" s="94">
        <v>2377839</v>
      </c>
      <c r="N70" s="94"/>
      <c r="O70" s="94">
        <v>0</v>
      </c>
      <c r="P70" s="94"/>
      <c r="Q70" s="94">
        <v>58906</v>
      </c>
      <c r="R70" s="94"/>
      <c r="S70" s="46">
        <f t="shared" si="0"/>
        <v>470651</v>
      </c>
      <c r="T70" s="94"/>
      <c r="U70" s="94">
        <v>11936313</v>
      </c>
      <c r="V70" s="46"/>
      <c r="W70" s="94">
        <v>2200000</v>
      </c>
    </row>
    <row r="71" spans="1:23" s="116" customFormat="1" ht="12.75" customHeight="1">
      <c r="A71" s="44" t="s">
        <v>90</v>
      </c>
      <c r="C71" s="44" t="s">
        <v>43</v>
      </c>
      <c r="D71" s="35"/>
      <c r="E71" s="45">
        <v>3475972</v>
      </c>
      <c r="F71" s="45"/>
      <c r="G71" s="45">
        <v>68094362</v>
      </c>
      <c r="H71" s="45"/>
      <c r="I71" s="45">
        <v>1754848</v>
      </c>
      <c r="J71" s="45"/>
      <c r="K71" s="45">
        <v>7158512</v>
      </c>
      <c r="L71" s="45"/>
      <c r="M71" s="45">
        <v>6257080</v>
      </c>
      <c r="N71" s="45"/>
      <c r="O71" s="45">
        <v>258679</v>
      </c>
      <c r="P71" s="45"/>
      <c r="Q71" s="45">
        <v>3009779</v>
      </c>
      <c r="R71" s="45"/>
      <c r="S71" s="44">
        <f t="shared" si="0"/>
        <v>10477717</v>
      </c>
      <c r="T71" s="45"/>
      <c r="U71" s="45">
        <v>100486949</v>
      </c>
      <c r="V71" s="44"/>
      <c r="W71" s="45">
        <f>1002000+32232145</f>
        <v>33234145</v>
      </c>
    </row>
    <row r="72" spans="1:23" s="116" customFormat="1" ht="12.75" customHeight="1">
      <c r="A72" s="44" t="s">
        <v>93</v>
      </c>
      <c r="C72" s="44" t="s">
        <v>94</v>
      </c>
      <c r="D72" s="35"/>
      <c r="E72" s="45">
        <v>1083905</v>
      </c>
      <c r="F72" s="45"/>
      <c r="G72" s="45">
        <v>3062556</v>
      </c>
      <c r="H72" s="45"/>
      <c r="I72" s="45">
        <v>0</v>
      </c>
      <c r="J72" s="45"/>
      <c r="K72" s="45">
        <v>58885</v>
      </c>
      <c r="L72" s="45"/>
      <c r="M72" s="45">
        <v>2370404</v>
      </c>
      <c r="N72" s="45"/>
      <c r="O72" s="45">
        <v>14095</v>
      </c>
      <c r="P72" s="45"/>
      <c r="Q72" s="45">
        <f>711491+281707</f>
        <v>993198</v>
      </c>
      <c r="R72" s="45"/>
      <c r="S72" s="44">
        <f t="shared" si="0"/>
        <v>212854</v>
      </c>
      <c r="T72" s="45"/>
      <c r="U72" s="45">
        <v>7795897</v>
      </c>
      <c r="V72" s="44"/>
      <c r="W72" s="45">
        <f>19650+316820+2622878</f>
        <v>2959348</v>
      </c>
    </row>
    <row r="73" spans="1:23" s="116" customFormat="1" ht="12.75" customHeight="1">
      <c r="A73" s="44" t="s">
        <v>488</v>
      </c>
      <c r="C73" s="44" t="s">
        <v>27</v>
      </c>
      <c r="D73" s="35"/>
      <c r="E73" s="45">
        <v>2156034</v>
      </c>
      <c r="F73" s="45"/>
      <c r="G73" s="45">
        <v>6175861</v>
      </c>
      <c r="H73" s="45"/>
      <c r="I73" s="45">
        <v>0</v>
      </c>
      <c r="J73" s="45"/>
      <c r="K73" s="45">
        <v>970134</v>
      </c>
      <c r="L73" s="45"/>
      <c r="M73" s="45">
        <v>8925992</v>
      </c>
      <c r="N73" s="45"/>
      <c r="O73" s="45">
        <v>329460</v>
      </c>
      <c r="P73" s="45"/>
      <c r="Q73" s="45">
        <f>398545+1268534</f>
        <v>1667079</v>
      </c>
      <c r="R73" s="45"/>
      <c r="S73" s="44">
        <f>+U73-SUM(E73:Q73)</f>
        <v>879236</v>
      </c>
      <c r="T73" s="45"/>
      <c r="U73" s="45">
        <v>21103796</v>
      </c>
      <c r="V73" s="44"/>
      <c r="W73" s="45">
        <f>89559+340000+345131</f>
        <v>774690</v>
      </c>
    </row>
    <row r="74" spans="1:23" s="117" customFormat="1" ht="12.75" customHeight="1">
      <c r="A74" s="46" t="s">
        <v>95</v>
      </c>
      <c r="C74" s="46" t="s">
        <v>94</v>
      </c>
      <c r="D74" s="64"/>
      <c r="E74" s="45">
        <v>1307617</v>
      </c>
      <c r="F74" s="45"/>
      <c r="G74" s="45">
        <v>0</v>
      </c>
      <c r="H74" s="45"/>
      <c r="I74" s="45">
        <v>0</v>
      </c>
      <c r="J74" s="45"/>
      <c r="K74" s="45">
        <v>339642</v>
      </c>
      <c r="L74" s="45"/>
      <c r="M74" s="45">
        <v>781926</v>
      </c>
      <c r="N74" s="45"/>
      <c r="O74" s="45">
        <v>0</v>
      </c>
      <c r="P74" s="45"/>
      <c r="Q74" s="45">
        <f>6525+77500</f>
        <v>84025</v>
      </c>
      <c r="R74" s="45"/>
      <c r="S74" s="44">
        <f t="shared" ref="S74:S80" si="2">+U74-SUM(E74:Q74)</f>
        <v>138648</v>
      </c>
      <c r="T74" s="45"/>
      <c r="U74" s="45">
        <v>2651858</v>
      </c>
      <c r="V74" s="44"/>
      <c r="W74" s="45">
        <f>2901+133174+53000+338156</f>
        <v>527231</v>
      </c>
    </row>
    <row r="75" spans="1:23" s="116" customFormat="1" ht="12.75" customHeight="1">
      <c r="A75" s="44" t="s">
        <v>91</v>
      </c>
      <c r="C75" s="44" t="s">
        <v>92</v>
      </c>
      <c r="D75" s="35"/>
      <c r="E75" s="45">
        <v>3076482</v>
      </c>
      <c r="F75" s="45"/>
      <c r="G75" s="45">
        <v>7096439</v>
      </c>
      <c r="H75" s="45"/>
      <c r="I75" s="45">
        <f>51121+142638</f>
        <v>193759</v>
      </c>
      <c r="J75" s="45"/>
      <c r="K75" s="45">
        <v>1753762</v>
      </c>
      <c r="L75" s="45"/>
      <c r="M75" s="45">
        <v>6659493</v>
      </c>
      <c r="N75" s="45"/>
      <c r="O75" s="45">
        <v>0</v>
      </c>
      <c r="P75" s="45"/>
      <c r="Q75" s="45">
        <f>267535+200660</f>
        <v>468195</v>
      </c>
      <c r="R75" s="45"/>
      <c r="S75" s="44">
        <f t="shared" si="2"/>
        <v>921773</v>
      </c>
      <c r="T75" s="45"/>
      <c r="U75" s="45">
        <v>20169903</v>
      </c>
      <c r="V75" s="44"/>
      <c r="W75" s="45">
        <v>2367501</v>
      </c>
    </row>
    <row r="76" spans="1:23" s="116" customFormat="1" ht="12.75" customHeight="1">
      <c r="A76" s="44" t="s">
        <v>96</v>
      </c>
      <c r="C76" s="44" t="s">
        <v>97</v>
      </c>
      <c r="D76" s="35"/>
      <c r="E76" s="45">
        <v>809051</v>
      </c>
      <c r="F76" s="45"/>
      <c r="G76" s="45">
        <v>3585896</v>
      </c>
      <c r="H76" s="45"/>
      <c r="I76" s="45">
        <v>0</v>
      </c>
      <c r="J76" s="45"/>
      <c r="K76" s="45">
        <v>545956</v>
      </c>
      <c r="L76" s="45"/>
      <c r="M76" s="45">
        <v>1560123</v>
      </c>
      <c r="N76" s="45"/>
      <c r="O76" s="45">
        <v>23671</v>
      </c>
      <c r="P76" s="45"/>
      <c r="Q76" s="45">
        <f>916650+107074</f>
        <v>1023724</v>
      </c>
      <c r="R76" s="45"/>
      <c r="S76" s="44">
        <f t="shared" si="2"/>
        <v>385355</v>
      </c>
      <c r="T76" s="45"/>
      <c r="U76" s="45">
        <v>7933776</v>
      </c>
      <c r="V76" s="44"/>
      <c r="W76" s="45">
        <f>20540+550000+659194</f>
        <v>1229734</v>
      </c>
    </row>
    <row r="77" spans="1:23" s="116" customFormat="1" ht="12.75" customHeight="1">
      <c r="A77" s="44" t="s">
        <v>98</v>
      </c>
      <c r="C77" s="44" t="s">
        <v>17</v>
      </c>
      <c r="D77" s="35"/>
      <c r="E77" s="45">
        <v>3993165</v>
      </c>
      <c r="F77" s="45"/>
      <c r="G77" s="45">
        <v>21577317</v>
      </c>
      <c r="H77" s="45"/>
      <c r="I77" s="45">
        <v>1337861</v>
      </c>
      <c r="J77" s="45"/>
      <c r="K77" s="45">
        <v>2258023</v>
      </c>
      <c r="L77" s="45"/>
      <c r="M77" s="45">
        <v>21613436</v>
      </c>
      <c r="N77" s="45"/>
      <c r="O77" s="45">
        <v>332290</v>
      </c>
      <c r="P77" s="45"/>
      <c r="Q77" s="45">
        <f>1533403+567206</f>
        <v>2100609</v>
      </c>
      <c r="R77" s="45"/>
      <c r="S77" s="44">
        <f t="shared" si="2"/>
        <v>856258</v>
      </c>
      <c r="T77" s="45"/>
      <c r="U77" s="45">
        <v>54068959</v>
      </c>
      <c r="V77" s="44"/>
      <c r="W77" s="45">
        <f>803909+3430000+27590</f>
        <v>4261499</v>
      </c>
    </row>
    <row r="78" spans="1:23" s="116" customFormat="1" ht="12.75" customHeight="1">
      <c r="A78" s="44" t="s">
        <v>99</v>
      </c>
      <c r="C78" s="44" t="s">
        <v>66</v>
      </c>
      <c r="D78" s="35"/>
      <c r="E78" s="45">
        <v>1617777</v>
      </c>
      <c r="F78" s="45"/>
      <c r="G78" s="45">
        <v>5736899</v>
      </c>
      <c r="H78" s="45"/>
      <c r="I78" s="45">
        <v>368541</v>
      </c>
      <c r="J78" s="45"/>
      <c r="K78" s="45">
        <v>914098</v>
      </c>
      <c r="L78" s="45"/>
      <c r="M78" s="45">
        <v>2421362</v>
      </c>
      <c r="N78" s="45"/>
      <c r="O78" s="45">
        <v>143281</v>
      </c>
      <c r="P78" s="45"/>
      <c r="Q78" s="45">
        <f>54823+42753</f>
        <v>97576</v>
      </c>
      <c r="R78" s="45"/>
      <c r="S78" s="44">
        <f t="shared" si="2"/>
        <v>671236</v>
      </c>
      <c r="T78" s="45"/>
      <c r="U78" s="45">
        <v>11970770</v>
      </c>
      <c r="V78" s="44"/>
      <c r="W78" s="45">
        <f>72225+5344105</f>
        <v>5416330</v>
      </c>
    </row>
    <row r="79" spans="1:23" s="116" customFormat="1" ht="12.75" customHeight="1">
      <c r="A79" s="44" t="s">
        <v>100</v>
      </c>
      <c r="C79" s="44" t="s">
        <v>27</v>
      </c>
      <c r="D79" s="35"/>
      <c r="E79" s="45">
        <v>6302868</v>
      </c>
      <c r="F79" s="45"/>
      <c r="G79" s="45">
        <v>23949387</v>
      </c>
      <c r="H79" s="45"/>
      <c r="I79" s="45">
        <v>123164</v>
      </c>
      <c r="J79" s="45"/>
      <c r="K79" s="45">
        <v>4468421</v>
      </c>
      <c r="L79" s="45"/>
      <c r="M79" s="45">
        <v>8954036</v>
      </c>
      <c r="N79" s="45"/>
      <c r="O79" s="45">
        <v>505921</v>
      </c>
      <c r="P79" s="45"/>
      <c r="Q79" s="45">
        <f>119297+2115947</f>
        <v>2235244</v>
      </c>
      <c r="R79" s="45"/>
      <c r="S79" s="44">
        <f t="shared" si="2"/>
        <v>3010610</v>
      </c>
      <c r="T79" s="45"/>
      <c r="U79" s="45">
        <v>49549651</v>
      </c>
      <c r="V79" s="44"/>
      <c r="W79" s="45">
        <f>1195820+7825000+2800000+1119127+215765+55191+205758</f>
        <v>13416661</v>
      </c>
    </row>
    <row r="80" spans="1:23" s="116" customFormat="1" ht="12.75" customHeight="1">
      <c r="A80" s="44" t="s">
        <v>101</v>
      </c>
      <c r="C80" s="44" t="s">
        <v>30</v>
      </c>
      <c r="D80" s="35"/>
      <c r="E80" s="45">
        <v>2389176</v>
      </c>
      <c r="F80" s="45"/>
      <c r="G80" s="45">
        <v>10194655</v>
      </c>
      <c r="H80" s="45"/>
      <c r="I80" s="45">
        <v>840651</v>
      </c>
      <c r="J80" s="45"/>
      <c r="K80" s="45">
        <v>3368842</v>
      </c>
      <c r="L80" s="45"/>
      <c r="M80" s="45">
        <v>6287601</v>
      </c>
      <c r="N80" s="45"/>
      <c r="O80" s="45">
        <v>317084</v>
      </c>
      <c r="P80" s="45"/>
      <c r="Q80" s="45">
        <v>2404118</v>
      </c>
      <c r="R80" s="45"/>
      <c r="S80" s="44">
        <f t="shared" si="2"/>
        <v>1705234</v>
      </c>
      <c r="T80" s="45"/>
      <c r="U80" s="45">
        <v>27507361</v>
      </c>
      <c r="V80" s="44"/>
      <c r="W80" s="45">
        <f>280000+135000+171713+4839170</f>
        <v>5425883</v>
      </c>
    </row>
    <row r="81" spans="1:23" s="116" customFormat="1" ht="12.75" customHeight="1">
      <c r="A81" s="44" t="s">
        <v>102</v>
      </c>
      <c r="C81" s="44" t="s">
        <v>103</v>
      </c>
      <c r="D81" s="35"/>
      <c r="E81" s="45">
        <v>28500970</v>
      </c>
      <c r="F81" s="45"/>
      <c r="G81" s="45">
        <v>0</v>
      </c>
      <c r="H81" s="45"/>
      <c r="I81" s="45">
        <v>0</v>
      </c>
      <c r="J81" s="45"/>
      <c r="K81" s="45">
        <v>1809440</v>
      </c>
      <c r="L81" s="45"/>
      <c r="M81" s="45">
        <v>7270321</v>
      </c>
      <c r="N81" s="45"/>
      <c r="O81" s="45">
        <v>279582</v>
      </c>
      <c r="P81" s="45"/>
      <c r="Q81" s="45">
        <v>2363478</v>
      </c>
      <c r="R81" s="45"/>
      <c r="S81" s="44">
        <f t="shared" ref="S81:S146" si="3">+U81-SUM(E81:Q81)</f>
        <v>1776625</v>
      </c>
      <c r="T81" s="45"/>
      <c r="U81" s="45">
        <v>42000416</v>
      </c>
      <c r="V81" s="44"/>
      <c r="W81" s="45">
        <f>16134+5922490</f>
        <v>5938624</v>
      </c>
    </row>
    <row r="82" spans="1:23" s="116" customFormat="1" ht="12.75" customHeight="1">
      <c r="A82" s="44" t="s">
        <v>104</v>
      </c>
      <c r="C82" s="44" t="s">
        <v>13</v>
      </c>
      <c r="D82" s="64"/>
      <c r="E82" s="45">
        <v>1005369</v>
      </c>
      <c r="F82" s="45"/>
      <c r="G82" s="45">
        <v>8496627</v>
      </c>
      <c r="H82" s="45"/>
      <c r="I82" s="45">
        <v>0</v>
      </c>
      <c r="J82" s="45"/>
      <c r="K82" s="45">
        <v>267103</v>
      </c>
      <c r="L82" s="45"/>
      <c r="M82" s="45">
        <v>1629883</v>
      </c>
      <c r="N82" s="45"/>
      <c r="O82" s="45">
        <v>326404</v>
      </c>
      <c r="P82" s="45"/>
      <c r="Q82" s="45">
        <f>229071+168491</f>
        <v>397562</v>
      </c>
      <c r="R82" s="45"/>
      <c r="S82" s="44">
        <f t="shared" si="3"/>
        <v>2603356</v>
      </c>
      <c r="T82" s="45"/>
      <c r="U82" s="45">
        <v>14726304</v>
      </c>
      <c r="V82" s="44"/>
      <c r="W82" s="45">
        <f>9200+301340</f>
        <v>310540</v>
      </c>
    </row>
    <row r="83" spans="1:23" s="116" customFormat="1" ht="12.75" customHeight="1">
      <c r="A83" s="44" t="s">
        <v>105</v>
      </c>
      <c r="C83" s="44" t="s">
        <v>27</v>
      </c>
      <c r="D83" s="35"/>
      <c r="E83" s="45">
        <v>3625281</v>
      </c>
      <c r="F83" s="45"/>
      <c r="G83" s="45">
        <v>8245667</v>
      </c>
      <c r="H83" s="45"/>
      <c r="I83" s="45">
        <v>0</v>
      </c>
      <c r="J83" s="45"/>
      <c r="K83" s="45">
        <v>1519425</v>
      </c>
      <c r="L83" s="45"/>
      <c r="M83" s="45">
        <v>3119882</v>
      </c>
      <c r="N83" s="45"/>
      <c r="O83" s="45">
        <v>268887</v>
      </c>
      <c r="P83" s="45"/>
      <c r="Q83" s="45">
        <v>431216</v>
      </c>
      <c r="R83" s="45"/>
      <c r="S83" s="44">
        <f t="shared" si="3"/>
        <v>428711</v>
      </c>
      <c r="T83" s="45"/>
      <c r="U83" s="45">
        <v>17639069</v>
      </c>
      <c r="V83" s="44"/>
      <c r="W83" s="45">
        <f>320000+1140658</f>
        <v>1460658</v>
      </c>
    </row>
    <row r="84" spans="1:23" s="116" customFormat="1" ht="12.75" customHeight="1">
      <c r="A84" s="44" t="s">
        <v>106</v>
      </c>
      <c r="C84" s="44" t="s">
        <v>107</v>
      </c>
      <c r="D84" s="35"/>
      <c r="E84" s="45">
        <v>3193744</v>
      </c>
      <c r="F84" s="45"/>
      <c r="G84" s="45">
        <v>15646020</v>
      </c>
      <c r="H84" s="45"/>
      <c r="I84" s="45">
        <v>0</v>
      </c>
      <c r="J84" s="45"/>
      <c r="K84" s="45">
        <v>2011057</v>
      </c>
      <c r="L84" s="45"/>
      <c r="M84" s="45">
        <v>6768810</v>
      </c>
      <c r="N84" s="45"/>
      <c r="O84" s="45">
        <v>47171</v>
      </c>
      <c r="P84" s="45"/>
      <c r="Q84" s="45">
        <f>1178490+335820</f>
        <v>1514310</v>
      </c>
      <c r="R84" s="45"/>
      <c r="S84" s="44">
        <f t="shared" si="3"/>
        <v>2147714</v>
      </c>
      <c r="T84" s="45"/>
      <c r="U84" s="45">
        <v>31328826</v>
      </c>
      <c r="V84" s="44"/>
      <c r="W84" s="45">
        <f>35096+8200000+12848+18127688</f>
        <v>26375632</v>
      </c>
    </row>
    <row r="85" spans="1:23" s="116" customFormat="1" ht="12.75" customHeight="1">
      <c r="A85" s="44" t="s">
        <v>108</v>
      </c>
      <c r="C85" s="44" t="s">
        <v>45</v>
      </c>
      <c r="D85" s="35"/>
      <c r="E85" s="45">
        <v>13217698</v>
      </c>
      <c r="F85" s="45"/>
      <c r="G85" s="45">
        <v>0</v>
      </c>
      <c r="H85" s="45"/>
      <c r="I85" s="45">
        <v>0</v>
      </c>
      <c r="J85" s="45"/>
      <c r="K85" s="45">
        <v>1317772</v>
      </c>
      <c r="L85" s="45"/>
      <c r="M85" s="45">
        <v>1710971</v>
      </c>
      <c r="N85" s="45"/>
      <c r="O85" s="45">
        <v>1177910</v>
      </c>
      <c r="P85" s="45"/>
      <c r="Q85" s="45">
        <v>616544</v>
      </c>
      <c r="R85" s="45"/>
      <c r="S85" s="44">
        <f t="shared" si="3"/>
        <v>571979</v>
      </c>
      <c r="T85" s="45"/>
      <c r="U85" s="45">
        <v>18612874</v>
      </c>
      <c r="V85" s="44"/>
      <c r="W85" s="45">
        <f>17295+846697</f>
        <v>863992</v>
      </c>
    </row>
    <row r="86" spans="1:23" s="118" customFormat="1" ht="12.75" customHeight="1">
      <c r="A86" s="44" t="s">
        <v>109</v>
      </c>
      <c r="C86" s="44" t="s">
        <v>110</v>
      </c>
      <c r="D86" s="35"/>
      <c r="E86" s="45">
        <v>976682</v>
      </c>
      <c r="F86" s="45"/>
      <c r="G86" s="45">
        <v>5829973</v>
      </c>
      <c r="H86" s="45"/>
      <c r="I86" s="45">
        <v>0</v>
      </c>
      <c r="J86" s="45"/>
      <c r="K86" s="45">
        <v>658777</v>
      </c>
      <c r="L86" s="45"/>
      <c r="M86" s="45">
        <v>1988227</v>
      </c>
      <c r="N86" s="45"/>
      <c r="O86" s="45">
        <v>62475</v>
      </c>
      <c r="P86" s="45"/>
      <c r="Q86" s="45">
        <f>51953+42521</f>
        <v>94474</v>
      </c>
      <c r="R86" s="45"/>
      <c r="S86" s="44">
        <f t="shared" si="3"/>
        <v>714612</v>
      </c>
      <c r="T86" s="45"/>
      <c r="U86" s="45">
        <v>10325220</v>
      </c>
      <c r="V86" s="44"/>
      <c r="W86" s="45">
        <f>133848+15629+1085423+93308</f>
        <v>1328208</v>
      </c>
    </row>
    <row r="87" spans="1:23" s="116" customFormat="1" ht="12.75" customHeight="1">
      <c r="A87" s="44" t="s">
        <v>43</v>
      </c>
      <c r="B87" s="118"/>
      <c r="C87" s="44" t="s">
        <v>111</v>
      </c>
      <c r="D87" s="35"/>
      <c r="E87" s="45">
        <v>1146837</v>
      </c>
      <c r="F87" s="45"/>
      <c r="G87" s="45">
        <v>5513546</v>
      </c>
      <c r="H87" s="45"/>
      <c r="I87" s="45">
        <v>125956</v>
      </c>
      <c r="J87" s="45"/>
      <c r="K87" s="45">
        <v>285640</v>
      </c>
      <c r="L87" s="45"/>
      <c r="M87" s="45">
        <v>3539564</v>
      </c>
      <c r="N87" s="45"/>
      <c r="O87" s="45">
        <v>367129</v>
      </c>
      <c r="P87" s="45"/>
      <c r="Q87" s="45">
        <v>508971</v>
      </c>
      <c r="R87" s="45"/>
      <c r="S87" s="44">
        <f t="shared" si="3"/>
        <v>1958265</v>
      </c>
      <c r="T87" s="45"/>
      <c r="U87" s="45">
        <v>13445908</v>
      </c>
      <c r="V87" s="44"/>
      <c r="W87" s="45">
        <f>710000+2573987+18919</f>
        <v>3302906</v>
      </c>
    </row>
    <row r="88" spans="1:23" s="116" customFormat="1" ht="12.75" customHeight="1">
      <c r="A88" s="44" t="s">
        <v>112</v>
      </c>
      <c r="C88" s="44" t="s">
        <v>76</v>
      </c>
      <c r="D88" s="35"/>
      <c r="E88" s="45">
        <v>1147810</v>
      </c>
      <c r="F88" s="45"/>
      <c r="G88" s="45">
        <v>7322069</v>
      </c>
      <c r="H88" s="45"/>
      <c r="I88" s="45">
        <v>0</v>
      </c>
      <c r="J88" s="45"/>
      <c r="K88" s="45">
        <v>552026</v>
      </c>
      <c r="L88" s="45"/>
      <c r="M88" s="45">
        <v>2619676</v>
      </c>
      <c r="N88" s="45"/>
      <c r="O88" s="45">
        <v>91803</v>
      </c>
      <c r="P88" s="45"/>
      <c r="Q88" s="45">
        <f>9814+404560</f>
        <v>414374</v>
      </c>
      <c r="R88" s="45"/>
      <c r="S88" s="44">
        <f t="shared" si="3"/>
        <v>750897</v>
      </c>
      <c r="T88" s="45"/>
      <c r="U88" s="45">
        <v>12898655</v>
      </c>
      <c r="V88" s="44"/>
      <c r="W88" s="45">
        <f>7925000+18591</f>
        <v>7943591</v>
      </c>
    </row>
    <row r="89" spans="1:23" s="116" customFormat="1" ht="12.75" customHeight="1">
      <c r="A89" s="44" t="s">
        <v>113</v>
      </c>
      <c r="C89" s="44" t="s">
        <v>43</v>
      </c>
      <c r="D89" s="35"/>
      <c r="E89" s="45">
        <v>2096004</v>
      </c>
      <c r="F89" s="45"/>
      <c r="G89" s="45">
        <v>14131280</v>
      </c>
      <c r="H89" s="45"/>
      <c r="I89" s="45">
        <f>878774+1199396</f>
        <v>2078170</v>
      </c>
      <c r="J89" s="45"/>
      <c r="K89" s="45">
        <v>3101067</v>
      </c>
      <c r="L89" s="45"/>
      <c r="M89" s="45">
        <v>4712686</v>
      </c>
      <c r="N89" s="45"/>
      <c r="O89" s="45">
        <v>0</v>
      </c>
      <c r="P89" s="45"/>
      <c r="Q89" s="45">
        <f>459019+519527</f>
        <v>978546</v>
      </c>
      <c r="R89" s="45"/>
      <c r="S89" s="44">
        <f t="shared" si="3"/>
        <v>2217239</v>
      </c>
      <c r="T89" s="45"/>
      <c r="U89" s="45">
        <v>29314992</v>
      </c>
      <c r="V89" s="44"/>
      <c r="W89" s="45">
        <f>3352331+11055</f>
        <v>3363386</v>
      </c>
    </row>
    <row r="90" spans="1:23" s="116" customFormat="1" ht="12.75" customHeight="1">
      <c r="A90" s="44" t="s">
        <v>489</v>
      </c>
      <c r="C90" s="44" t="s">
        <v>57</v>
      </c>
      <c r="D90" s="35"/>
      <c r="E90" s="45">
        <v>464992</v>
      </c>
      <c r="F90" s="45"/>
      <c r="G90" s="45">
        <v>4287900</v>
      </c>
      <c r="H90" s="45"/>
      <c r="I90" s="45">
        <v>628432</v>
      </c>
      <c r="J90" s="45"/>
      <c r="K90" s="45">
        <v>1165155</v>
      </c>
      <c r="L90" s="45"/>
      <c r="M90" s="45">
        <v>2372652</v>
      </c>
      <c r="N90" s="45"/>
      <c r="O90" s="45">
        <v>0</v>
      </c>
      <c r="P90" s="45"/>
      <c r="Q90" s="45">
        <f>133325+49316</f>
        <v>182641</v>
      </c>
      <c r="R90" s="45"/>
      <c r="S90" s="44">
        <f>+U90-SUM(E90:Q90)</f>
        <v>672082</v>
      </c>
      <c r="T90" s="45"/>
      <c r="U90" s="45">
        <v>9773854</v>
      </c>
      <c r="V90" s="44"/>
      <c r="W90" s="45">
        <f>1200+52719+1076637</f>
        <v>1130556</v>
      </c>
    </row>
    <row r="91" spans="1:23" s="116" customFormat="1" ht="12.75" customHeight="1">
      <c r="A91" s="44" t="s">
        <v>114</v>
      </c>
      <c r="C91" s="44" t="s">
        <v>27</v>
      </c>
      <c r="D91" s="35"/>
      <c r="E91" s="45">
        <v>9794529</v>
      </c>
      <c r="F91" s="45"/>
      <c r="G91" s="45">
        <v>11170224</v>
      </c>
      <c r="H91" s="45"/>
      <c r="I91" s="45">
        <v>140285</v>
      </c>
      <c r="J91" s="45"/>
      <c r="K91" s="45">
        <v>2885055</v>
      </c>
      <c r="L91" s="45"/>
      <c r="M91" s="45">
        <v>5865318</v>
      </c>
      <c r="N91" s="45"/>
      <c r="O91" s="45">
        <v>218955</v>
      </c>
      <c r="P91" s="45"/>
      <c r="Q91" s="45">
        <f>550481+891286</f>
        <v>1441767</v>
      </c>
      <c r="R91" s="45"/>
      <c r="S91" s="44">
        <f>+U91-SUM(E91:Q91)</f>
        <v>841122</v>
      </c>
      <c r="T91" s="45"/>
      <c r="U91" s="45">
        <v>32357255</v>
      </c>
      <c r="V91" s="44"/>
      <c r="W91" s="45">
        <f>5508000+43625+2700590</f>
        <v>8252215</v>
      </c>
    </row>
    <row r="92" spans="1:23" s="116" customFormat="1" ht="12.75" customHeight="1">
      <c r="A92" s="44" t="s">
        <v>115</v>
      </c>
      <c r="C92" s="44" t="s">
        <v>19</v>
      </c>
      <c r="D92" s="35"/>
      <c r="E92" s="45">
        <v>535422</v>
      </c>
      <c r="F92" s="45"/>
      <c r="G92" s="45">
        <v>2562979</v>
      </c>
      <c r="H92" s="45"/>
      <c r="I92" s="45">
        <v>0</v>
      </c>
      <c r="J92" s="45"/>
      <c r="K92" s="45">
        <v>335289</v>
      </c>
      <c r="L92" s="45"/>
      <c r="M92" s="45">
        <v>1062490</v>
      </c>
      <c r="N92" s="45"/>
      <c r="O92" s="45">
        <v>196530</v>
      </c>
      <c r="P92" s="45"/>
      <c r="Q92" s="45">
        <v>274135</v>
      </c>
      <c r="R92" s="45"/>
      <c r="S92" s="44">
        <f t="shared" si="3"/>
        <v>117500</v>
      </c>
      <c r="T92" s="45"/>
      <c r="U92" s="45">
        <v>5084345</v>
      </c>
      <c r="V92" s="44"/>
      <c r="W92" s="45">
        <f>90650+8336+192440+1244290</f>
        <v>1535716</v>
      </c>
    </row>
    <row r="93" spans="1:23" s="116" customFormat="1" ht="12.75" customHeight="1">
      <c r="A93" s="44" t="s">
        <v>116</v>
      </c>
      <c r="C93" s="44" t="s">
        <v>80</v>
      </c>
      <c r="D93" s="35"/>
      <c r="E93" s="45">
        <v>1178849</v>
      </c>
      <c r="F93" s="45"/>
      <c r="G93" s="45">
        <v>3300950</v>
      </c>
      <c r="H93" s="45"/>
      <c r="I93" s="45">
        <v>0</v>
      </c>
      <c r="J93" s="45"/>
      <c r="K93" s="45">
        <v>56284</v>
      </c>
      <c r="L93" s="45"/>
      <c r="M93" s="45">
        <v>2701187</v>
      </c>
      <c r="N93" s="45"/>
      <c r="O93" s="45">
        <v>2509</v>
      </c>
      <c r="P93" s="45"/>
      <c r="Q93" s="45">
        <f>633329+769145</f>
        <v>1402474</v>
      </c>
      <c r="R93" s="45"/>
      <c r="S93" s="44">
        <f>+U93-SUM(E93:Q93)</f>
        <v>292225</v>
      </c>
      <c r="T93" s="45"/>
      <c r="U93" s="45">
        <v>8934478</v>
      </c>
      <c r="V93" s="44"/>
      <c r="W93" s="45">
        <v>250144</v>
      </c>
    </row>
    <row r="94" spans="1:23" s="116" customFormat="1" ht="12.75" customHeight="1">
      <c r="A94" s="44" t="s">
        <v>117</v>
      </c>
      <c r="C94" s="44" t="s">
        <v>43</v>
      </c>
      <c r="D94" s="35"/>
      <c r="E94" s="45">
        <v>1600458</v>
      </c>
      <c r="F94" s="45"/>
      <c r="G94" s="45">
        <v>6021389</v>
      </c>
      <c r="H94" s="45"/>
      <c r="I94" s="45">
        <v>0</v>
      </c>
      <c r="J94" s="45"/>
      <c r="K94" s="45">
        <v>1142485</v>
      </c>
      <c r="L94" s="45"/>
      <c r="M94" s="45">
        <v>1474911</v>
      </c>
      <c r="N94" s="45"/>
      <c r="O94" s="45">
        <v>0</v>
      </c>
      <c r="P94" s="45"/>
      <c r="Q94" s="45">
        <f>164299+95832</f>
        <v>260131</v>
      </c>
      <c r="R94" s="45"/>
      <c r="S94" s="44">
        <f>+U94-SUM(E94:Q94)</f>
        <v>371566</v>
      </c>
      <c r="T94" s="45"/>
      <c r="U94" s="45">
        <v>10870940</v>
      </c>
      <c r="V94" s="44"/>
      <c r="W94" s="45">
        <f>13733+556121+115505</f>
        <v>685359</v>
      </c>
    </row>
    <row r="95" spans="1:23" s="116" customFormat="1" ht="12.75" customHeight="1">
      <c r="A95" s="46" t="s">
        <v>118</v>
      </c>
      <c r="B95" s="117"/>
      <c r="C95" s="46" t="s">
        <v>13</v>
      </c>
      <c r="D95" s="35"/>
      <c r="E95" s="45">
        <v>1910344</v>
      </c>
      <c r="F95" s="45"/>
      <c r="G95" s="45">
        <v>17468780</v>
      </c>
      <c r="H95" s="45"/>
      <c r="I95" s="45">
        <v>315676</v>
      </c>
      <c r="J95" s="45"/>
      <c r="K95" s="45">
        <v>840849</v>
      </c>
      <c r="L95" s="45"/>
      <c r="M95" s="45">
        <v>4927270</v>
      </c>
      <c r="N95" s="45"/>
      <c r="O95" s="45">
        <v>26623</v>
      </c>
      <c r="P95" s="45"/>
      <c r="Q95" s="45">
        <f>425687+40870</f>
        <v>466557</v>
      </c>
      <c r="R95" s="45"/>
      <c r="S95" s="44">
        <f t="shared" si="3"/>
        <v>1385381</v>
      </c>
      <c r="T95" s="45"/>
      <c r="U95" s="45">
        <v>27341480</v>
      </c>
      <c r="V95" s="44"/>
      <c r="W95" s="45">
        <f>105278+6070000+83078+8396500</f>
        <v>14654856</v>
      </c>
    </row>
    <row r="96" spans="1:23" s="116" customFormat="1" ht="12.75" customHeight="1">
      <c r="A96" s="44" t="s">
        <v>120</v>
      </c>
      <c r="C96" s="44" t="s">
        <v>121</v>
      </c>
      <c r="D96" s="35"/>
      <c r="E96" s="45">
        <v>1510128</v>
      </c>
      <c r="F96" s="45"/>
      <c r="G96" s="45">
        <v>5817245</v>
      </c>
      <c r="H96" s="45"/>
      <c r="I96" s="45">
        <v>12942</v>
      </c>
      <c r="J96" s="45"/>
      <c r="K96" s="45">
        <v>208762</v>
      </c>
      <c r="L96" s="45"/>
      <c r="M96" s="45">
        <v>3169614</v>
      </c>
      <c r="N96" s="45"/>
      <c r="O96" s="45">
        <v>38865</v>
      </c>
      <c r="P96" s="45"/>
      <c r="Q96" s="45">
        <f>142747+116210</f>
        <v>258957</v>
      </c>
      <c r="R96" s="45"/>
      <c r="S96" s="44">
        <f t="shared" si="3"/>
        <v>626161</v>
      </c>
      <c r="T96" s="45"/>
      <c r="U96" s="45">
        <v>11642674</v>
      </c>
      <c r="V96" s="44"/>
      <c r="W96" s="45">
        <v>1882962</v>
      </c>
    </row>
    <row r="97" spans="1:23" s="116" customFormat="1" ht="12.75" customHeight="1">
      <c r="A97" s="44" t="s">
        <v>122</v>
      </c>
      <c r="C97" s="44" t="s">
        <v>43</v>
      </c>
      <c r="D97" s="35"/>
      <c r="E97" s="45">
        <v>2608543</v>
      </c>
      <c r="F97" s="45"/>
      <c r="G97" s="45">
        <v>16827527</v>
      </c>
      <c r="H97" s="45"/>
      <c r="I97" s="45">
        <f>456040+702619</f>
        <v>1158659</v>
      </c>
      <c r="J97" s="45"/>
      <c r="K97" s="45">
        <v>1429612</v>
      </c>
      <c r="L97" s="45"/>
      <c r="M97" s="45">
        <v>5024057</v>
      </c>
      <c r="N97" s="45"/>
      <c r="O97" s="45">
        <v>51384</v>
      </c>
      <c r="P97" s="45"/>
      <c r="Q97" s="45">
        <f>259617+1007622</f>
        <v>1267239</v>
      </c>
      <c r="R97" s="45"/>
      <c r="S97" s="44">
        <f t="shared" si="3"/>
        <v>7613611</v>
      </c>
      <c r="T97" s="45"/>
      <c r="U97" s="45">
        <v>35980632</v>
      </c>
      <c r="V97" s="44"/>
      <c r="W97" s="45">
        <f>7585000+22519+265888+6075666</f>
        <v>13949073</v>
      </c>
    </row>
    <row r="98" spans="1:23" s="116" customFormat="1" ht="12.75" customHeight="1">
      <c r="A98" s="44" t="s">
        <v>45</v>
      </c>
      <c r="C98" s="44" t="s">
        <v>103</v>
      </c>
      <c r="D98" s="35"/>
      <c r="E98" s="45">
        <v>9534154</v>
      </c>
      <c r="F98" s="45"/>
      <c r="G98" s="45">
        <v>24191917</v>
      </c>
      <c r="H98" s="45"/>
      <c r="I98" s="45">
        <v>0</v>
      </c>
      <c r="J98" s="45"/>
      <c r="K98" s="45">
        <v>12113048</v>
      </c>
      <c r="L98" s="45"/>
      <c r="M98" s="45">
        <v>13577781</v>
      </c>
      <c r="N98" s="45"/>
      <c r="O98" s="45">
        <v>646254</v>
      </c>
      <c r="P98" s="45"/>
      <c r="Q98" s="45">
        <f>1101672+928440</f>
        <v>2030112</v>
      </c>
      <c r="R98" s="45"/>
      <c r="S98" s="44">
        <f t="shared" si="3"/>
        <v>2014823</v>
      </c>
      <c r="T98" s="45"/>
      <c r="U98" s="45">
        <v>64108089</v>
      </c>
      <c r="V98" s="44"/>
      <c r="W98" s="45">
        <f>86580+7003332</f>
        <v>7089912</v>
      </c>
    </row>
    <row r="99" spans="1:23" s="116" customFormat="1" ht="12.75" customHeight="1">
      <c r="A99" s="44" t="s">
        <v>123</v>
      </c>
      <c r="C99" s="44" t="s">
        <v>45</v>
      </c>
      <c r="D99" s="35"/>
      <c r="E99" s="45">
        <v>2349782</v>
      </c>
      <c r="F99" s="45"/>
      <c r="G99" s="45">
        <v>3025651</v>
      </c>
      <c r="H99" s="45"/>
      <c r="I99" s="45">
        <v>0</v>
      </c>
      <c r="J99" s="45"/>
      <c r="K99" s="45">
        <v>697907</v>
      </c>
      <c r="L99" s="45"/>
      <c r="M99" s="45">
        <v>1766443</v>
      </c>
      <c r="N99" s="45"/>
      <c r="O99" s="45">
        <v>0</v>
      </c>
      <c r="P99" s="45"/>
      <c r="Q99" s="45">
        <f>126519+172878</f>
        <v>299397</v>
      </c>
      <c r="R99" s="45"/>
      <c r="S99" s="44">
        <f t="shared" si="3"/>
        <v>306673</v>
      </c>
      <c r="T99" s="45"/>
      <c r="U99" s="45">
        <v>8445853</v>
      </c>
      <c r="V99" s="44"/>
      <c r="W99" s="45">
        <f>3281+1754524+47013</f>
        <v>1804818</v>
      </c>
    </row>
    <row r="100" spans="1:23" s="116" customFormat="1" ht="12.75" customHeight="1">
      <c r="A100" s="44" t="s">
        <v>124</v>
      </c>
      <c r="C100" s="44" t="s">
        <v>125</v>
      </c>
      <c r="D100" s="35"/>
      <c r="E100" s="45">
        <v>6372485</v>
      </c>
      <c r="F100" s="45"/>
      <c r="G100" s="45">
        <v>0</v>
      </c>
      <c r="H100" s="45"/>
      <c r="I100" s="45">
        <v>0</v>
      </c>
      <c r="J100" s="45"/>
      <c r="K100" s="45">
        <v>985547</v>
      </c>
      <c r="L100" s="45"/>
      <c r="M100" s="45">
        <v>1690485</v>
      </c>
      <c r="N100" s="45"/>
      <c r="O100" s="45">
        <v>0</v>
      </c>
      <c r="P100" s="45"/>
      <c r="Q100" s="45">
        <f>29849+51154</f>
        <v>81003</v>
      </c>
      <c r="R100" s="45"/>
      <c r="S100" s="44">
        <f t="shared" si="3"/>
        <v>443803</v>
      </c>
      <c r="T100" s="45"/>
      <c r="U100" s="45">
        <v>9573323</v>
      </c>
      <c r="V100" s="44"/>
      <c r="W100" s="45">
        <v>1321249</v>
      </c>
    </row>
    <row r="101" spans="1:23" s="116" customFormat="1" ht="12.75" customHeight="1">
      <c r="A101" s="44" t="s">
        <v>126</v>
      </c>
      <c r="C101" s="44" t="s">
        <v>27</v>
      </c>
      <c r="D101" s="35"/>
      <c r="E101" s="45">
        <v>1538464</v>
      </c>
      <c r="F101" s="45"/>
      <c r="G101" s="45">
        <v>10022607</v>
      </c>
      <c r="H101" s="45"/>
      <c r="I101" s="45">
        <v>85140</v>
      </c>
      <c r="J101" s="45"/>
      <c r="K101" s="45">
        <v>535924</v>
      </c>
      <c r="L101" s="45"/>
      <c r="M101" s="45">
        <v>2808624</v>
      </c>
      <c r="N101" s="45"/>
      <c r="O101" s="45">
        <v>1184425</v>
      </c>
      <c r="P101" s="45"/>
      <c r="Q101" s="45">
        <v>365742</v>
      </c>
      <c r="R101" s="45"/>
      <c r="S101" s="44">
        <f t="shared" si="3"/>
        <v>339077</v>
      </c>
      <c r="T101" s="45"/>
      <c r="U101" s="45">
        <v>16880003</v>
      </c>
      <c r="V101" s="44"/>
      <c r="W101" s="45">
        <f>1750+1195545</f>
        <v>1197295</v>
      </c>
    </row>
    <row r="102" spans="1:23" s="116" customFormat="1" ht="12.75" customHeight="1">
      <c r="A102" s="44" t="s">
        <v>127</v>
      </c>
      <c r="C102" s="44" t="s">
        <v>43</v>
      </c>
      <c r="D102" s="35"/>
      <c r="E102" s="45">
        <v>1938359</v>
      </c>
      <c r="F102" s="45"/>
      <c r="G102" s="45">
        <v>16639707</v>
      </c>
      <c r="H102" s="45"/>
      <c r="I102" s="45">
        <v>599118</v>
      </c>
      <c r="J102" s="45"/>
      <c r="K102" s="45">
        <v>4387135</v>
      </c>
      <c r="L102" s="45"/>
      <c r="M102" s="45">
        <v>6242515</v>
      </c>
      <c r="N102" s="45"/>
      <c r="O102" s="45">
        <v>98734</v>
      </c>
      <c r="P102" s="45"/>
      <c r="Q102" s="45">
        <f>871346+367636</f>
        <v>1238982</v>
      </c>
      <c r="R102" s="45"/>
      <c r="S102" s="44">
        <f t="shared" si="3"/>
        <v>506116</v>
      </c>
      <c r="T102" s="45"/>
      <c r="U102" s="45">
        <v>31650666</v>
      </c>
      <c r="V102" s="44"/>
      <c r="W102" s="45">
        <v>0</v>
      </c>
    </row>
    <row r="103" spans="1:23" s="116" customFormat="1" ht="12.75" customHeight="1">
      <c r="A103" s="44" t="s">
        <v>128</v>
      </c>
      <c r="C103" s="44" t="s">
        <v>119</v>
      </c>
      <c r="D103" s="35"/>
      <c r="E103" s="45">
        <v>4045242</v>
      </c>
      <c r="F103" s="45"/>
      <c r="G103" s="45">
        <v>0</v>
      </c>
      <c r="H103" s="45"/>
      <c r="I103" s="45">
        <v>0</v>
      </c>
      <c r="J103" s="45"/>
      <c r="K103" s="45">
        <v>478319</v>
      </c>
      <c r="L103" s="45"/>
      <c r="M103" s="45">
        <v>616541</v>
      </c>
      <c r="N103" s="45"/>
      <c r="O103" s="45">
        <v>0</v>
      </c>
      <c r="P103" s="45"/>
      <c r="Q103" s="45">
        <f>404320+28008</f>
        <v>432328</v>
      </c>
      <c r="R103" s="45"/>
      <c r="S103" s="44">
        <f t="shared" si="3"/>
        <v>1053635</v>
      </c>
      <c r="T103" s="45"/>
      <c r="U103" s="45">
        <v>6626065</v>
      </c>
      <c r="V103" s="44"/>
      <c r="W103" s="45">
        <v>987736</v>
      </c>
    </row>
    <row r="104" spans="1:23" s="116" customFormat="1" ht="12.75" customHeight="1">
      <c r="A104" s="44" t="s">
        <v>129</v>
      </c>
      <c r="C104" s="44" t="s">
        <v>80</v>
      </c>
      <c r="D104" s="35"/>
      <c r="E104" s="45">
        <v>359375</v>
      </c>
      <c r="F104" s="45"/>
      <c r="G104" s="45">
        <v>1903813</v>
      </c>
      <c r="H104" s="45"/>
      <c r="I104" s="45">
        <v>0</v>
      </c>
      <c r="J104" s="45"/>
      <c r="K104" s="45">
        <v>6838</v>
      </c>
      <c r="L104" s="45"/>
      <c r="M104" s="45">
        <v>902129</v>
      </c>
      <c r="N104" s="45"/>
      <c r="O104" s="45">
        <v>0</v>
      </c>
      <c r="P104" s="45"/>
      <c r="Q104" s="45">
        <f>61469+45966</f>
        <v>107435</v>
      </c>
      <c r="R104" s="45"/>
      <c r="S104" s="44">
        <f t="shared" si="3"/>
        <v>402903</v>
      </c>
      <c r="T104" s="45"/>
      <c r="U104" s="45">
        <v>3682493</v>
      </c>
      <c r="V104" s="44"/>
      <c r="W104" s="45">
        <f>876330+120186</f>
        <v>996516</v>
      </c>
    </row>
    <row r="105" spans="1:23" s="116" customFormat="1" ht="12.75" customHeight="1">
      <c r="A105" s="44" t="s">
        <v>130</v>
      </c>
      <c r="B105" s="118"/>
      <c r="C105" s="44" t="s">
        <v>66</v>
      </c>
      <c r="D105" s="35"/>
      <c r="E105" s="45">
        <v>4098225</v>
      </c>
      <c r="F105" s="45"/>
      <c r="G105" s="45">
        <v>14608888</v>
      </c>
      <c r="H105" s="45"/>
      <c r="I105" s="45">
        <v>665747</v>
      </c>
      <c r="J105" s="45"/>
      <c r="K105" s="45">
        <v>1240683</v>
      </c>
      <c r="L105" s="45"/>
      <c r="M105" s="45">
        <v>4545771</v>
      </c>
      <c r="N105" s="45"/>
      <c r="O105" s="45">
        <v>742708</v>
      </c>
      <c r="P105" s="45"/>
      <c r="Q105" s="45">
        <v>153161</v>
      </c>
      <c r="R105" s="45"/>
      <c r="S105" s="44">
        <f t="shared" si="3"/>
        <v>1701663</v>
      </c>
      <c r="T105" s="45"/>
      <c r="U105" s="45">
        <v>27756846</v>
      </c>
      <c r="V105" s="44"/>
      <c r="W105" s="45">
        <f>504000+2105000+8940000+109250+2744940+11654469</f>
        <v>26057659</v>
      </c>
    </row>
    <row r="106" spans="1:23" s="116" customFormat="1" ht="12.75" customHeight="1">
      <c r="A106" s="44" t="s">
        <v>131</v>
      </c>
      <c r="C106" s="44" t="s">
        <v>13</v>
      </c>
      <c r="D106" s="35"/>
      <c r="E106" s="45">
        <v>4924247</v>
      </c>
      <c r="F106" s="45"/>
      <c r="G106" s="45">
        <v>18575501</v>
      </c>
      <c r="H106" s="45"/>
      <c r="I106" s="45">
        <v>0</v>
      </c>
      <c r="J106" s="45"/>
      <c r="K106" s="45">
        <v>1250838</v>
      </c>
      <c r="L106" s="45"/>
      <c r="M106" s="45">
        <v>5455107</v>
      </c>
      <c r="N106" s="45"/>
      <c r="O106" s="45">
        <v>0</v>
      </c>
      <c r="P106" s="45"/>
      <c r="Q106" s="45">
        <v>73313</v>
      </c>
      <c r="R106" s="45"/>
      <c r="S106" s="44">
        <f t="shared" si="3"/>
        <v>2514811</v>
      </c>
      <c r="T106" s="45"/>
      <c r="U106" s="45">
        <v>32793817</v>
      </c>
      <c r="V106" s="44"/>
      <c r="W106" s="45">
        <f>199060+6905234+13790000+1151529</f>
        <v>22045823</v>
      </c>
    </row>
    <row r="107" spans="1:23" s="116" customFormat="1" ht="12.75" customHeight="1">
      <c r="A107" s="44" t="s">
        <v>38</v>
      </c>
      <c r="C107" s="44" t="s">
        <v>132</v>
      </c>
      <c r="D107" s="35"/>
      <c r="E107" s="45">
        <v>865835</v>
      </c>
      <c r="F107" s="45"/>
      <c r="G107" s="45">
        <v>2188505</v>
      </c>
      <c r="H107" s="45"/>
      <c r="I107" s="45">
        <v>0</v>
      </c>
      <c r="J107" s="45"/>
      <c r="K107" s="45">
        <v>1728779</v>
      </c>
      <c r="L107" s="45"/>
      <c r="M107" s="45">
        <v>1412319</v>
      </c>
      <c r="N107" s="45"/>
      <c r="O107" s="45">
        <v>310691</v>
      </c>
      <c r="P107" s="45"/>
      <c r="Q107" s="45">
        <f>392227+71452</f>
        <v>463679</v>
      </c>
      <c r="R107" s="45"/>
      <c r="S107" s="44">
        <f t="shared" si="3"/>
        <v>464387</v>
      </c>
      <c r="T107" s="45"/>
      <c r="U107" s="45">
        <v>7434195</v>
      </c>
      <c r="V107" s="44"/>
      <c r="W107" s="45">
        <v>1371289</v>
      </c>
    </row>
    <row r="108" spans="1:23" s="116" customFormat="1" ht="12.75" customHeight="1">
      <c r="A108" s="44" t="s">
        <v>133</v>
      </c>
      <c r="C108" s="44" t="s">
        <v>27</v>
      </c>
      <c r="D108" s="35"/>
      <c r="E108" s="45">
        <v>1257216</v>
      </c>
      <c r="F108" s="45"/>
      <c r="G108" s="45">
        <v>23220039</v>
      </c>
      <c r="H108" s="45"/>
      <c r="I108" s="45">
        <f>1150342+18027</f>
        <v>1168369</v>
      </c>
      <c r="J108" s="45"/>
      <c r="K108" s="45">
        <v>83205</v>
      </c>
      <c r="L108" s="45"/>
      <c r="M108" s="45">
        <v>1628911</v>
      </c>
      <c r="N108" s="45"/>
      <c r="O108" s="45">
        <v>54539</v>
      </c>
      <c r="P108" s="45"/>
      <c r="Q108" s="45">
        <f>378855+691127</f>
        <v>1069982</v>
      </c>
      <c r="R108" s="45"/>
      <c r="S108" s="44">
        <f t="shared" si="3"/>
        <v>2393998</v>
      </c>
      <c r="T108" s="45"/>
      <c r="U108" s="45">
        <v>30876259</v>
      </c>
      <c r="V108" s="44"/>
      <c r="W108" s="45">
        <f>3936+7100000+7669000</f>
        <v>14772936</v>
      </c>
    </row>
    <row r="109" spans="1:23" s="116" customFormat="1" ht="12.75" customHeight="1">
      <c r="A109" s="44" t="s">
        <v>482</v>
      </c>
      <c r="C109" s="44" t="s">
        <v>45</v>
      </c>
      <c r="D109" s="35"/>
      <c r="E109" s="45">
        <v>818054</v>
      </c>
      <c r="F109" s="45"/>
      <c r="G109" s="45">
        <v>8009229</v>
      </c>
      <c r="H109" s="45"/>
      <c r="I109" s="45">
        <v>0</v>
      </c>
      <c r="J109" s="45"/>
      <c r="K109" s="45">
        <v>388622</v>
      </c>
      <c r="L109" s="45"/>
      <c r="M109" s="45">
        <v>3086409</v>
      </c>
      <c r="N109" s="45"/>
      <c r="O109" s="45">
        <v>0</v>
      </c>
      <c r="P109" s="45"/>
      <c r="Q109" s="45">
        <f>200+41031</f>
        <v>41231</v>
      </c>
      <c r="R109" s="45"/>
      <c r="S109" s="44">
        <f t="shared" si="3"/>
        <v>1276</v>
      </c>
      <c r="T109" s="45"/>
      <c r="U109" s="45">
        <v>12344821</v>
      </c>
      <c r="V109" s="44"/>
      <c r="W109" s="45">
        <v>8795220</v>
      </c>
    </row>
    <row r="110" spans="1:23" s="116" customFormat="1" ht="12.75" customHeight="1">
      <c r="A110" s="44" t="s">
        <v>136</v>
      </c>
      <c r="C110" s="44" t="s">
        <v>136</v>
      </c>
      <c r="D110" s="35"/>
      <c r="E110" s="45">
        <v>705997</v>
      </c>
      <c r="F110" s="45"/>
      <c r="G110" s="45">
        <v>0</v>
      </c>
      <c r="H110" s="45"/>
      <c r="I110" s="45">
        <v>817876</v>
      </c>
      <c r="J110" s="45"/>
      <c r="K110" s="45">
        <v>286884</v>
      </c>
      <c r="L110" s="45"/>
      <c r="M110" s="45">
        <v>1231957</v>
      </c>
      <c r="N110" s="45"/>
      <c r="O110" s="45">
        <v>0</v>
      </c>
      <c r="P110" s="45"/>
      <c r="Q110" s="45">
        <f>74181+84821</f>
        <v>159002</v>
      </c>
      <c r="R110" s="45"/>
      <c r="S110" s="44">
        <f t="shared" si="3"/>
        <v>877250</v>
      </c>
      <c r="T110" s="45"/>
      <c r="U110" s="45">
        <v>4078966</v>
      </c>
      <c r="V110" s="44"/>
      <c r="W110" s="45">
        <f>25810+113726</f>
        <v>139536</v>
      </c>
    </row>
    <row r="111" spans="1:23" s="116" customFormat="1" ht="12.75" customHeight="1">
      <c r="A111" s="44" t="s">
        <v>137</v>
      </c>
      <c r="C111" s="44" t="s">
        <v>22</v>
      </c>
      <c r="D111" s="35"/>
      <c r="E111" s="45">
        <v>3181717</v>
      </c>
      <c r="F111" s="45"/>
      <c r="G111" s="45">
        <v>10590922</v>
      </c>
      <c r="H111" s="45"/>
      <c r="I111" s="45">
        <v>0</v>
      </c>
      <c r="J111" s="45"/>
      <c r="K111" s="45">
        <v>1782566</v>
      </c>
      <c r="L111" s="45"/>
      <c r="M111" s="45">
        <v>6794713</v>
      </c>
      <c r="N111" s="45"/>
      <c r="O111" s="45">
        <v>188193</v>
      </c>
      <c r="P111" s="45"/>
      <c r="Q111" s="45">
        <f>233749+273217</f>
        <v>506966</v>
      </c>
      <c r="R111" s="45"/>
      <c r="S111" s="44">
        <f t="shared" si="3"/>
        <v>830379</v>
      </c>
      <c r="T111" s="45"/>
      <c r="U111" s="45">
        <v>23875456</v>
      </c>
      <c r="V111" s="44"/>
      <c r="W111" s="45">
        <v>10643237</v>
      </c>
    </row>
    <row r="112" spans="1:23" s="136" customFormat="1" ht="12.75" hidden="1" customHeight="1">
      <c r="A112" s="121" t="s">
        <v>138</v>
      </c>
      <c r="C112" s="121" t="s">
        <v>139</v>
      </c>
      <c r="D112" s="126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1">
        <f t="shared" si="3"/>
        <v>0</v>
      </c>
      <c r="T112" s="127"/>
      <c r="U112" s="127"/>
      <c r="V112" s="121"/>
      <c r="W112" s="127"/>
    </row>
    <row r="113" spans="1:23" s="116" customFormat="1" ht="12.75" customHeight="1">
      <c r="A113" s="44" t="s">
        <v>140</v>
      </c>
      <c r="C113" s="44" t="s">
        <v>66</v>
      </c>
      <c r="D113" s="35"/>
      <c r="E113" s="45">
        <v>9399507</v>
      </c>
      <c r="F113" s="45"/>
      <c r="G113" s="45">
        <v>38244422</v>
      </c>
      <c r="H113" s="45"/>
      <c r="I113" s="45">
        <v>0</v>
      </c>
      <c r="J113" s="45"/>
      <c r="K113" s="45">
        <v>8152788</v>
      </c>
      <c r="L113" s="45"/>
      <c r="M113" s="45">
        <v>10158897</v>
      </c>
      <c r="N113" s="45"/>
      <c r="O113" s="45">
        <v>1024719</v>
      </c>
      <c r="P113" s="45"/>
      <c r="Q113" s="45">
        <f>626290+1867005</f>
        <v>2493295</v>
      </c>
      <c r="R113" s="45"/>
      <c r="S113" s="44">
        <f t="shared" si="3"/>
        <v>5544684</v>
      </c>
      <c r="T113" s="45"/>
      <c r="U113" s="45">
        <v>75018312</v>
      </c>
      <c r="V113" s="44"/>
      <c r="W113" s="45">
        <f>9835396+56640</f>
        <v>9892036</v>
      </c>
    </row>
    <row r="114" spans="1:23" s="116" customFormat="1" ht="12.75" customHeight="1">
      <c r="A114" s="44" t="s">
        <v>479</v>
      </c>
      <c r="C114" s="44" t="s">
        <v>92</v>
      </c>
      <c r="D114" s="35"/>
      <c r="E114" s="45">
        <v>1429688</v>
      </c>
      <c r="F114" s="45"/>
      <c r="G114" s="45">
        <v>3058415</v>
      </c>
      <c r="H114" s="45"/>
      <c r="I114" s="45">
        <v>0</v>
      </c>
      <c r="J114" s="45"/>
      <c r="K114" s="45">
        <v>278881</v>
      </c>
      <c r="L114" s="45"/>
      <c r="M114" s="45">
        <v>1693660</v>
      </c>
      <c r="N114" s="45"/>
      <c r="O114" s="45">
        <v>0</v>
      </c>
      <c r="P114" s="45"/>
      <c r="Q114" s="45">
        <f>15132+24322</f>
        <v>39454</v>
      </c>
      <c r="R114" s="45"/>
      <c r="S114" s="44">
        <f t="shared" si="3"/>
        <v>245808</v>
      </c>
      <c r="T114" s="45"/>
      <c r="U114" s="45">
        <v>6745906</v>
      </c>
      <c r="V114" s="44"/>
      <c r="W114" s="45">
        <v>555039</v>
      </c>
    </row>
    <row r="115" spans="1:23" s="116" customFormat="1" ht="12.75" customHeight="1">
      <c r="A115" s="44" t="s">
        <v>141</v>
      </c>
      <c r="C115" s="44" t="s">
        <v>27</v>
      </c>
      <c r="D115" s="35"/>
      <c r="E115" s="45">
        <v>13257834</v>
      </c>
      <c r="F115" s="45"/>
      <c r="G115" s="45">
        <v>18480218</v>
      </c>
      <c r="H115" s="45"/>
      <c r="I115" s="45">
        <v>340341</v>
      </c>
      <c r="J115" s="45"/>
      <c r="K115" s="45">
        <v>3033174</v>
      </c>
      <c r="L115" s="45"/>
      <c r="M115" s="45">
        <v>11824139</v>
      </c>
      <c r="N115" s="45"/>
      <c r="O115" s="45">
        <v>240001</v>
      </c>
      <c r="P115" s="45"/>
      <c r="Q115" s="45">
        <f>1710782+1971510</f>
        <v>3682292</v>
      </c>
      <c r="R115" s="45"/>
      <c r="S115" s="44">
        <f t="shared" si="3"/>
        <v>1350990</v>
      </c>
      <c r="T115" s="45"/>
      <c r="U115" s="45">
        <v>52208989</v>
      </c>
      <c r="V115" s="44"/>
      <c r="W115" s="45">
        <f>7771000+4110632+3077261</f>
        <v>14958893</v>
      </c>
    </row>
    <row r="116" spans="1:23" s="116" customFormat="1" ht="12.75" customHeight="1">
      <c r="A116" s="44" t="s">
        <v>142</v>
      </c>
      <c r="C116" s="44" t="s">
        <v>102</v>
      </c>
      <c r="D116" s="35"/>
      <c r="E116" s="45">
        <v>19650167</v>
      </c>
      <c r="F116" s="45"/>
      <c r="G116" s="45">
        <v>0</v>
      </c>
      <c r="H116" s="45"/>
      <c r="I116" s="45">
        <v>0</v>
      </c>
      <c r="J116" s="45"/>
      <c r="K116" s="45">
        <v>4345079</v>
      </c>
      <c r="L116" s="45"/>
      <c r="M116" s="45">
        <v>8188157</v>
      </c>
      <c r="N116" s="45"/>
      <c r="O116" s="45">
        <v>137351</v>
      </c>
      <c r="P116" s="45"/>
      <c r="Q116" s="45">
        <f>24362+1633932</f>
        <v>1658294</v>
      </c>
      <c r="R116" s="45"/>
      <c r="S116" s="44">
        <f>+U116-SUM(E116:Q116)</f>
        <v>1577668</v>
      </c>
      <c r="T116" s="45"/>
      <c r="U116" s="45">
        <v>35556716</v>
      </c>
      <c r="V116" s="44"/>
      <c r="W116" s="45">
        <f>760000+1762994+126409</f>
        <v>2649403</v>
      </c>
    </row>
    <row r="117" spans="1:23" s="116" customFormat="1" ht="12.75" customHeight="1">
      <c r="A117" s="44" t="s">
        <v>143</v>
      </c>
      <c r="C117" s="44" t="s">
        <v>111</v>
      </c>
      <c r="D117" s="35"/>
      <c r="E117" s="45">
        <v>3758401</v>
      </c>
      <c r="F117" s="45"/>
      <c r="G117" s="45">
        <v>5719316</v>
      </c>
      <c r="H117" s="45"/>
      <c r="I117" s="45">
        <f>1466536+1269275</f>
        <v>2735811</v>
      </c>
      <c r="J117" s="45"/>
      <c r="K117" s="45">
        <v>2122822</v>
      </c>
      <c r="L117" s="45"/>
      <c r="M117" s="45">
        <v>2897793</v>
      </c>
      <c r="N117" s="45"/>
      <c r="O117" s="45">
        <v>94678</v>
      </c>
      <c r="P117" s="45"/>
      <c r="Q117" s="45">
        <v>969440</v>
      </c>
      <c r="R117" s="45"/>
      <c r="S117" s="44">
        <f t="shared" si="3"/>
        <v>929010</v>
      </c>
      <c r="T117" s="45"/>
      <c r="U117" s="45">
        <v>19227271</v>
      </c>
      <c r="V117" s="44"/>
      <c r="W117" s="45">
        <f>39550+1575558+60361+92821+3750000</f>
        <v>5518290</v>
      </c>
    </row>
    <row r="118" spans="1:23" s="116" customFormat="1" ht="12.75" customHeight="1">
      <c r="A118" s="44" t="s">
        <v>144</v>
      </c>
      <c r="C118" s="44" t="s">
        <v>88</v>
      </c>
      <c r="D118" s="35"/>
      <c r="E118" s="45">
        <v>1380229</v>
      </c>
      <c r="F118" s="45"/>
      <c r="G118" s="45">
        <v>15598533</v>
      </c>
      <c r="H118" s="45"/>
      <c r="I118" s="45">
        <v>133697</v>
      </c>
      <c r="J118" s="45"/>
      <c r="K118" s="45">
        <v>5291142</v>
      </c>
      <c r="L118" s="45"/>
      <c r="M118" s="45">
        <v>11366030</v>
      </c>
      <c r="N118" s="45"/>
      <c r="O118" s="45">
        <v>100861</v>
      </c>
      <c r="P118" s="45"/>
      <c r="Q118" s="45">
        <f>782025+1443884</f>
        <v>2225909</v>
      </c>
      <c r="R118" s="45"/>
      <c r="S118" s="44">
        <f t="shared" si="3"/>
        <v>1548045</v>
      </c>
      <c r="T118" s="45"/>
      <c r="U118" s="45">
        <v>37644446</v>
      </c>
      <c r="V118" s="44"/>
      <c r="W118" s="45">
        <f>627+710000+7278+570489</f>
        <v>1288394</v>
      </c>
    </row>
    <row r="119" spans="1:23" s="116" customFormat="1" ht="12.75" customHeight="1">
      <c r="A119" s="44" t="s">
        <v>36</v>
      </c>
      <c r="C119" s="44" t="s">
        <v>145</v>
      </c>
      <c r="D119" s="35"/>
      <c r="E119" s="45">
        <v>464770</v>
      </c>
      <c r="F119" s="45"/>
      <c r="G119" s="45">
        <v>2235378</v>
      </c>
      <c r="H119" s="45"/>
      <c r="I119" s="45">
        <v>0</v>
      </c>
      <c r="J119" s="45"/>
      <c r="K119" s="45">
        <v>255368</v>
      </c>
      <c r="L119" s="45"/>
      <c r="M119" s="45">
        <v>1277071</v>
      </c>
      <c r="N119" s="45"/>
      <c r="O119" s="45">
        <v>0</v>
      </c>
      <c r="P119" s="45"/>
      <c r="Q119" s="45">
        <v>63326</v>
      </c>
      <c r="R119" s="45"/>
      <c r="S119" s="44">
        <f t="shared" si="3"/>
        <v>135445</v>
      </c>
      <c r="T119" s="45"/>
      <c r="U119" s="45">
        <v>4431358</v>
      </c>
      <c r="V119" s="44"/>
      <c r="W119" s="45">
        <f>98839+133000</f>
        <v>231839</v>
      </c>
    </row>
    <row r="120" spans="1:23" s="116" customFormat="1" ht="12.75" customHeight="1">
      <c r="A120" s="44" t="s">
        <v>146</v>
      </c>
      <c r="C120" s="44" t="s">
        <v>147</v>
      </c>
      <c r="D120" s="35"/>
      <c r="E120" s="45">
        <v>4417884</v>
      </c>
      <c r="F120" s="45"/>
      <c r="G120" s="45">
        <v>0</v>
      </c>
      <c r="H120" s="45"/>
      <c r="I120" s="45">
        <v>0</v>
      </c>
      <c r="J120" s="45"/>
      <c r="K120" s="45">
        <v>108829</v>
      </c>
      <c r="L120" s="45"/>
      <c r="M120" s="45">
        <v>1476874</v>
      </c>
      <c r="N120" s="45"/>
      <c r="O120" s="45">
        <v>216855</v>
      </c>
      <c r="P120" s="45"/>
      <c r="Q120" s="45">
        <v>140922</v>
      </c>
      <c r="R120" s="45"/>
      <c r="S120" s="44">
        <f t="shared" si="3"/>
        <v>216375</v>
      </c>
      <c r="T120" s="45"/>
      <c r="U120" s="45">
        <v>6577739</v>
      </c>
      <c r="V120" s="44"/>
      <c r="W120" s="45">
        <f>534661+17485</f>
        <v>552146</v>
      </c>
    </row>
    <row r="121" spans="1:23" s="116" customFormat="1" ht="12.75" customHeight="1">
      <c r="A121" s="44" t="s">
        <v>17</v>
      </c>
      <c r="C121" s="44" t="s">
        <v>17</v>
      </c>
      <c r="D121" s="35"/>
      <c r="E121" s="45">
        <v>5433510</v>
      </c>
      <c r="F121" s="45"/>
      <c r="G121" s="45">
        <v>18493233</v>
      </c>
      <c r="H121" s="45"/>
      <c r="I121" s="45">
        <v>0</v>
      </c>
      <c r="J121" s="45"/>
      <c r="K121" s="45">
        <v>1533956</v>
      </c>
      <c r="L121" s="45"/>
      <c r="M121" s="45">
        <v>13854545</v>
      </c>
      <c r="N121" s="45"/>
      <c r="O121" s="45">
        <v>71717</v>
      </c>
      <c r="P121" s="45"/>
      <c r="Q121" s="45">
        <v>1813678</v>
      </c>
      <c r="R121" s="45"/>
      <c r="S121" s="44">
        <f t="shared" si="3"/>
        <v>1842887</v>
      </c>
      <c r="T121" s="45"/>
      <c r="U121" s="45">
        <v>43043526</v>
      </c>
      <c r="V121" s="44"/>
      <c r="W121" s="45">
        <f>23995+5440000+2700683+2188546</f>
        <v>10353224</v>
      </c>
    </row>
    <row r="122" spans="1:23" s="116" customFormat="1" ht="12.75" customHeight="1">
      <c r="A122" s="44" t="s">
        <v>148</v>
      </c>
      <c r="C122" s="44" t="s">
        <v>15</v>
      </c>
      <c r="D122" s="35"/>
      <c r="E122" s="45">
        <v>388954</v>
      </c>
      <c r="F122" s="45"/>
      <c r="G122" s="45">
        <v>2490508</v>
      </c>
      <c r="H122" s="45"/>
      <c r="I122" s="45">
        <v>0</v>
      </c>
      <c r="J122" s="45"/>
      <c r="K122" s="45">
        <v>507209</v>
      </c>
      <c r="L122" s="45"/>
      <c r="M122" s="45">
        <v>1073524</v>
      </c>
      <c r="N122" s="45"/>
      <c r="O122" s="45">
        <v>0</v>
      </c>
      <c r="P122" s="45"/>
      <c r="Q122" s="45">
        <f>111010+13214</f>
        <v>124224</v>
      </c>
      <c r="R122" s="45"/>
      <c r="S122" s="44">
        <f t="shared" si="3"/>
        <v>326032</v>
      </c>
      <c r="T122" s="45"/>
      <c r="U122" s="45">
        <v>4910451</v>
      </c>
      <c r="V122" s="44"/>
      <c r="W122" s="45">
        <f>155434+792017</f>
        <v>947451</v>
      </c>
    </row>
    <row r="123" spans="1:23" s="116" customFormat="1" ht="12.75" customHeight="1">
      <c r="A123" s="44" t="s">
        <v>149</v>
      </c>
      <c r="C123" s="44" t="s">
        <v>45</v>
      </c>
      <c r="D123" s="35"/>
      <c r="E123" s="45">
        <v>3073984</v>
      </c>
      <c r="F123" s="45"/>
      <c r="G123" s="45">
        <v>2807415</v>
      </c>
      <c r="H123" s="45"/>
      <c r="I123" s="45">
        <v>0</v>
      </c>
      <c r="J123" s="45"/>
      <c r="K123" s="45">
        <v>578780</v>
      </c>
      <c r="L123" s="45"/>
      <c r="M123" s="45">
        <v>1891950</v>
      </c>
      <c r="N123" s="45"/>
      <c r="O123" s="45">
        <v>0</v>
      </c>
      <c r="P123" s="45"/>
      <c r="Q123" s="45">
        <f>120356+130605</f>
        <v>250961</v>
      </c>
      <c r="R123" s="45"/>
      <c r="S123" s="44">
        <f t="shared" si="3"/>
        <v>624496</v>
      </c>
      <c r="T123" s="45"/>
      <c r="U123" s="45">
        <v>9227586</v>
      </c>
      <c r="V123" s="44"/>
      <c r="W123" s="45">
        <f>192423+2998318</f>
        <v>3190741</v>
      </c>
    </row>
    <row r="124" spans="1:23" s="117" customFormat="1" ht="12.75" customHeight="1">
      <c r="A124" s="44" t="s">
        <v>150</v>
      </c>
      <c r="B124" s="116"/>
      <c r="C124" s="44" t="s">
        <v>27</v>
      </c>
      <c r="D124" s="35"/>
      <c r="E124" s="45">
        <v>4801081</v>
      </c>
      <c r="F124" s="45"/>
      <c r="G124" s="45">
        <v>5910371</v>
      </c>
      <c r="H124" s="45"/>
      <c r="I124" s="45">
        <v>136540</v>
      </c>
      <c r="J124" s="45"/>
      <c r="K124" s="45">
        <v>528982</v>
      </c>
      <c r="L124" s="45"/>
      <c r="M124" s="45">
        <v>3098761</v>
      </c>
      <c r="N124" s="45"/>
      <c r="O124" s="45">
        <v>1006622</v>
      </c>
      <c r="P124" s="45"/>
      <c r="Q124" s="45">
        <v>1883659</v>
      </c>
      <c r="R124" s="45"/>
      <c r="S124" s="44">
        <f t="shared" si="3"/>
        <v>793446</v>
      </c>
      <c r="T124" s="45"/>
      <c r="U124" s="45">
        <v>18159462</v>
      </c>
      <c r="V124" s="44"/>
      <c r="W124" s="45">
        <f>43010+1000000+1118056</f>
        <v>2161066</v>
      </c>
    </row>
    <row r="125" spans="1:23" s="116" customFormat="1" ht="12.75" customHeight="1">
      <c r="A125" s="44" t="s">
        <v>151</v>
      </c>
      <c r="C125" s="44" t="s">
        <v>13</v>
      </c>
      <c r="D125" s="35"/>
      <c r="E125" s="45">
        <v>1965774</v>
      </c>
      <c r="F125" s="45"/>
      <c r="G125" s="45">
        <v>6933607</v>
      </c>
      <c r="H125" s="45"/>
      <c r="I125" s="45">
        <v>0</v>
      </c>
      <c r="J125" s="45"/>
      <c r="K125" s="45">
        <v>1710047</v>
      </c>
      <c r="L125" s="45"/>
      <c r="M125" s="45">
        <v>2196420</v>
      </c>
      <c r="N125" s="45"/>
      <c r="O125" s="45">
        <v>218591</v>
      </c>
      <c r="P125" s="45"/>
      <c r="Q125" s="45">
        <v>671891</v>
      </c>
      <c r="R125" s="45"/>
      <c r="S125" s="44">
        <f t="shared" si="3"/>
        <v>382544</v>
      </c>
      <c r="T125" s="45"/>
      <c r="U125" s="45">
        <v>14078874</v>
      </c>
      <c r="V125" s="44"/>
      <c r="W125" s="45">
        <f>2713098+79532+5000+1923673</f>
        <v>4721303</v>
      </c>
    </row>
    <row r="126" spans="1:23" s="116" customFormat="1" ht="12.75" customHeight="1">
      <c r="A126" s="44" t="s">
        <v>481</v>
      </c>
      <c r="C126" s="44" t="s">
        <v>45</v>
      </c>
      <c r="D126" s="35"/>
      <c r="E126" s="45">
        <v>4339034</v>
      </c>
      <c r="F126" s="45"/>
      <c r="G126" s="45">
        <v>0</v>
      </c>
      <c r="H126" s="45"/>
      <c r="I126" s="45">
        <v>0</v>
      </c>
      <c r="J126" s="45"/>
      <c r="K126" s="45">
        <v>72320</v>
      </c>
      <c r="L126" s="45"/>
      <c r="M126" s="45">
        <v>1864647</v>
      </c>
      <c r="N126" s="45"/>
      <c r="O126" s="45">
        <v>0</v>
      </c>
      <c r="P126" s="45"/>
      <c r="Q126" s="45">
        <f>87864+132792</f>
        <v>220656</v>
      </c>
      <c r="R126" s="45"/>
      <c r="S126" s="44">
        <f t="shared" si="3"/>
        <v>344680</v>
      </c>
      <c r="T126" s="45"/>
      <c r="U126" s="45">
        <v>6841337</v>
      </c>
      <c r="V126" s="44"/>
      <c r="W126" s="45">
        <v>652000</v>
      </c>
    </row>
    <row r="127" spans="1:23" s="118" customFormat="1" ht="12.75" customHeight="1">
      <c r="A127" s="44" t="s">
        <v>152</v>
      </c>
      <c r="B127" s="116"/>
      <c r="C127" s="44" t="s">
        <v>153</v>
      </c>
      <c r="D127" s="35"/>
      <c r="E127" s="45">
        <v>2545865</v>
      </c>
      <c r="F127" s="45"/>
      <c r="G127" s="45">
        <v>24369037</v>
      </c>
      <c r="H127" s="45"/>
      <c r="I127" s="45">
        <v>0</v>
      </c>
      <c r="J127" s="45"/>
      <c r="K127" s="45">
        <v>1747742</v>
      </c>
      <c r="L127" s="45"/>
      <c r="M127" s="45">
        <v>14866082</v>
      </c>
      <c r="N127" s="45"/>
      <c r="O127" s="45">
        <v>26093</v>
      </c>
      <c r="P127" s="45"/>
      <c r="Q127" s="45">
        <f>1724413+898192</f>
        <v>2622605</v>
      </c>
      <c r="R127" s="45"/>
      <c r="S127" s="44">
        <f t="shared" si="3"/>
        <v>1487725</v>
      </c>
      <c r="T127" s="45"/>
      <c r="U127" s="45">
        <v>47665149</v>
      </c>
      <c r="V127" s="44"/>
      <c r="W127" s="45">
        <f>110990+1833962</f>
        <v>1944952</v>
      </c>
    </row>
    <row r="128" spans="1:23" s="136" customFormat="1" ht="12.75" hidden="1" customHeight="1">
      <c r="A128" s="121" t="s">
        <v>154</v>
      </c>
      <c r="C128" s="121" t="s">
        <v>27</v>
      </c>
      <c r="D128" s="126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1">
        <f t="shared" si="3"/>
        <v>0</v>
      </c>
      <c r="T128" s="127"/>
      <c r="U128" s="127"/>
      <c r="V128" s="121"/>
      <c r="W128" s="127"/>
    </row>
    <row r="129" spans="1:23" s="116" customFormat="1" ht="12.75" customHeight="1">
      <c r="A129" s="44" t="s">
        <v>155</v>
      </c>
      <c r="C129" s="44" t="s">
        <v>40</v>
      </c>
      <c r="D129" s="35"/>
      <c r="E129" s="45">
        <v>532852</v>
      </c>
      <c r="F129" s="45"/>
      <c r="G129" s="45">
        <v>8089378</v>
      </c>
      <c r="H129" s="45"/>
      <c r="I129" s="45">
        <f>255867+32752+222753</f>
        <v>511372</v>
      </c>
      <c r="J129" s="45"/>
      <c r="K129" s="45">
        <v>1322507</v>
      </c>
      <c r="L129" s="45"/>
      <c r="M129" s="45">
        <v>4778326</v>
      </c>
      <c r="N129" s="45"/>
      <c r="O129" s="45">
        <v>11244</v>
      </c>
      <c r="P129" s="45"/>
      <c r="Q129" s="45">
        <v>948911</v>
      </c>
      <c r="R129" s="45"/>
      <c r="S129" s="44">
        <f t="shared" si="3"/>
        <v>939515</v>
      </c>
      <c r="T129" s="45"/>
      <c r="U129" s="45">
        <v>17134105</v>
      </c>
      <c r="V129" s="44"/>
      <c r="W129" s="45">
        <f>41455+514000+970000+685180</f>
        <v>2210635</v>
      </c>
    </row>
    <row r="130" spans="1:23" s="116" customFormat="1" ht="12.75" customHeight="1">
      <c r="A130" s="44" t="s">
        <v>471</v>
      </c>
      <c r="C130" s="44"/>
      <c r="D130" s="3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4"/>
      <c r="T130" s="45"/>
      <c r="U130" s="45"/>
      <c r="V130" s="44"/>
      <c r="W130" s="48" t="s">
        <v>484</v>
      </c>
    </row>
    <row r="131" spans="1:23" s="116" customFormat="1" ht="12.75" customHeight="1">
      <c r="A131" s="46" t="s">
        <v>156</v>
      </c>
      <c r="B131" s="117"/>
      <c r="C131" s="46" t="s">
        <v>156</v>
      </c>
      <c r="D131" s="35"/>
      <c r="E131" s="94">
        <v>1401185</v>
      </c>
      <c r="F131" s="94"/>
      <c r="G131" s="94">
        <v>14113112</v>
      </c>
      <c r="H131" s="94"/>
      <c r="I131" s="94">
        <v>338367</v>
      </c>
      <c r="J131" s="94"/>
      <c r="K131" s="94">
        <v>1360963</v>
      </c>
      <c r="L131" s="94"/>
      <c r="M131" s="94">
        <v>6917210</v>
      </c>
      <c r="N131" s="94"/>
      <c r="O131" s="94">
        <v>0</v>
      </c>
      <c r="P131" s="94"/>
      <c r="Q131" s="94">
        <f>1297980+279947</f>
        <v>1577927</v>
      </c>
      <c r="R131" s="94"/>
      <c r="S131" s="46">
        <f t="shared" si="3"/>
        <v>731133</v>
      </c>
      <c r="T131" s="94"/>
      <c r="U131" s="94">
        <v>26439897</v>
      </c>
      <c r="V131" s="46"/>
      <c r="W131" s="94">
        <f>1580000+8700+1732944</f>
        <v>3321644</v>
      </c>
    </row>
    <row r="132" spans="1:23" s="116" customFormat="1" ht="12.75" customHeight="1">
      <c r="A132" s="44" t="s">
        <v>157</v>
      </c>
      <c r="C132" s="44" t="s">
        <v>33</v>
      </c>
      <c r="D132" s="35"/>
      <c r="E132" s="45">
        <v>352959</v>
      </c>
      <c r="F132" s="45"/>
      <c r="G132" s="45">
        <v>1269841</v>
      </c>
      <c r="H132" s="45"/>
      <c r="I132" s="45">
        <v>0</v>
      </c>
      <c r="J132" s="45"/>
      <c r="K132" s="45">
        <v>937981</v>
      </c>
      <c r="L132" s="45"/>
      <c r="M132" s="45">
        <v>1349193</v>
      </c>
      <c r="N132" s="45"/>
      <c r="O132" s="45">
        <v>0</v>
      </c>
      <c r="P132" s="45"/>
      <c r="Q132" s="45">
        <f>32224+133353</f>
        <v>165577</v>
      </c>
      <c r="R132" s="45"/>
      <c r="S132" s="44">
        <f t="shared" si="3"/>
        <v>165207</v>
      </c>
      <c r="T132" s="45"/>
      <c r="U132" s="45">
        <v>4240758</v>
      </c>
      <c r="V132" s="44"/>
      <c r="W132" s="45">
        <f>290000+58+153000</f>
        <v>443058</v>
      </c>
    </row>
    <row r="133" spans="1:23" s="116" customFormat="1" ht="12.75" customHeight="1">
      <c r="A133" s="44" t="s">
        <v>158</v>
      </c>
      <c r="C133" s="44" t="s">
        <v>159</v>
      </c>
      <c r="D133" s="35"/>
      <c r="E133" s="45">
        <v>1894476</v>
      </c>
      <c r="F133" s="45"/>
      <c r="G133" s="45">
        <v>8358849</v>
      </c>
      <c r="H133" s="45"/>
      <c r="I133" s="45">
        <f>159316+823031</f>
        <v>982347</v>
      </c>
      <c r="J133" s="45"/>
      <c r="K133" s="45">
        <v>917822</v>
      </c>
      <c r="L133" s="45"/>
      <c r="M133" s="45">
        <v>2472263</v>
      </c>
      <c r="N133" s="45"/>
      <c r="O133" s="45">
        <v>20618</v>
      </c>
      <c r="P133" s="45"/>
      <c r="Q133" s="45">
        <f>362911+602828</f>
        <v>965739</v>
      </c>
      <c r="R133" s="45"/>
      <c r="S133" s="44">
        <f t="shared" si="3"/>
        <v>471184</v>
      </c>
      <c r="T133" s="45"/>
      <c r="U133" s="45">
        <v>16083298</v>
      </c>
      <c r="V133" s="44"/>
      <c r="W133" s="45">
        <f>14080000+8037+66669+127422+3128061</f>
        <v>17410189</v>
      </c>
    </row>
    <row r="134" spans="1:23" s="117" customFormat="1" ht="12.75" customHeight="1">
      <c r="A134" s="46" t="s">
        <v>160</v>
      </c>
      <c r="C134" s="46" t="s">
        <v>111</v>
      </c>
      <c r="D134" s="64"/>
      <c r="E134" s="45">
        <v>28224092</v>
      </c>
      <c r="F134" s="45"/>
      <c r="G134" s="45">
        <v>0</v>
      </c>
      <c r="H134" s="45"/>
      <c r="I134" s="45">
        <v>0</v>
      </c>
      <c r="J134" s="45"/>
      <c r="K134" s="45">
        <v>1926084</v>
      </c>
      <c r="L134" s="45"/>
      <c r="M134" s="45">
        <v>5647393</v>
      </c>
      <c r="N134" s="45"/>
      <c r="O134" s="45">
        <v>93501</v>
      </c>
      <c r="P134" s="45"/>
      <c r="Q134" s="45">
        <v>2210168</v>
      </c>
      <c r="R134" s="45"/>
      <c r="S134" s="44">
        <f t="shared" si="3"/>
        <v>3200794</v>
      </c>
      <c r="T134" s="45"/>
      <c r="U134" s="45">
        <v>41302032</v>
      </c>
      <c r="V134" s="44"/>
      <c r="W134" s="45">
        <f>17570000+2369200</f>
        <v>19939200</v>
      </c>
    </row>
    <row r="135" spans="1:23" s="116" customFormat="1" ht="12.75" customHeight="1">
      <c r="A135" s="44" t="s">
        <v>161</v>
      </c>
      <c r="C135" s="44" t="s">
        <v>15</v>
      </c>
      <c r="D135" s="35"/>
      <c r="E135" s="45">
        <v>1357221</v>
      </c>
      <c r="F135" s="45"/>
      <c r="G135" s="45">
        <v>13353177</v>
      </c>
      <c r="H135" s="45"/>
      <c r="I135" s="45">
        <v>478989</v>
      </c>
      <c r="J135" s="45"/>
      <c r="K135" s="45">
        <v>148861</v>
      </c>
      <c r="L135" s="45"/>
      <c r="M135" s="45">
        <v>5569543</v>
      </c>
      <c r="N135" s="45"/>
      <c r="O135" s="45">
        <v>0</v>
      </c>
      <c r="P135" s="45"/>
      <c r="Q135" s="45">
        <f>1922271+317121</f>
        <v>2239392</v>
      </c>
      <c r="R135" s="45"/>
      <c r="S135" s="44">
        <f t="shared" si="3"/>
        <v>2889859</v>
      </c>
      <c r="T135" s="45"/>
      <c r="U135" s="45">
        <v>26037042</v>
      </c>
      <c r="V135" s="44"/>
      <c r="W135" s="45">
        <f>195074+1417831</f>
        <v>1612905</v>
      </c>
    </row>
    <row r="136" spans="1:23" s="116" customFormat="1" ht="12.75" customHeight="1">
      <c r="A136" s="44" t="s">
        <v>162</v>
      </c>
      <c r="C136" s="44" t="s">
        <v>163</v>
      </c>
      <c r="D136" s="35"/>
      <c r="E136" s="45">
        <v>1941493</v>
      </c>
      <c r="F136" s="45"/>
      <c r="G136" s="45">
        <v>15332506</v>
      </c>
      <c r="H136" s="45"/>
      <c r="I136" s="45">
        <v>0</v>
      </c>
      <c r="J136" s="45"/>
      <c r="K136" s="45">
        <v>1017424</v>
      </c>
      <c r="L136" s="45"/>
      <c r="M136" s="45">
        <v>4750292</v>
      </c>
      <c r="N136" s="45"/>
      <c r="O136" s="45">
        <v>1143373</v>
      </c>
      <c r="P136" s="45"/>
      <c r="Q136" s="45">
        <f>816352+229440</f>
        <v>1045792</v>
      </c>
      <c r="R136" s="45"/>
      <c r="S136" s="44">
        <f t="shared" si="3"/>
        <v>1510583</v>
      </c>
      <c r="T136" s="45"/>
      <c r="U136" s="45">
        <v>26741463</v>
      </c>
      <c r="V136" s="44"/>
      <c r="W136" s="45">
        <f>134500+4845000+161800+455000+15371210</f>
        <v>20967510</v>
      </c>
    </row>
    <row r="137" spans="1:23" s="116" customFormat="1" ht="12.75" customHeight="1">
      <c r="A137" s="44" t="s">
        <v>164</v>
      </c>
      <c r="C137" s="44" t="s">
        <v>27</v>
      </c>
      <c r="D137" s="35"/>
      <c r="E137" s="45">
        <v>5117274</v>
      </c>
      <c r="F137" s="45"/>
      <c r="G137" s="45">
        <v>11278659</v>
      </c>
      <c r="H137" s="45"/>
      <c r="I137" s="45">
        <v>143551</v>
      </c>
      <c r="J137" s="45"/>
      <c r="K137" s="45">
        <v>1155635</v>
      </c>
      <c r="L137" s="45"/>
      <c r="M137" s="45">
        <v>3855552</v>
      </c>
      <c r="N137" s="45"/>
      <c r="O137" s="45">
        <v>14583</v>
      </c>
      <c r="P137" s="45"/>
      <c r="Q137" s="45">
        <v>869915</v>
      </c>
      <c r="R137" s="45"/>
      <c r="S137" s="44">
        <f t="shared" si="3"/>
        <v>941686</v>
      </c>
      <c r="T137" s="45"/>
      <c r="U137" s="45">
        <v>23376855</v>
      </c>
      <c r="V137" s="44"/>
      <c r="W137" s="45">
        <f>32524+61445+6000000+2322500</f>
        <v>8416469</v>
      </c>
    </row>
    <row r="138" spans="1:23" s="116" customFormat="1" ht="12.75" customHeight="1">
      <c r="A138" s="44" t="s">
        <v>53</v>
      </c>
      <c r="C138" s="44" t="s">
        <v>53</v>
      </c>
      <c r="D138" s="35"/>
      <c r="E138" s="45">
        <v>3196921</v>
      </c>
      <c r="F138" s="45"/>
      <c r="G138" s="45">
        <v>13291604</v>
      </c>
      <c r="H138" s="45"/>
      <c r="I138" s="45">
        <v>910</v>
      </c>
      <c r="J138" s="45"/>
      <c r="K138" s="45">
        <v>974627</v>
      </c>
      <c r="L138" s="45"/>
      <c r="M138" s="45">
        <v>4380839</v>
      </c>
      <c r="N138" s="45"/>
      <c r="O138" s="45">
        <v>279685</v>
      </c>
      <c r="P138" s="45"/>
      <c r="Q138" s="45">
        <f>863863+2004503</f>
        <v>2868366</v>
      </c>
      <c r="R138" s="45"/>
      <c r="S138" s="44">
        <f t="shared" si="3"/>
        <v>954880</v>
      </c>
      <c r="T138" s="45"/>
      <c r="U138" s="45">
        <v>25947832</v>
      </c>
      <c r="V138" s="44"/>
      <c r="W138" s="45">
        <v>30000</v>
      </c>
    </row>
    <row r="139" spans="1:23" s="116" customFormat="1" ht="12.75" customHeight="1">
      <c r="A139" s="44" t="s">
        <v>165</v>
      </c>
      <c r="C139" s="44" t="s">
        <v>92</v>
      </c>
      <c r="D139" s="35"/>
      <c r="E139" s="45">
        <v>6061109</v>
      </c>
      <c r="F139" s="45"/>
      <c r="G139" s="45">
        <v>32960086</v>
      </c>
      <c r="H139" s="45"/>
      <c r="I139" s="45">
        <v>424852</v>
      </c>
      <c r="J139" s="45"/>
      <c r="K139" s="45">
        <v>5478221</v>
      </c>
      <c r="L139" s="45"/>
      <c r="M139" s="45">
        <v>8698588</v>
      </c>
      <c r="N139" s="45"/>
      <c r="O139" s="45">
        <v>1784013</v>
      </c>
      <c r="P139" s="45"/>
      <c r="Q139" s="45">
        <f>1434560+1191262</f>
        <v>2625822</v>
      </c>
      <c r="R139" s="45"/>
      <c r="S139" s="44">
        <f t="shared" si="3"/>
        <v>829244</v>
      </c>
      <c r="T139" s="45"/>
      <c r="U139" s="45">
        <v>58861935</v>
      </c>
      <c r="V139" s="44"/>
      <c r="W139" s="45">
        <f>7505000+11948000+62583+663300</f>
        <v>20178883</v>
      </c>
    </row>
    <row r="140" spans="1:23" s="116" customFormat="1" ht="12.75" customHeight="1">
      <c r="A140" s="44" t="s">
        <v>166</v>
      </c>
      <c r="C140" s="44" t="s">
        <v>92</v>
      </c>
      <c r="D140" s="35"/>
      <c r="E140" s="45">
        <v>1712144</v>
      </c>
      <c r="F140" s="45"/>
      <c r="G140" s="45">
        <v>895745</v>
      </c>
      <c r="H140" s="45"/>
      <c r="I140" s="45">
        <v>0</v>
      </c>
      <c r="J140" s="45"/>
      <c r="K140" s="45">
        <v>440300</v>
      </c>
      <c r="L140" s="45"/>
      <c r="M140" s="45">
        <v>2674142</v>
      </c>
      <c r="N140" s="45"/>
      <c r="O140" s="45">
        <v>1961</v>
      </c>
      <c r="P140" s="45"/>
      <c r="Q140" s="45">
        <f>7750+39261</f>
        <v>47011</v>
      </c>
      <c r="R140" s="45"/>
      <c r="S140" s="44">
        <f t="shared" si="3"/>
        <v>55075</v>
      </c>
      <c r="T140" s="45"/>
      <c r="U140" s="45">
        <v>5826378</v>
      </c>
      <c r="V140" s="44"/>
      <c r="W140" s="45">
        <f>2188+1687704+103639</f>
        <v>1793531</v>
      </c>
    </row>
    <row r="141" spans="1:23" s="116" customFormat="1" ht="12.75" customHeight="1">
      <c r="A141" s="44" t="s">
        <v>167</v>
      </c>
      <c r="C141" s="44" t="s">
        <v>66</v>
      </c>
      <c r="D141" s="35"/>
      <c r="E141" s="45">
        <v>2877033</v>
      </c>
      <c r="F141" s="45"/>
      <c r="G141" s="45">
        <v>8913851</v>
      </c>
      <c r="H141" s="45"/>
      <c r="I141" s="45">
        <v>0</v>
      </c>
      <c r="J141" s="45"/>
      <c r="K141" s="45">
        <v>2829380</v>
      </c>
      <c r="L141" s="45"/>
      <c r="M141" s="45">
        <v>3228929</v>
      </c>
      <c r="N141" s="45"/>
      <c r="O141" s="45">
        <v>195778</v>
      </c>
      <c r="P141" s="45"/>
      <c r="Q141" s="45">
        <v>1412801</v>
      </c>
      <c r="R141" s="45"/>
      <c r="S141" s="44">
        <f t="shared" si="3"/>
        <v>1698314</v>
      </c>
      <c r="T141" s="45"/>
      <c r="U141" s="45">
        <v>21156086</v>
      </c>
      <c r="V141" s="44"/>
      <c r="W141" s="45">
        <v>881243</v>
      </c>
    </row>
    <row r="142" spans="1:23" s="116" customFormat="1" ht="12.75" customHeight="1">
      <c r="A142" s="44" t="s">
        <v>168</v>
      </c>
      <c r="C142" s="44" t="s">
        <v>27</v>
      </c>
      <c r="D142" s="35"/>
      <c r="E142" s="45">
        <v>2400470</v>
      </c>
      <c r="F142" s="45"/>
      <c r="G142" s="45">
        <v>16176983</v>
      </c>
      <c r="H142" s="45"/>
      <c r="I142" s="45">
        <v>577467</v>
      </c>
      <c r="J142" s="45"/>
      <c r="K142" s="45">
        <v>1669275</v>
      </c>
      <c r="L142" s="45"/>
      <c r="M142" s="45">
        <v>2652042</v>
      </c>
      <c r="N142" s="45"/>
      <c r="O142" s="45">
        <v>213368</v>
      </c>
      <c r="P142" s="45"/>
      <c r="Q142" s="45">
        <v>999295</v>
      </c>
      <c r="R142" s="45"/>
      <c r="S142" s="44">
        <f t="shared" si="3"/>
        <v>819705</v>
      </c>
      <c r="T142" s="45"/>
      <c r="U142" s="45">
        <v>25508605</v>
      </c>
      <c r="V142" s="44"/>
      <c r="W142" s="45">
        <f>10000+137276+12180000+187315+850000</f>
        <v>13364591</v>
      </c>
    </row>
    <row r="143" spans="1:23" s="116" customFormat="1" ht="12.75" customHeight="1">
      <c r="A143" s="44" t="s">
        <v>169</v>
      </c>
      <c r="C143" s="44" t="s">
        <v>103</v>
      </c>
      <c r="D143" s="35"/>
      <c r="E143" s="45">
        <v>4965195</v>
      </c>
      <c r="F143" s="45"/>
      <c r="G143" s="45">
        <v>19605566</v>
      </c>
      <c r="H143" s="45"/>
      <c r="I143" s="45">
        <v>382963</v>
      </c>
      <c r="J143" s="45"/>
      <c r="K143" s="45">
        <v>4312421</v>
      </c>
      <c r="L143" s="45"/>
      <c r="M143" s="45">
        <v>19920671</v>
      </c>
      <c r="N143" s="45"/>
      <c r="O143" s="45">
        <v>440148</v>
      </c>
      <c r="P143" s="45"/>
      <c r="Q143" s="45">
        <f>2018829+256525</f>
        <v>2275354</v>
      </c>
      <c r="R143" s="45"/>
      <c r="S143" s="44">
        <f t="shared" si="3"/>
        <v>4261617</v>
      </c>
      <c r="T143" s="45"/>
      <c r="U143" s="45">
        <v>56163935</v>
      </c>
      <c r="V143" s="44"/>
      <c r="W143" s="45">
        <f>497725+10323108+170311</f>
        <v>10991144</v>
      </c>
    </row>
    <row r="144" spans="1:23" s="116" customFormat="1" ht="12.75" customHeight="1">
      <c r="A144" s="44" t="s">
        <v>170</v>
      </c>
      <c r="C144" s="44" t="s">
        <v>171</v>
      </c>
      <c r="D144" s="35"/>
      <c r="E144" s="45">
        <v>2346764</v>
      </c>
      <c r="F144" s="45"/>
      <c r="G144" s="45">
        <v>2574572</v>
      </c>
      <c r="H144" s="45"/>
      <c r="I144" s="45">
        <v>317525</v>
      </c>
      <c r="J144" s="45"/>
      <c r="K144" s="45">
        <v>237027</v>
      </c>
      <c r="L144" s="45"/>
      <c r="M144" s="45">
        <v>1663146</v>
      </c>
      <c r="N144" s="45"/>
      <c r="O144" s="45">
        <v>0</v>
      </c>
      <c r="P144" s="45"/>
      <c r="Q144" s="45">
        <f>185600+56562</f>
        <v>242162</v>
      </c>
      <c r="R144" s="45"/>
      <c r="S144" s="44">
        <f t="shared" si="3"/>
        <v>226256</v>
      </c>
      <c r="T144" s="45"/>
      <c r="U144" s="45">
        <v>7607452</v>
      </c>
      <c r="V144" s="44"/>
      <c r="W144" s="45">
        <v>237317</v>
      </c>
    </row>
    <row r="145" spans="1:23" s="116" customFormat="1" ht="12.75" customHeight="1">
      <c r="A145" s="44" t="s">
        <v>172</v>
      </c>
      <c r="C145" s="44" t="s">
        <v>103</v>
      </c>
      <c r="D145" s="35"/>
      <c r="E145" s="45">
        <v>1971017</v>
      </c>
      <c r="F145" s="45"/>
      <c r="G145" s="45">
        <v>5352927</v>
      </c>
      <c r="H145" s="45"/>
      <c r="I145" s="45">
        <v>844205</v>
      </c>
      <c r="J145" s="45"/>
      <c r="K145" s="45">
        <v>1084965</v>
      </c>
      <c r="L145" s="45"/>
      <c r="M145" s="45">
        <v>2813759</v>
      </c>
      <c r="N145" s="45"/>
      <c r="O145" s="45">
        <v>302789</v>
      </c>
      <c r="P145" s="45"/>
      <c r="Q145" s="45">
        <v>220440</v>
      </c>
      <c r="R145" s="45"/>
      <c r="S145" s="44">
        <f t="shared" si="3"/>
        <v>1595398</v>
      </c>
      <c r="T145" s="45"/>
      <c r="U145" s="45">
        <v>14185500</v>
      </c>
      <c r="V145" s="44"/>
      <c r="W145" s="45">
        <f>1938+2143+5409771</f>
        <v>5413852</v>
      </c>
    </row>
    <row r="146" spans="1:23" s="116" customFormat="1" ht="12.75" customHeight="1">
      <c r="A146" s="44" t="s">
        <v>66</v>
      </c>
      <c r="C146" s="44" t="s">
        <v>45</v>
      </c>
      <c r="D146" s="35"/>
      <c r="E146" s="45">
        <v>12709819</v>
      </c>
      <c r="F146" s="45"/>
      <c r="G146" s="45">
        <v>0</v>
      </c>
      <c r="H146" s="45"/>
      <c r="I146" s="45">
        <v>0</v>
      </c>
      <c r="J146" s="45"/>
      <c r="K146" s="45">
        <v>523170</v>
      </c>
      <c r="L146" s="45"/>
      <c r="M146" s="45">
        <v>1508044</v>
      </c>
      <c r="N146" s="45"/>
      <c r="O146" s="45">
        <v>262668</v>
      </c>
      <c r="P146" s="45"/>
      <c r="Q146" s="45">
        <f>174529+316184</f>
        <v>490713</v>
      </c>
      <c r="R146" s="45"/>
      <c r="S146" s="44">
        <f t="shared" si="3"/>
        <v>1213237</v>
      </c>
      <c r="T146" s="45"/>
      <c r="U146" s="45">
        <v>16707651</v>
      </c>
      <c r="V146" s="44"/>
      <c r="W146" s="45">
        <f>15130+1645535</f>
        <v>1660665</v>
      </c>
    </row>
    <row r="147" spans="1:23" s="116" customFormat="1" ht="12.75" customHeight="1">
      <c r="A147" s="44" t="s">
        <v>173</v>
      </c>
      <c r="C147" s="44" t="s">
        <v>66</v>
      </c>
      <c r="D147" s="35"/>
      <c r="E147" s="45">
        <v>696967</v>
      </c>
      <c r="F147" s="45"/>
      <c r="G147" s="45">
        <v>15382323</v>
      </c>
      <c r="H147" s="45"/>
      <c r="I147" s="45">
        <v>66267</v>
      </c>
      <c r="J147" s="45"/>
      <c r="K147" s="45">
        <v>865303</v>
      </c>
      <c r="L147" s="45"/>
      <c r="M147" s="45">
        <v>451422</v>
      </c>
      <c r="N147" s="45"/>
      <c r="O147" s="45">
        <v>0</v>
      </c>
      <c r="P147" s="45"/>
      <c r="Q147" s="45">
        <f>214275+40539</f>
        <v>254814</v>
      </c>
      <c r="R147" s="45"/>
      <c r="S147" s="44">
        <f t="shared" ref="S147:S213" si="4">+U147-SUM(E147:Q147)</f>
        <v>2671176</v>
      </c>
      <c r="T147" s="45"/>
      <c r="U147" s="45">
        <v>20388272</v>
      </c>
      <c r="V147" s="44"/>
      <c r="W147" s="45">
        <f>10600000+5125000+693399+10300000+219779</f>
        <v>26938178</v>
      </c>
    </row>
    <row r="148" spans="1:23" s="116" customFormat="1" ht="12.75" customHeight="1">
      <c r="A148" s="44" t="s">
        <v>174</v>
      </c>
      <c r="C148" s="44" t="s">
        <v>45</v>
      </c>
      <c r="D148" s="35"/>
      <c r="E148" s="45">
        <v>865155</v>
      </c>
      <c r="F148" s="45"/>
      <c r="G148" s="45">
        <v>1341268</v>
      </c>
      <c r="H148" s="45"/>
      <c r="I148" s="45">
        <v>60442</v>
      </c>
      <c r="J148" s="45"/>
      <c r="K148" s="45">
        <v>748150</v>
      </c>
      <c r="L148" s="45"/>
      <c r="M148" s="45">
        <v>706863</v>
      </c>
      <c r="N148" s="45"/>
      <c r="O148" s="45">
        <v>0</v>
      </c>
      <c r="P148" s="45"/>
      <c r="Q148" s="45">
        <v>195955</v>
      </c>
      <c r="R148" s="45"/>
      <c r="S148" s="44">
        <f t="shared" si="4"/>
        <v>77757</v>
      </c>
      <c r="T148" s="45"/>
      <c r="U148" s="45">
        <v>3995590</v>
      </c>
      <c r="V148" s="44"/>
      <c r="W148" s="45">
        <f>375462+500000+8100+1005</f>
        <v>884567</v>
      </c>
    </row>
    <row r="149" spans="1:23" s="116" customFormat="1" ht="12.75" customHeight="1">
      <c r="A149" s="44" t="s">
        <v>175</v>
      </c>
      <c r="C149" s="44" t="s">
        <v>176</v>
      </c>
      <c r="D149" s="35"/>
      <c r="E149" s="45">
        <v>12456495</v>
      </c>
      <c r="F149" s="45"/>
      <c r="G149" s="45">
        <v>0</v>
      </c>
      <c r="H149" s="45"/>
      <c r="I149" s="45">
        <v>0</v>
      </c>
      <c r="J149" s="45"/>
      <c r="K149" s="45">
        <v>1464750</v>
      </c>
      <c r="L149" s="45"/>
      <c r="M149" s="45">
        <v>1910413</v>
      </c>
      <c r="N149" s="45"/>
      <c r="O149" s="45">
        <v>0</v>
      </c>
      <c r="P149" s="45"/>
      <c r="Q149" s="45">
        <f>759240+15661</f>
        <v>774901</v>
      </c>
      <c r="R149" s="45"/>
      <c r="S149" s="44">
        <f t="shared" si="4"/>
        <v>723042</v>
      </c>
      <c r="T149" s="45"/>
      <c r="U149" s="45">
        <v>17329601</v>
      </c>
      <c r="V149" s="44"/>
      <c r="W149" s="45">
        <f>12298+2100000+7245+2785286</f>
        <v>4904829</v>
      </c>
    </row>
    <row r="150" spans="1:23" s="116" customFormat="1" ht="12.75" customHeight="1">
      <c r="A150" s="44" t="s">
        <v>177</v>
      </c>
      <c r="C150" s="44" t="s">
        <v>13</v>
      </c>
      <c r="D150" s="35"/>
      <c r="E150" s="45">
        <v>768247</v>
      </c>
      <c r="F150" s="45"/>
      <c r="G150" s="45">
        <v>1158243</v>
      </c>
      <c r="H150" s="45"/>
      <c r="I150" s="45">
        <v>0</v>
      </c>
      <c r="J150" s="45"/>
      <c r="K150" s="45">
        <v>71934</v>
      </c>
      <c r="L150" s="45"/>
      <c r="M150" s="45">
        <v>1003439</v>
      </c>
      <c r="N150" s="45"/>
      <c r="O150" s="45">
        <v>25258</v>
      </c>
      <c r="P150" s="45"/>
      <c r="Q150" s="45">
        <v>107939</v>
      </c>
      <c r="R150" s="45"/>
      <c r="S150" s="44">
        <f t="shared" si="4"/>
        <v>289923</v>
      </c>
      <c r="T150" s="45"/>
      <c r="U150" s="45">
        <v>3424983</v>
      </c>
      <c r="V150" s="44"/>
      <c r="W150" s="45">
        <f>450000+12490+15333</f>
        <v>477823</v>
      </c>
    </row>
    <row r="151" spans="1:23" s="116" customFormat="1" ht="12.75" customHeight="1">
      <c r="A151" s="44" t="s">
        <v>178</v>
      </c>
      <c r="C151" s="44" t="s">
        <v>179</v>
      </c>
      <c r="D151" s="35"/>
      <c r="E151" s="45">
        <v>436873</v>
      </c>
      <c r="F151" s="45"/>
      <c r="G151" s="45">
        <v>2271766</v>
      </c>
      <c r="H151" s="45"/>
      <c r="I151" s="45">
        <v>536676</v>
      </c>
      <c r="J151" s="45"/>
      <c r="K151" s="45">
        <v>732494</v>
      </c>
      <c r="L151" s="45"/>
      <c r="M151" s="45">
        <v>1891032</v>
      </c>
      <c r="N151" s="45"/>
      <c r="O151" s="45">
        <v>105288</v>
      </c>
      <c r="P151" s="45"/>
      <c r="Q151" s="45">
        <f>381139+64957</f>
        <v>446096</v>
      </c>
      <c r="R151" s="45"/>
      <c r="S151" s="44">
        <f t="shared" si="4"/>
        <v>809136</v>
      </c>
      <c r="T151" s="45"/>
      <c r="U151" s="45">
        <v>7229361</v>
      </c>
      <c r="V151" s="44"/>
      <c r="W151" s="45">
        <f>202+2210781</f>
        <v>2210983</v>
      </c>
    </row>
    <row r="152" spans="1:23" s="136" customFormat="1" ht="12.75" hidden="1" customHeight="1">
      <c r="A152" s="44" t="s">
        <v>180</v>
      </c>
      <c r="B152" s="116"/>
      <c r="C152" s="44" t="s">
        <v>20</v>
      </c>
      <c r="D152" s="3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4">
        <f t="shared" si="4"/>
        <v>0</v>
      </c>
      <c r="T152" s="45"/>
      <c r="U152" s="45"/>
      <c r="V152" s="44"/>
      <c r="W152" s="45"/>
    </row>
    <row r="153" spans="1:23" s="116" customFormat="1" ht="12.75" customHeight="1">
      <c r="A153" s="44" t="s">
        <v>182</v>
      </c>
      <c r="C153" s="44" t="s">
        <v>183</v>
      </c>
      <c r="D153" s="35"/>
      <c r="E153" s="45">
        <v>447544</v>
      </c>
      <c r="F153" s="45"/>
      <c r="G153" s="45">
        <v>996163</v>
      </c>
      <c r="H153" s="45"/>
      <c r="I153" s="45">
        <v>7014</v>
      </c>
      <c r="J153" s="45"/>
      <c r="K153" s="45">
        <v>541870</v>
      </c>
      <c r="L153" s="45"/>
      <c r="M153" s="45">
        <v>559890</v>
      </c>
      <c r="N153" s="45"/>
      <c r="O153" s="45">
        <v>173841</v>
      </c>
      <c r="P153" s="45"/>
      <c r="Q153" s="45">
        <f>19595+3094</f>
        <v>22689</v>
      </c>
      <c r="R153" s="45"/>
      <c r="S153" s="44">
        <f t="shared" si="4"/>
        <v>60655</v>
      </c>
      <c r="T153" s="45"/>
      <c r="U153" s="45">
        <v>2809666</v>
      </c>
      <c r="V153" s="44"/>
      <c r="W153" s="45">
        <f>9987+82600</f>
        <v>92587</v>
      </c>
    </row>
    <row r="154" spans="1:23" s="116" customFormat="1" ht="12.75" customHeight="1">
      <c r="A154" s="44" t="s">
        <v>487</v>
      </c>
      <c r="C154" s="44" t="s">
        <v>13</v>
      </c>
      <c r="D154" s="35"/>
      <c r="E154" s="45">
        <v>3934756</v>
      </c>
      <c r="F154" s="45"/>
      <c r="G154" s="45">
        <v>0</v>
      </c>
      <c r="H154" s="45"/>
      <c r="I154" s="45">
        <v>0</v>
      </c>
      <c r="J154" s="45"/>
      <c r="K154" s="45">
        <v>366832</v>
      </c>
      <c r="L154" s="45"/>
      <c r="M154" s="45">
        <v>2326458</v>
      </c>
      <c r="N154" s="45"/>
      <c r="O154" s="45">
        <v>5727</v>
      </c>
      <c r="P154" s="45"/>
      <c r="Q154" s="45">
        <f>73716+2518</f>
        <v>76234</v>
      </c>
      <c r="R154" s="45"/>
      <c r="S154" s="44">
        <f>+U154-SUM(E154:Q154)</f>
        <v>135019</v>
      </c>
      <c r="T154" s="45"/>
      <c r="U154" s="45">
        <v>6845026</v>
      </c>
      <c r="V154" s="44"/>
      <c r="W154" s="45">
        <v>0</v>
      </c>
    </row>
    <row r="155" spans="1:23" s="116" customFormat="1" ht="12.75" customHeight="1">
      <c r="A155" s="44" t="s">
        <v>184</v>
      </c>
      <c r="C155" s="44" t="s">
        <v>89</v>
      </c>
      <c r="D155" s="35"/>
      <c r="E155" s="45">
        <v>1162258</v>
      </c>
      <c r="F155" s="45"/>
      <c r="G155" s="45">
        <v>6419692</v>
      </c>
      <c r="H155" s="45"/>
      <c r="I155" s="45">
        <v>0</v>
      </c>
      <c r="J155" s="45"/>
      <c r="K155" s="45">
        <v>755799</v>
      </c>
      <c r="L155" s="45"/>
      <c r="M155" s="45">
        <v>3440523</v>
      </c>
      <c r="N155" s="45"/>
      <c r="O155" s="45">
        <v>62937</v>
      </c>
      <c r="P155" s="45"/>
      <c r="Q155" s="45">
        <f>265727+977535</f>
        <v>1243262</v>
      </c>
      <c r="R155" s="45"/>
      <c r="S155" s="44">
        <f t="shared" si="4"/>
        <v>439853</v>
      </c>
      <c r="T155" s="45"/>
      <c r="U155" s="45">
        <v>13524324</v>
      </c>
      <c r="V155" s="44"/>
      <c r="W155" s="45">
        <f>117657+187469+8464</f>
        <v>313590</v>
      </c>
    </row>
    <row r="156" spans="1:23" s="116" customFormat="1" ht="12.75" customHeight="1">
      <c r="A156" s="44" t="s">
        <v>181</v>
      </c>
      <c r="C156" s="44" t="s">
        <v>125</v>
      </c>
      <c r="D156" s="35"/>
      <c r="E156" s="45">
        <v>24141533</v>
      </c>
      <c r="F156" s="45"/>
      <c r="G156" s="45">
        <v>0</v>
      </c>
      <c r="H156" s="45"/>
      <c r="I156" s="45">
        <v>0</v>
      </c>
      <c r="J156" s="45"/>
      <c r="K156" s="45">
        <v>2341997</v>
      </c>
      <c r="L156" s="45"/>
      <c r="M156" s="45">
        <v>8458536</v>
      </c>
      <c r="N156" s="45"/>
      <c r="O156" s="45">
        <v>7198</v>
      </c>
      <c r="P156" s="45"/>
      <c r="Q156" s="45">
        <v>672053</v>
      </c>
      <c r="R156" s="45"/>
      <c r="S156" s="44">
        <f>+U156-SUM(E156:Q156)</f>
        <v>3085722</v>
      </c>
      <c r="T156" s="45"/>
      <c r="U156" s="45">
        <v>38707039</v>
      </c>
      <c r="V156" s="44"/>
      <c r="W156" s="45">
        <f>43321+402087+1180000+23984004</f>
        <v>25609412</v>
      </c>
    </row>
    <row r="157" spans="1:23" s="116" customFormat="1" ht="12.75" customHeight="1">
      <c r="A157" s="44" t="s">
        <v>185</v>
      </c>
      <c r="C157" s="44" t="s">
        <v>80</v>
      </c>
      <c r="D157" s="35"/>
      <c r="E157" s="45">
        <v>1980966</v>
      </c>
      <c r="F157" s="45"/>
      <c r="G157" s="45">
        <v>5845377</v>
      </c>
      <c r="H157" s="45"/>
      <c r="I157" s="45">
        <v>0</v>
      </c>
      <c r="J157" s="45"/>
      <c r="K157" s="45">
        <v>1033828</v>
      </c>
      <c r="L157" s="45"/>
      <c r="M157" s="45">
        <v>2064703</v>
      </c>
      <c r="N157" s="45"/>
      <c r="O157" s="45">
        <v>21814</v>
      </c>
      <c r="P157" s="45"/>
      <c r="Q157" s="45">
        <f>593489+411348</f>
        <v>1004837</v>
      </c>
      <c r="R157" s="45"/>
      <c r="S157" s="44">
        <f t="shared" si="4"/>
        <v>1094118</v>
      </c>
      <c r="T157" s="45"/>
      <c r="U157" s="45">
        <v>13045643</v>
      </c>
      <c r="V157" s="44"/>
      <c r="W157" s="45">
        <f>80721+7252781</f>
        <v>7333502</v>
      </c>
    </row>
    <row r="158" spans="1:23" s="116" customFormat="1" ht="12.75" customHeight="1">
      <c r="A158" s="44" t="s">
        <v>186</v>
      </c>
      <c r="C158" s="44" t="s">
        <v>15</v>
      </c>
      <c r="D158" s="35"/>
      <c r="E158" s="45">
        <v>1686992</v>
      </c>
      <c r="F158" s="45"/>
      <c r="G158" s="45">
        <v>5611236</v>
      </c>
      <c r="H158" s="45"/>
      <c r="I158" s="45">
        <v>0</v>
      </c>
      <c r="J158" s="45"/>
      <c r="K158" s="45">
        <v>418432</v>
      </c>
      <c r="L158" s="45"/>
      <c r="M158" s="45">
        <v>2777801</v>
      </c>
      <c r="N158" s="45"/>
      <c r="O158" s="45">
        <v>0</v>
      </c>
      <c r="P158" s="45"/>
      <c r="Q158" s="45">
        <f>154156+108903</f>
        <v>263059</v>
      </c>
      <c r="R158" s="45"/>
      <c r="S158" s="44">
        <f t="shared" si="4"/>
        <v>765217</v>
      </c>
      <c r="T158" s="45"/>
      <c r="U158" s="45">
        <v>11522737</v>
      </c>
      <c r="V158" s="44"/>
      <c r="W158" s="45">
        <f>800000+1936060</f>
        <v>2736060</v>
      </c>
    </row>
    <row r="159" spans="1:23" s="118" customFormat="1" ht="12.75" customHeight="1">
      <c r="A159" s="44" t="s">
        <v>187</v>
      </c>
      <c r="C159" s="44" t="s">
        <v>27</v>
      </c>
      <c r="D159" s="35"/>
      <c r="E159" s="45">
        <v>10928075</v>
      </c>
      <c r="F159" s="45"/>
      <c r="G159" s="45">
        <v>12823445</v>
      </c>
      <c r="H159" s="45"/>
      <c r="I159" s="45">
        <v>0</v>
      </c>
      <c r="J159" s="45"/>
      <c r="K159" s="45">
        <v>2306911</v>
      </c>
      <c r="L159" s="45"/>
      <c r="M159" s="45">
        <v>6151099</v>
      </c>
      <c r="N159" s="45"/>
      <c r="O159" s="45">
        <v>75000</v>
      </c>
      <c r="P159" s="45"/>
      <c r="Q159" s="45">
        <v>1233366</v>
      </c>
      <c r="R159" s="45"/>
      <c r="S159" s="44">
        <f t="shared" si="4"/>
        <v>745722</v>
      </c>
      <c r="T159" s="45"/>
      <c r="U159" s="45">
        <v>34263618</v>
      </c>
      <c r="V159" s="44"/>
      <c r="W159" s="45">
        <f>27527+2616630+2370000</f>
        <v>5014157</v>
      </c>
    </row>
    <row r="160" spans="1:23" s="116" customFormat="1" ht="12.75" customHeight="1">
      <c r="A160" s="44" t="s">
        <v>189</v>
      </c>
      <c r="C160" s="44" t="s">
        <v>17</v>
      </c>
      <c r="D160" s="35"/>
      <c r="E160" s="45">
        <v>5436726</v>
      </c>
      <c r="F160" s="45"/>
      <c r="G160" s="45">
        <v>7831255</v>
      </c>
      <c r="H160" s="45"/>
      <c r="I160" s="45">
        <v>0</v>
      </c>
      <c r="J160" s="45"/>
      <c r="K160" s="45">
        <v>2238452</v>
      </c>
      <c r="L160" s="45"/>
      <c r="M160" s="45">
        <v>4525151</v>
      </c>
      <c r="N160" s="45"/>
      <c r="O160" s="45">
        <v>34417</v>
      </c>
      <c r="P160" s="45"/>
      <c r="Q160" s="45">
        <v>1119558</v>
      </c>
      <c r="R160" s="45"/>
      <c r="S160" s="44">
        <f t="shared" si="4"/>
        <v>1145984</v>
      </c>
      <c r="T160" s="45"/>
      <c r="U160" s="45">
        <v>22331543</v>
      </c>
      <c r="V160" s="44"/>
      <c r="W160" s="45">
        <f>7600000+50000+3905000</f>
        <v>11555000</v>
      </c>
    </row>
    <row r="161" spans="1:24" s="116" customFormat="1" ht="12.75" customHeight="1">
      <c r="A161" s="44" t="s">
        <v>188</v>
      </c>
      <c r="C161" s="44" t="s">
        <v>27</v>
      </c>
      <c r="D161" s="35"/>
      <c r="E161" s="45">
        <v>4707475</v>
      </c>
      <c r="F161" s="45"/>
      <c r="G161" s="45">
        <v>12860299</v>
      </c>
      <c r="H161" s="45"/>
      <c r="I161" s="45">
        <v>3948</v>
      </c>
      <c r="J161" s="45"/>
      <c r="K161" s="45">
        <v>1011112</v>
      </c>
      <c r="L161" s="45"/>
      <c r="M161" s="45">
        <v>4203336</v>
      </c>
      <c r="N161" s="45"/>
      <c r="O161" s="45">
        <v>161733</v>
      </c>
      <c r="P161" s="45"/>
      <c r="Q161" s="45">
        <f>688648+401750</f>
        <v>1090398</v>
      </c>
      <c r="R161" s="45"/>
      <c r="S161" s="44">
        <f t="shared" ref="S161" si="5">+U161-SUM(E161:Q161)</f>
        <v>763230</v>
      </c>
      <c r="T161" s="45"/>
      <c r="U161" s="45">
        <v>24801531</v>
      </c>
      <c r="V161" s="44"/>
      <c r="W161" s="45">
        <f>11165+373580+17796000+2679226</f>
        <v>20859971</v>
      </c>
    </row>
    <row r="162" spans="1:24" s="116" customFormat="1" ht="12.75" customHeight="1">
      <c r="A162" s="44" t="s">
        <v>190</v>
      </c>
      <c r="C162" s="44" t="s">
        <v>47</v>
      </c>
      <c r="D162" s="35"/>
      <c r="E162" s="45">
        <v>342911</v>
      </c>
      <c r="F162" s="45"/>
      <c r="G162" s="45">
        <v>4192741</v>
      </c>
      <c r="H162" s="45"/>
      <c r="I162" s="45">
        <v>48851</v>
      </c>
      <c r="J162" s="45"/>
      <c r="K162" s="45">
        <v>366060</v>
      </c>
      <c r="L162" s="45"/>
      <c r="M162" s="45">
        <v>1279354</v>
      </c>
      <c r="N162" s="45"/>
      <c r="O162" s="45">
        <v>78805</v>
      </c>
      <c r="P162" s="45"/>
      <c r="Q162" s="45">
        <v>184004</v>
      </c>
      <c r="R162" s="45"/>
      <c r="S162" s="44">
        <f t="shared" si="4"/>
        <v>359336</v>
      </c>
      <c r="T162" s="45"/>
      <c r="U162" s="45">
        <v>6852062</v>
      </c>
      <c r="V162" s="44"/>
      <c r="W162" s="45">
        <f>5210+197000</f>
        <v>202210</v>
      </c>
    </row>
    <row r="163" spans="1:24" s="116" customFormat="1" ht="12.75" customHeight="1">
      <c r="A163" s="44" t="s">
        <v>191</v>
      </c>
      <c r="C163" s="44" t="s">
        <v>13</v>
      </c>
      <c r="D163" s="35"/>
      <c r="E163" s="45">
        <v>1758595</v>
      </c>
      <c r="F163" s="45"/>
      <c r="G163" s="45">
        <v>3995958</v>
      </c>
      <c r="H163" s="45"/>
      <c r="I163" s="45">
        <v>0</v>
      </c>
      <c r="J163" s="45"/>
      <c r="K163" s="45">
        <v>819646</v>
      </c>
      <c r="L163" s="45"/>
      <c r="M163" s="45">
        <v>2543424</v>
      </c>
      <c r="N163" s="45"/>
      <c r="O163" s="45">
        <v>76111</v>
      </c>
      <c r="P163" s="45"/>
      <c r="Q163" s="45">
        <f>109155+102918</f>
        <v>212073</v>
      </c>
      <c r="R163" s="45"/>
      <c r="S163" s="44">
        <f t="shared" si="4"/>
        <v>220175</v>
      </c>
      <c r="T163" s="45"/>
      <c r="U163" s="45">
        <v>9625982</v>
      </c>
      <c r="V163" s="44"/>
      <c r="W163" s="45">
        <v>1743390</v>
      </c>
    </row>
    <row r="164" spans="1:24" s="116" customFormat="1" ht="12.75" customHeight="1">
      <c r="A164" s="44" t="s">
        <v>192</v>
      </c>
      <c r="C164" s="44" t="s">
        <v>38</v>
      </c>
      <c r="D164" s="35"/>
      <c r="E164" s="45">
        <v>1431045</v>
      </c>
      <c r="F164" s="45"/>
      <c r="G164" s="45">
        <v>5645688</v>
      </c>
      <c r="H164" s="45"/>
      <c r="I164" s="45">
        <v>0</v>
      </c>
      <c r="J164" s="45"/>
      <c r="K164" s="45">
        <v>1120954</v>
      </c>
      <c r="L164" s="45"/>
      <c r="M164" s="45">
        <v>2361981</v>
      </c>
      <c r="N164" s="45"/>
      <c r="O164" s="45">
        <v>145645</v>
      </c>
      <c r="P164" s="45"/>
      <c r="Q164" s="45">
        <f>935106+38867</f>
        <v>973973</v>
      </c>
      <c r="R164" s="45"/>
      <c r="S164" s="44">
        <f>+U164-SUM(E164:Q164)</f>
        <v>707506</v>
      </c>
      <c r="T164" s="45"/>
      <c r="U164" s="45">
        <v>12386792</v>
      </c>
      <c r="V164" s="44"/>
      <c r="W164" s="45">
        <f>14343+1213850</f>
        <v>1228193</v>
      </c>
    </row>
    <row r="165" spans="1:24" s="136" customFormat="1" ht="12.75" hidden="1" customHeight="1">
      <c r="A165" s="44" t="s">
        <v>193</v>
      </c>
      <c r="B165" s="116"/>
      <c r="C165" s="44" t="s">
        <v>45</v>
      </c>
      <c r="D165" s="3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4">
        <f t="shared" si="4"/>
        <v>0</v>
      </c>
      <c r="T165" s="45"/>
      <c r="U165" s="45"/>
      <c r="V165" s="44"/>
      <c r="W165" s="45"/>
      <c r="X165" s="138"/>
    </row>
    <row r="166" spans="1:24" s="116" customFormat="1" ht="12.75" customHeight="1">
      <c r="A166" s="44" t="s">
        <v>194</v>
      </c>
      <c r="C166" s="44" t="s">
        <v>66</v>
      </c>
      <c r="D166" s="35"/>
      <c r="E166" s="45">
        <v>1843924</v>
      </c>
      <c r="F166" s="45"/>
      <c r="G166" s="45">
        <v>5658562</v>
      </c>
      <c r="H166" s="45"/>
      <c r="I166" s="45">
        <v>0</v>
      </c>
      <c r="J166" s="45"/>
      <c r="K166" s="45">
        <v>1113930</v>
      </c>
      <c r="L166" s="45"/>
      <c r="M166" s="45">
        <v>2595940</v>
      </c>
      <c r="N166" s="45"/>
      <c r="O166" s="45">
        <v>140301</v>
      </c>
      <c r="P166" s="45"/>
      <c r="Q166" s="45">
        <v>146201</v>
      </c>
      <c r="R166" s="45"/>
      <c r="S166" s="44">
        <f t="shared" si="4"/>
        <v>1314453</v>
      </c>
      <c r="T166" s="45"/>
      <c r="U166" s="45">
        <v>12813311</v>
      </c>
      <c r="V166" s="44"/>
      <c r="W166" s="45">
        <v>2055060</v>
      </c>
    </row>
    <row r="167" spans="1:24" s="116" customFormat="1" ht="12.75" customHeight="1">
      <c r="A167" s="44" t="s">
        <v>195</v>
      </c>
      <c r="C167" s="44" t="s">
        <v>17</v>
      </c>
      <c r="D167" s="35"/>
      <c r="E167" s="45">
        <v>504153</v>
      </c>
      <c r="F167" s="45"/>
      <c r="G167" s="45">
        <v>3301857</v>
      </c>
      <c r="H167" s="45"/>
      <c r="I167" s="45">
        <v>0</v>
      </c>
      <c r="J167" s="45"/>
      <c r="K167" s="45">
        <v>85006</v>
      </c>
      <c r="L167" s="45"/>
      <c r="M167" s="45">
        <v>1432357</v>
      </c>
      <c r="N167" s="45"/>
      <c r="O167" s="45">
        <v>1274</v>
      </c>
      <c r="P167" s="45"/>
      <c r="Q167" s="45">
        <v>1007526</v>
      </c>
      <c r="R167" s="45"/>
      <c r="S167" s="44">
        <f>+U167-SUM(E167:Q167)</f>
        <v>5293601</v>
      </c>
      <c r="T167" s="45"/>
      <c r="U167" s="45">
        <v>11625774</v>
      </c>
      <c r="V167" s="44"/>
      <c r="W167" s="45">
        <f>1493+1577935</f>
        <v>1579428</v>
      </c>
    </row>
    <row r="168" spans="1:24" s="136" customFormat="1" ht="12.75" hidden="1" customHeight="1">
      <c r="A168" s="44"/>
      <c r="B168" s="116"/>
      <c r="C168" s="44"/>
      <c r="D168" s="3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4"/>
      <c r="T168" s="45"/>
      <c r="U168" s="45"/>
      <c r="V168" s="44"/>
      <c r="W168" s="45"/>
    </row>
    <row r="169" spans="1:24" s="136" customFormat="1" ht="12.75" hidden="1" customHeight="1">
      <c r="A169" s="44" t="s">
        <v>402</v>
      </c>
      <c r="B169" s="116"/>
      <c r="C169" s="44" t="s">
        <v>153</v>
      </c>
      <c r="D169" s="35"/>
      <c r="E169" s="45">
        <v>508944</v>
      </c>
      <c r="F169" s="45"/>
      <c r="G169" s="45">
        <v>3629198</v>
      </c>
      <c r="H169" s="45"/>
      <c r="I169" s="45">
        <v>0</v>
      </c>
      <c r="J169" s="45"/>
      <c r="K169" s="45">
        <v>13886</v>
      </c>
      <c r="L169" s="45"/>
      <c r="M169" s="45">
        <v>959886</v>
      </c>
      <c r="N169" s="45"/>
      <c r="O169" s="45">
        <v>6090</v>
      </c>
      <c r="P169" s="45"/>
      <c r="Q169" s="45">
        <v>617663</v>
      </c>
      <c r="R169" s="45"/>
      <c r="S169" s="44">
        <f>+U169-SUM(E169:Q169)</f>
        <v>563840</v>
      </c>
      <c r="T169" s="45"/>
      <c r="U169" s="45">
        <v>6299507</v>
      </c>
      <c r="V169" s="44"/>
      <c r="W169" s="45">
        <f>64975+26195+3666+248000</f>
        <v>342836</v>
      </c>
    </row>
    <row r="170" spans="1:24" s="117" customFormat="1" ht="12.75" customHeight="1">
      <c r="A170" s="44" t="s">
        <v>197</v>
      </c>
      <c r="B170" s="116"/>
      <c r="C170" s="44" t="s">
        <v>163</v>
      </c>
      <c r="D170" s="35"/>
      <c r="E170" s="45">
        <v>1802534</v>
      </c>
      <c r="F170" s="45"/>
      <c r="G170" s="45">
        <v>18707110</v>
      </c>
      <c r="H170" s="45"/>
      <c r="I170" s="45">
        <v>0</v>
      </c>
      <c r="J170" s="45"/>
      <c r="K170" s="45">
        <v>1992700</v>
      </c>
      <c r="L170" s="45"/>
      <c r="M170" s="45">
        <v>4088681</v>
      </c>
      <c r="N170" s="45"/>
      <c r="O170" s="45">
        <v>750765</v>
      </c>
      <c r="P170" s="45"/>
      <c r="Q170" s="45">
        <v>215028</v>
      </c>
      <c r="R170" s="45"/>
      <c r="S170" s="44">
        <f t="shared" si="4"/>
        <v>3041293</v>
      </c>
      <c r="T170" s="45"/>
      <c r="U170" s="45">
        <v>30598111</v>
      </c>
      <c r="V170" s="44"/>
      <c r="W170" s="45">
        <f>116813+93945+4867584</f>
        <v>5078342</v>
      </c>
    </row>
    <row r="171" spans="1:24" s="116" customFormat="1" ht="12.75" customHeight="1">
      <c r="A171" s="44" t="s">
        <v>198</v>
      </c>
      <c r="C171" s="44" t="s">
        <v>199</v>
      </c>
      <c r="D171" s="35"/>
      <c r="E171" s="45">
        <v>486819</v>
      </c>
      <c r="F171" s="45"/>
      <c r="G171" s="45">
        <v>3735209</v>
      </c>
      <c r="H171" s="45"/>
      <c r="I171" s="45">
        <v>881904</v>
      </c>
      <c r="J171" s="45"/>
      <c r="K171" s="45">
        <v>617368</v>
      </c>
      <c r="L171" s="45"/>
      <c r="M171" s="45">
        <v>2469813</v>
      </c>
      <c r="N171" s="45"/>
      <c r="O171" s="45">
        <v>25148</v>
      </c>
      <c r="P171" s="45"/>
      <c r="Q171" s="45">
        <v>31464</v>
      </c>
      <c r="R171" s="45"/>
      <c r="S171" s="44">
        <f t="shared" si="4"/>
        <v>576784</v>
      </c>
      <c r="T171" s="45"/>
      <c r="U171" s="45">
        <v>8824509</v>
      </c>
      <c r="V171" s="44"/>
      <c r="W171" s="45">
        <v>272848</v>
      </c>
    </row>
    <row r="172" spans="1:24" s="116" customFormat="1" ht="12.75" customHeight="1">
      <c r="A172" s="44" t="s">
        <v>200</v>
      </c>
      <c r="C172" s="44" t="s">
        <v>103</v>
      </c>
      <c r="D172" s="35"/>
      <c r="E172" s="45">
        <v>1178345</v>
      </c>
      <c r="F172" s="45"/>
      <c r="G172" s="45">
        <v>7420089</v>
      </c>
      <c r="H172" s="45"/>
      <c r="I172" s="45">
        <v>363981</v>
      </c>
      <c r="J172" s="45"/>
      <c r="K172" s="45">
        <v>1229921</v>
      </c>
      <c r="L172" s="45"/>
      <c r="M172" s="45">
        <v>2109592</v>
      </c>
      <c r="N172" s="45"/>
      <c r="O172" s="45">
        <v>10606</v>
      </c>
      <c r="P172" s="45"/>
      <c r="Q172" s="45">
        <f>376293+482885</f>
        <v>859178</v>
      </c>
      <c r="R172" s="45"/>
      <c r="S172" s="44">
        <f t="shared" si="4"/>
        <v>1029874</v>
      </c>
      <c r="T172" s="45"/>
      <c r="U172" s="45">
        <v>14201586</v>
      </c>
      <c r="V172" s="44"/>
      <c r="W172" s="45">
        <f>5181408+2000000</f>
        <v>7181408</v>
      </c>
    </row>
    <row r="173" spans="1:24" s="116" customFormat="1" ht="12.75" customHeight="1">
      <c r="A173" s="44" t="s">
        <v>201</v>
      </c>
      <c r="C173" s="44" t="s">
        <v>92</v>
      </c>
      <c r="D173" s="35"/>
      <c r="E173" s="45">
        <v>828777</v>
      </c>
      <c r="F173" s="45"/>
      <c r="G173" s="45">
        <v>8644123</v>
      </c>
      <c r="H173" s="45"/>
      <c r="I173" s="45">
        <v>8013</v>
      </c>
      <c r="J173" s="45"/>
      <c r="K173" s="45">
        <v>688803</v>
      </c>
      <c r="L173" s="45"/>
      <c r="M173" s="45">
        <v>5487773</v>
      </c>
      <c r="N173" s="45"/>
      <c r="O173" s="45">
        <v>168049</v>
      </c>
      <c r="P173" s="45"/>
      <c r="Q173" s="45">
        <v>1402202</v>
      </c>
      <c r="R173" s="45"/>
      <c r="S173" s="44">
        <f t="shared" si="4"/>
        <v>1921905</v>
      </c>
      <c r="T173" s="45"/>
      <c r="U173" s="45">
        <v>19149645</v>
      </c>
      <c r="V173" s="44"/>
      <c r="W173" s="45">
        <f>5894+123733+2366380</f>
        <v>2496007</v>
      </c>
    </row>
    <row r="174" spans="1:24" s="116" customFormat="1" ht="12.75" hidden="1" customHeight="1">
      <c r="A174" s="44" t="s">
        <v>202</v>
      </c>
      <c r="C174" s="44" t="s">
        <v>27</v>
      </c>
      <c r="D174" s="3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4">
        <f t="shared" si="4"/>
        <v>0</v>
      </c>
      <c r="T174" s="45"/>
      <c r="U174" s="45"/>
      <c r="V174" s="44"/>
      <c r="W174" s="45"/>
    </row>
    <row r="175" spans="1:24" s="116" customFormat="1" ht="12.75" customHeight="1">
      <c r="A175" s="44" t="s">
        <v>203</v>
      </c>
      <c r="C175" s="44" t="s">
        <v>27</v>
      </c>
      <c r="D175" s="35"/>
      <c r="E175" s="45">
        <v>3752719</v>
      </c>
      <c r="F175" s="45"/>
      <c r="G175" s="45">
        <v>8244900</v>
      </c>
      <c r="H175" s="45"/>
      <c r="I175" s="45">
        <v>0</v>
      </c>
      <c r="J175" s="45"/>
      <c r="K175" s="45">
        <v>1184757</v>
      </c>
      <c r="L175" s="45"/>
      <c r="M175" s="45">
        <v>2885008</v>
      </c>
      <c r="N175" s="45"/>
      <c r="O175" s="45">
        <v>83868</v>
      </c>
      <c r="P175" s="45"/>
      <c r="Q175" s="45">
        <v>802783</v>
      </c>
      <c r="R175" s="45"/>
      <c r="S175" s="44">
        <f t="shared" si="4"/>
        <v>290652</v>
      </c>
      <c r="T175" s="45"/>
      <c r="U175" s="45">
        <v>17244687</v>
      </c>
      <c r="V175" s="44"/>
      <c r="W175" s="45">
        <f>2940000+312790</f>
        <v>3252790</v>
      </c>
    </row>
    <row r="176" spans="1:24" s="116" customFormat="1" ht="12.75" customHeight="1">
      <c r="A176" s="44" t="s">
        <v>204</v>
      </c>
      <c r="C176" s="44" t="s">
        <v>125</v>
      </c>
      <c r="D176" s="35"/>
      <c r="E176" s="45">
        <v>2159252</v>
      </c>
      <c r="F176" s="45"/>
      <c r="G176" s="45">
        <v>0</v>
      </c>
      <c r="H176" s="45"/>
      <c r="I176" s="45">
        <v>0</v>
      </c>
      <c r="J176" s="45"/>
      <c r="K176" s="45">
        <v>179345</v>
      </c>
      <c r="L176" s="45"/>
      <c r="M176" s="45">
        <v>692737</v>
      </c>
      <c r="N176" s="45"/>
      <c r="O176" s="45">
        <v>0</v>
      </c>
      <c r="P176" s="45"/>
      <c r="Q176" s="45">
        <f>237392+115769</f>
        <v>353161</v>
      </c>
      <c r="R176" s="45"/>
      <c r="S176" s="44">
        <f t="shared" si="4"/>
        <v>1377018</v>
      </c>
      <c r="T176" s="45"/>
      <c r="U176" s="45">
        <v>4761513</v>
      </c>
      <c r="V176" s="44"/>
      <c r="W176" s="45">
        <f>48972+461948</f>
        <v>510920</v>
      </c>
    </row>
    <row r="177" spans="1:23" s="116" customFormat="1" ht="12.75" customHeight="1">
      <c r="A177" s="46" t="s">
        <v>205</v>
      </c>
      <c r="B177" s="117"/>
      <c r="C177" s="46" t="s">
        <v>27</v>
      </c>
      <c r="D177" s="64"/>
      <c r="E177" s="45">
        <v>3173381</v>
      </c>
      <c r="F177" s="45"/>
      <c r="G177" s="45">
        <v>4211006</v>
      </c>
      <c r="H177" s="45"/>
      <c r="I177" s="45">
        <f>221357+373353</f>
        <v>594710</v>
      </c>
      <c r="J177" s="45"/>
      <c r="K177" s="45">
        <v>314587</v>
      </c>
      <c r="L177" s="45"/>
      <c r="M177" s="45">
        <v>890910</v>
      </c>
      <c r="N177" s="45"/>
      <c r="O177" s="45">
        <v>603056</v>
      </c>
      <c r="P177" s="45"/>
      <c r="Q177" s="45">
        <f>55951+70934</f>
        <v>126885</v>
      </c>
      <c r="R177" s="45"/>
      <c r="S177" s="44">
        <f t="shared" si="4"/>
        <v>2472524</v>
      </c>
      <c r="T177" s="45"/>
      <c r="U177" s="45">
        <v>12387059</v>
      </c>
      <c r="V177" s="44"/>
      <c r="W177" s="45">
        <f>1260000+1282450</f>
        <v>2542450</v>
      </c>
    </row>
    <row r="178" spans="1:23" s="116" customFormat="1" ht="12.75" customHeight="1">
      <c r="A178" s="44" t="s">
        <v>206</v>
      </c>
      <c r="C178" s="44" t="s">
        <v>47</v>
      </c>
      <c r="D178" s="35"/>
      <c r="E178" s="45">
        <v>3092759</v>
      </c>
      <c r="F178" s="45"/>
      <c r="G178" s="45">
        <v>15514499</v>
      </c>
      <c r="H178" s="45"/>
      <c r="I178" s="45">
        <v>0</v>
      </c>
      <c r="J178" s="45"/>
      <c r="K178" s="45">
        <v>796670</v>
      </c>
      <c r="L178" s="45"/>
      <c r="M178" s="45">
        <v>3679406</v>
      </c>
      <c r="N178" s="45"/>
      <c r="O178" s="45">
        <v>253769</v>
      </c>
      <c r="P178" s="45"/>
      <c r="Q178" s="45">
        <v>821787</v>
      </c>
      <c r="R178" s="45"/>
      <c r="S178" s="44">
        <f t="shared" si="4"/>
        <v>975794</v>
      </c>
      <c r="T178" s="45"/>
      <c r="U178" s="45">
        <v>25134684</v>
      </c>
      <c r="V178" s="44"/>
      <c r="W178" s="45">
        <v>6755000</v>
      </c>
    </row>
    <row r="179" spans="1:23" s="116" customFormat="1" ht="12.75" customHeight="1">
      <c r="A179" s="44" t="s">
        <v>207</v>
      </c>
      <c r="C179" s="44" t="s">
        <v>102</v>
      </c>
      <c r="D179" s="35"/>
      <c r="E179" s="45">
        <v>2239984</v>
      </c>
      <c r="F179" s="45"/>
      <c r="G179" s="45">
        <v>4604900</v>
      </c>
      <c r="H179" s="45"/>
      <c r="I179" s="45">
        <f>116672+499189</f>
        <v>615861</v>
      </c>
      <c r="J179" s="45"/>
      <c r="K179" s="45">
        <v>399134</v>
      </c>
      <c r="L179" s="45"/>
      <c r="M179" s="45">
        <v>9999439</v>
      </c>
      <c r="N179" s="45"/>
      <c r="O179" s="45">
        <v>0</v>
      </c>
      <c r="P179" s="45"/>
      <c r="Q179" s="45">
        <f>187372+485964+129921</f>
        <v>803257</v>
      </c>
      <c r="R179" s="45"/>
      <c r="S179" s="44">
        <f t="shared" si="4"/>
        <v>1091850</v>
      </c>
      <c r="T179" s="45"/>
      <c r="U179" s="45">
        <v>19754425</v>
      </c>
      <c r="V179" s="44"/>
      <c r="W179" s="45">
        <f>655000+3475000+1855822+3895862</f>
        <v>9881684</v>
      </c>
    </row>
    <row r="180" spans="1:23" s="116" customFormat="1" ht="12.75" customHeight="1">
      <c r="A180" s="44" t="s">
        <v>208</v>
      </c>
      <c r="C180" s="44" t="s">
        <v>209</v>
      </c>
      <c r="D180" s="35"/>
      <c r="E180" s="45">
        <v>1452709</v>
      </c>
      <c r="F180" s="45"/>
      <c r="G180" s="45">
        <v>10267939</v>
      </c>
      <c r="H180" s="45"/>
      <c r="I180" s="45">
        <v>1259107</v>
      </c>
      <c r="J180" s="45"/>
      <c r="K180" s="45">
        <v>0</v>
      </c>
      <c r="L180" s="45"/>
      <c r="M180" s="45">
        <f>765164+1766624+3199733</f>
        <v>5731521</v>
      </c>
      <c r="N180" s="45"/>
      <c r="O180" s="45">
        <v>0</v>
      </c>
      <c r="P180" s="45"/>
      <c r="Q180" s="45">
        <v>949578</v>
      </c>
      <c r="R180" s="45"/>
      <c r="S180" s="44">
        <f t="shared" si="4"/>
        <v>1383077</v>
      </c>
      <c r="T180" s="45"/>
      <c r="U180" s="45">
        <v>21043931</v>
      </c>
      <c r="V180" s="44"/>
      <c r="W180" s="45">
        <f>486977+1852+1051982</f>
        <v>1540811</v>
      </c>
    </row>
    <row r="181" spans="1:23" s="117" customFormat="1" ht="12.75" customHeight="1">
      <c r="A181" s="44" t="s">
        <v>210</v>
      </c>
      <c r="B181" s="116"/>
      <c r="C181" s="44" t="s">
        <v>211</v>
      </c>
      <c r="D181" s="35"/>
      <c r="E181" s="45">
        <v>776610</v>
      </c>
      <c r="F181" s="45"/>
      <c r="G181" s="45">
        <v>2098998</v>
      </c>
      <c r="H181" s="45"/>
      <c r="I181" s="45">
        <f>247829+7499</f>
        <v>255328</v>
      </c>
      <c r="J181" s="45"/>
      <c r="K181" s="45">
        <v>368254</v>
      </c>
      <c r="L181" s="45"/>
      <c r="M181" s="45">
        <v>1717267</v>
      </c>
      <c r="N181" s="45"/>
      <c r="O181" s="45">
        <v>17840</v>
      </c>
      <c r="P181" s="45"/>
      <c r="Q181" s="45">
        <f>4152+11980</f>
        <v>16132</v>
      </c>
      <c r="R181" s="45"/>
      <c r="S181" s="44">
        <f t="shared" si="4"/>
        <v>249996</v>
      </c>
      <c r="T181" s="45"/>
      <c r="U181" s="45">
        <v>5500425</v>
      </c>
      <c r="V181" s="44"/>
      <c r="W181" s="45">
        <f>180000+1118221</f>
        <v>1298221</v>
      </c>
    </row>
    <row r="182" spans="1:23" s="116" customFormat="1" ht="12.75" customHeight="1">
      <c r="A182" s="44" t="s">
        <v>212</v>
      </c>
      <c r="C182" s="44" t="s">
        <v>213</v>
      </c>
      <c r="D182" s="35"/>
      <c r="E182" s="45">
        <v>9100353</v>
      </c>
      <c r="F182" s="45"/>
      <c r="G182" s="45">
        <v>0</v>
      </c>
      <c r="H182" s="45"/>
      <c r="I182" s="45">
        <v>0</v>
      </c>
      <c r="J182" s="45"/>
      <c r="K182" s="45">
        <v>565075</v>
      </c>
      <c r="L182" s="45"/>
      <c r="M182" s="45">
        <v>5421898</v>
      </c>
      <c r="N182" s="45"/>
      <c r="O182" s="45">
        <v>0</v>
      </c>
      <c r="P182" s="45"/>
      <c r="Q182" s="45">
        <f>1180816+232738</f>
        <v>1413554</v>
      </c>
      <c r="R182" s="45"/>
      <c r="S182" s="44">
        <f t="shared" si="4"/>
        <v>610800</v>
      </c>
      <c r="T182" s="45"/>
      <c r="U182" s="45">
        <v>17111680</v>
      </c>
      <c r="V182" s="44"/>
      <c r="W182" s="45">
        <v>20000</v>
      </c>
    </row>
    <row r="183" spans="1:23" s="118" customFormat="1" ht="12.75" customHeight="1">
      <c r="A183" s="44" t="s">
        <v>214</v>
      </c>
      <c r="B183" s="116"/>
      <c r="C183" s="44" t="s">
        <v>86</v>
      </c>
      <c r="D183" s="35"/>
      <c r="E183" s="45">
        <v>1520375</v>
      </c>
      <c r="F183" s="45"/>
      <c r="G183" s="45">
        <v>4010188</v>
      </c>
      <c r="H183" s="45"/>
      <c r="I183" s="45">
        <v>803000</v>
      </c>
      <c r="J183" s="45"/>
      <c r="K183" s="45">
        <v>133538</v>
      </c>
      <c r="L183" s="45"/>
      <c r="M183" s="45">
        <f>124869+1002931</f>
        <v>1127800</v>
      </c>
      <c r="N183" s="45"/>
      <c r="O183" s="45">
        <v>0</v>
      </c>
      <c r="P183" s="45"/>
      <c r="Q183" s="45">
        <v>15749</v>
      </c>
      <c r="R183" s="45"/>
      <c r="S183" s="44">
        <f t="shared" si="4"/>
        <v>2068511</v>
      </c>
      <c r="T183" s="45"/>
      <c r="U183" s="45">
        <v>9679161</v>
      </c>
      <c r="V183" s="44"/>
      <c r="W183" s="45">
        <f>122796+6900000+714245</f>
        <v>7737041</v>
      </c>
    </row>
    <row r="184" spans="1:23" s="116" customFormat="1" ht="12.75" customHeight="1">
      <c r="A184" s="44" t="s">
        <v>215</v>
      </c>
      <c r="C184" s="44" t="s">
        <v>22</v>
      </c>
      <c r="D184" s="35"/>
      <c r="E184" s="45">
        <v>663443</v>
      </c>
      <c r="F184" s="45"/>
      <c r="G184" s="45">
        <v>7286092</v>
      </c>
      <c r="H184" s="45"/>
      <c r="I184" s="45">
        <v>0</v>
      </c>
      <c r="J184" s="45"/>
      <c r="K184" s="45">
        <v>1116704</v>
      </c>
      <c r="L184" s="45"/>
      <c r="M184" s="45">
        <v>2729021</v>
      </c>
      <c r="N184" s="45"/>
      <c r="O184" s="45">
        <v>39080</v>
      </c>
      <c r="P184" s="45"/>
      <c r="Q184" s="45">
        <f>452592+59685</f>
        <v>512277</v>
      </c>
      <c r="R184" s="45"/>
      <c r="S184" s="44">
        <f>+U184-SUM(E184:Q184)</f>
        <v>410646</v>
      </c>
      <c r="T184" s="45"/>
      <c r="U184" s="45">
        <v>12757263</v>
      </c>
      <c r="V184" s="44"/>
      <c r="W184" s="45">
        <f>20600+129875+255967</f>
        <v>406442</v>
      </c>
    </row>
    <row r="185" spans="1:23" s="116" customFormat="1" ht="12.75" customHeight="1">
      <c r="A185" s="44" t="s">
        <v>216</v>
      </c>
      <c r="C185" s="44" t="s">
        <v>45</v>
      </c>
      <c r="D185" s="35"/>
      <c r="E185" s="45">
        <v>7029842</v>
      </c>
      <c r="F185" s="45"/>
      <c r="G185" s="45">
        <v>0</v>
      </c>
      <c r="H185" s="45"/>
      <c r="I185" s="45">
        <v>0</v>
      </c>
      <c r="J185" s="45"/>
      <c r="K185" s="45">
        <v>1073548</v>
      </c>
      <c r="L185" s="45"/>
      <c r="M185" s="45">
        <v>1948507</v>
      </c>
      <c r="N185" s="45"/>
      <c r="O185" s="45">
        <v>1000</v>
      </c>
      <c r="P185" s="45"/>
      <c r="Q185" s="45">
        <v>270908</v>
      </c>
      <c r="R185" s="45"/>
      <c r="S185" s="44">
        <f t="shared" si="4"/>
        <v>117817</v>
      </c>
      <c r="T185" s="45"/>
      <c r="U185" s="45">
        <v>10441622</v>
      </c>
      <c r="V185" s="44"/>
      <c r="W185" s="45">
        <f>77111+4006+806448</f>
        <v>887565</v>
      </c>
    </row>
    <row r="186" spans="1:23" s="116" customFormat="1" ht="12.75" customHeight="1">
      <c r="A186" s="44" t="s">
        <v>217</v>
      </c>
      <c r="C186" s="44" t="s">
        <v>43</v>
      </c>
      <c r="D186" s="35"/>
      <c r="E186" s="45">
        <v>12638888</v>
      </c>
      <c r="F186" s="45"/>
      <c r="G186" s="45">
        <v>0</v>
      </c>
      <c r="H186" s="45"/>
      <c r="I186" s="45">
        <v>0</v>
      </c>
      <c r="J186" s="45"/>
      <c r="K186" s="45">
        <v>263420</v>
      </c>
      <c r="L186" s="45"/>
      <c r="M186" s="45">
        <v>4097222</v>
      </c>
      <c r="N186" s="45"/>
      <c r="O186" s="45">
        <v>80809</v>
      </c>
      <c r="P186" s="45"/>
      <c r="Q186" s="45">
        <v>795520</v>
      </c>
      <c r="R186" s="45"/>
      <c r="S186" s="44">
        <f t="shared" si="4"/>
        <v>1540679</v>
      </c>
      <c r="T186" s="45"/>
      <c r="U186" s="45">
        <v>19416538</v>
      </c>
      <c r="V186" s="44"/>
      <c r="W186" s="45">
        <v>1450000</v>
      </c>
    </row>
    <row r="187" spans="1:23" s="116" customFormat="1" ht="12.75" hidden="1" customHeight="1">
      <c r="A187" s="44" t="s">
        <v>218</v>
      </c>
      <c r="B187" s="118"/>
      <c r="C187" s="44" t="s">
        <v>27</v>
      </c>
      <c r="D187" s="3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4">
        <f t="shared" si="4"/>
        <v>0</v>
      </c>
      <c r="T187" s="45"/>
      <c r="U187" s="45"/>
      <c r="V187" s="44"/>
      <c r="W187" s="45"/>
    </row>
    <row r="188" spans="1:23" s="116" customFormat="1" ht="12.75" customHeight="1">
      <c r="A188" s="44" t="s">
        <v>219</v>
      </c>
      <c r="C188" s="44" t="s">
        <v>199</v>
      </c>
      <c r="D188" s="35"/>
      <c r="E188" s="45">
        <v>665696</v>
      </c>
      <c r="F188" s="45"/>
      <c r="G188" s="45">
        <v>1003846</v>
      </c>
      <c r="H188" s="45"/>
      <c r="I188" s="45">
        <v>655210</v>
      </c>
      <c r="J188" s="45"/>
      <c r="K188" s="45">
        <v>1094067</v>
      </c>
      <c r="L188" s="45"/>
      <c r="M188" s="45">
        <v>1091090</v>
      </c>
      <c r="N188" s="45"/>
      <c r="O188" s="45">
        <v>17531</v>
      </c>
      <c r="P188" s="45"/>
      <c r="Q188" s="45">
        <v>90073</v>
      </c>
      <c r="R188" s="45"/>
      <c r="S188" s="44">
        <f t="shared" si="4"/>
        <v>127703</v>
      </c>
      <c r="T188" s="45"/>
      <c r="U188" s="45">
        <v>4745216</v>
      </c>
      <c r="V188" s="44"/>
      <c r="W188" s="45">
        <f>55891+305323</f>
        <v>361214</v>
      </c>
    </row>
    <row r="189" spans="1:23" s="116" customFormat="1" ht="12.75" customHeight="1">
      <c r="A189" s="44" t="s">
        <v>220</v>
      </c>
      <c r="C189" s="44" t="s">
        <v>66</v>
      </c>
      <c r="D189" s="35"/>
      <c r="E189" s="45">
        <v>2225714</v>
      </c>
      <c r="F189" s="45"/>
      <c r="G189" s="45">
        <v>4324535</v>
      </c>
      <c r="H189" s="45"/>
      <c r="I189" s="45">
        <v>215833</v>
      </c>
      <c r="J189" s="45"/>
      <c r="K189" s="45">
        <v>1709608</v>
      </c>
      <c r="L189" s="45"/>
      <c r="M189" s="45">
        <v>2745317</v>
      </c>
      <c r="N189" s="45"/>
      <c r="O189" s="45">
        <v>244965</v>
      </c>
      <c r="P189" s="45"/>
      <c r="Q189" s="45">
        <f>34074+51813</f>
        <v>85887</v>
      </c>
      <c r="R189" s="45"/>
      <c r="S189" s="44">
        <f t="shared" si="4"/>
        <v>476058</v>
      </c>
      <c r="T189" s="45"/>
      <c r="U189" s="45">
        <v>12027917</v>
      </c>
      <c r="V189" s="44"/>
      <c r="W189" s="45">
        <v>3823245</v>
      </c>
    </row>
    <row r="190" spans="1:23" s="116" customFormat="1" ht="12.75" customHeight="1">
      <c r="A190" s="44" t="s">
        <v>221</v>
      </c>
      <c r="C190" s="44" t="s">
        <v>27</v>
      </c>
      <c r="D190" s="35"/>
      <c r="E190" s="45">
        <v>6947816</v>
      </c>
      <c r="F190" s="45"/>
      <c r="G190" s="45">
        <v>8506159</v>
      </c>
      <c r="H190" s="45"/>
      <c r="I190" s="45">
        <v>244218</v>
      </c>
      <c r="J190" s="45"/>
      <c r="K190" s="45">
        <v>3188107</v>
      </c>
      <c r="L190" s="45"/>
      <c r="M190" s="45">
        <v>5900572</v>
      </c>
      <c r="N190" s="45"/>
      <c r="O190" s="45">
        <v>67171</v>
      </c>
      <c r="P190" s="45"/>
      <c r="Q190" s="45">
        <v>3348071</v>
      </c>
      <c r="R190" s="45"/>
      <c r="S190" s="44">
        <f t="shared" si="4"/>
        <v>1091337</v>
      </c>
      <c r="T190" s="45"/>
      <c r="U190" s="45">
        <v>29293451</v>
      </c>
      <c r="V190" s="44"/>
      <c r="W190" s="45">
        <f>29730+7650000</f>
        <v>7679730</v>
      </c>
    </row>
    <row r="191" spans="1:23" s="116" customFormat="1" ht="12.75" customHeight="1">
      <c r="A191" s="44" t="s">
        <v>222</v>
      </c>
      <c r="C191" s="44" t="s">
        <v>47</v>
      </c>
      <c r="D191" s="35"/>
      <c r="E191" s="45">
        <v>1497552</v>
      </c>
      <c r="F191" s="45"/>
      <c r="G191" s="45">
        <v>2933309</v>
      </c>
      <c r="H191" s="45"/>
      <c r="I191" s="45">
        <v>177724</v>
      </c>
      <c r="J191" s="45"/>
      <c r="K191" s="45">
        <v>255452</v>
      </c>
      <c r="L191" s="45"/>
      <c r="M191" s="45">
        <v>1520917</v>
      </c>
      <c r="N191" s="45"/>
      <c r="O191" s="45">
        <v>584693</v>
      </c>
      <c r="P191" s="45"/>
      <c r="Q191" s="45">
        <v>36120</v>
      </c>
      <c r="R191" s="45"/>
      <c r="S191" s="44">
        <f t="shared" si="4"/>
        <v>304972</v>
      </c>
      <c r="T191" s="45"/>
      <c r="U191" s="45">
        <v>7310739</v>
      </c>
      <c r="V191" s="44"/>
      <c r="W191" s="45">
        <v>831448</v>
      </c>
    </row>
    <row r="192" spans="1:23" s="116" customFormat="1" ht="12.75" customHeight="1">
      <c r="A192" s="44" t="s">
        <v>223</v>
      </c>
      <c r="C192" s="44" t="s">
        <v>94</v>
      </c>
      <c r="D192" s="35"/>
      <c r="E192" s="45">
        <v>5279645</v>
      </c>
      <c r="F192" s="45"/>
      <c r="G192" s="45">
        <v>0</v>
      </c>
      <c r="H192" s="45"/>
      <c r="I192" s="45">
        <v>0</v>
      </c>
      <c r="J192" s="45"/>
      <c r="K192" s="45">
        <v>82037</v>
      </c>
      <c r="L192" s="45"/>
      <c r="M192" s="45">
        <v>1444788</v>
      </c>
      <c r="N192" s="45"/>
      <c r="O192" s="45">
        <v>19363</v>
      </c>
      <c r="P192" s="45"/>
      <c r="Q192" s="45">
        <v>143299</v>
      </c>
      <c r="R192" s="45"/>
      <c r="S192" s="44">
        <f t="shared" si="4"/>
        <v>812747</v>
      </c>
      <c r="T192" s="45"/>
      <c r="U192" s="45">
        <v>7781879</v>
      </c>
      <c r="V192" s="44"/>
      <c r="W192" s="45">
        <f>45145+4540672</f>
        <v>4585817</v>
      </c>
    </row>
    <row r="193" spans="1:23" s="116" customFormat="1" ht="12.75" customHeight="1">
      <c r="A193" s="44" t="s">
        <v>76</v>
      </c>
      <c r="C193" s="44" t="s">
        <v>132</v>
      </c>
      <c r="D193" s="35"/>
      <c r="E193" s="45">
        <v>2408140</v>
      </c>
      <c r="F193" s="45"/>
      <c r="G193" s="45">
        <v>7633758</v>
      </c>
      <c r="H193" s="45"/>
      <c r="I193" s="45">
        <f>61710+4192054</f>
        <v>4253764</v>
      </c>
      <c r="J193" s="45"/>
      <c r="K193" s="45">
        <v>1734744</v>
      </c>
      <c r="L193" s="45"/>
      <c r="M193" s="45">
        <v>5484268</v>
      </c>
      <c r="N193" s="45"/>
      <c r="O193" s="45">
        <v>716482</v>
      </c>
      <c r="P193" s="45"/>
      <c r="Q193" s="45">
        <f>818094+1216730</f>
        <v>2034824</v>
      </c>
      <c r="R193" s="45"/>
      <c r="S193" s="44">
        <f t="shared" si="4"/>
        <v>2367471</v>
      </c>
      <c r="T193" s="45"/>
      <c r="U193" s="45">
        <v>26633451</v>
      </c>
      <c r="V193" s="44"/>
      <c r="W193" s="45">
        <f>2625000+111537+900+5259992</f>
        <v>7997429</v>
      </c>
    </row>
    <row r="194" spans="1:23" s="116" customFormat="1" ht="12.75" customHeight="1">
      <c r="A194" s="44" t="s">
        <v>224</v>
      </c>
      <c r="C194" s="44" t="s">
        <v>27</v>
      </c>
      <c r="D194" s="35"/>
      <c r="E194" s="45">
        <v>7780171</v>
      </c>
      <c r="F194" s="45"/>
      <c r="G194" s="45">
        <v>0</v>
      </c>
      <c r="H194" s="45"/>
      <c r="I194" s="45">
        <v>0</v>
      </c>
      <c r="J194" s="45"/>
      <c r="K194" s="45">
        <v>935073</v>
      </c>
      <c r="L194" s="45"/>
      <c r="M194" s="45">
        <v>3066414</v>
      </c>
      <c r="N194" s="45"/>
      <c r="O194" s="45">
        <v>103893</v>
      </c>
      <c r="P194" s="45"/>
      <c r="Q194" s="45">
        <v>396053</v>
      </c>
      <c r="R194" s="45"/>
      <c r="S194" s="44">
        <f t="shared" si="4"/>
        <v>335900</v>
      </c>
      <c r="T194" s="45"/>
      <c r="U194" s="45">
        <v>12617504</v>
      </c>
      <c r="V194" s="44"/>
      <c r="W194" s="45">
        <f>94779+9385000+138420+1212007</f>
        <v>10830206</v>
      </c>
    </row>
    <row r="195" spans="1:23" s="116" customFormat="1" ht="12.75" customHeight="1">
      <c r="A195" s="44" t="s">
        <v>471</v>
      </c>
      <c r="C195" s="44"/>
      <c r="D195" s="3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4"/>
      <c r="T195" s="45"/>
      <c r="U195" s="45"/>
      <c r="V195" s="44"/>
      <c r="W195" s="48" t="s">
        <v>484</v>
      </c>
    </row>
    <row r="196" spans="1:23" s="116" customFormat="1" ht="12.75" customHeight="1">
      <c r="A196" s="44" t="s">
        <v>225</v>
      </c>
      <c r="C196" s="44" t="s">
        <v>27</v>
      </c>
      <c r="D196" s="35"/>
      <c r="E196" s="94">
        <v>8256559</v>
      </c>
      <c r="F196" s="94"/>
      <c r="G196" s="94">
        <v>20840303</v>
      </c>
      <c r="H196" s="94"/>
      <c r="I196" s="94">
        <v>55599</v>
      </c>
      <c r="J196" s="94"/>
      <c r="K196" s="94">
        <v>6591980</v>
      </c>
      <c r="L196" s="94"/>
      <c r="M196" s="94">
        <v>14936366</v>
      </c>
      <c r="N196" s="94"/>
      <c r="O196" s="94">
        <v>1767705</v>
      </c>
      <c r="P196" s="94"/>
      <c r="Q196" s="94">
        <f>764096+995703</f>
        <v>1759799</v>
      </c>
      <c r="R196" s="94"/>
      <c r="S196" s="46">
        <f>+U196-SUM(E196:Q196)</f>
        <v>1075982</v>
      </c>
      <c r="T196" s="94"/>
      <c r="U196" s="94">
        <v>55284293</v>
      </c>
      <c r="V196" s="46"/>
      <c r="W196" s="94">
        <f>8660000+3993546+3000</f>
        <v>12656546</v>
      </c>
    </row>
    <row r="197" spans="1:23" s="116" customFormat="1" ht="12.75" customHeight="1">
      <c r="A197" s="44" t="s">
        <v>226</v>
      </c>
      <c r="C197" s="44" t="s">
        <v>45</v>
      </c>
      <c r="D197" s="64"/>
      <c r="E197" s="45">
        <v>19212545</v>
      </c>
      <c r="F197" s="45"/>
      <c r="G197" s="45">
        <v>0</v>
      </c>
      <c r="H197" s="45"/>
      <c r="I197" s="45">
        <v>699857</v>
      </c>
      <c r="J197" s="45"/>
      <c r="K197" s="45">
        <v>934189</v>
      </c>
      <c r="L197" s="45"/>
      <c r="M197" s="45">
        <v>4470345</v>
      </c>
      <c r="N197" s="45"/>
      <c r="O197" s="45">
        <v>137004</v>
      </c>
      <c r="P197" s="45"/>
      <c r="Q197" s="45">
        <v>934189</v>
      </c>
      <c r="R197" s="45"/>
      <c r="S197" s="44">
        <f>+U197-SUM(E197:Q197)</f>
        <v>629270</v>
      </c>
      <c r="T197" s="45"/>
      <c r="U197" s="45">
        <v>27017399</v>
      </c>
      <c r="V197" s="44"/>
      <c r="W197" s="45">
        <f>19638+33161+499000+4966559</f>
        <v>5518358</v>
      </c>
    </row>
    <row r="198" spans="1:23" s="117" customFormat="1" ht="12.75" customHeight="1">
      <c r="A198" s="46" t="s">
        <v>227</v>
      </c>
      <c r="C198" s="46" t="s">
        <v>17</v>
      </c>
      <c r="D198" s="64"/>
      <c r="E198" s="45">
        <v>1457621</v>
      </c>
      <c r="F198" s="45"/>
      <c r="G198" s="45">
        <v>2004462</v>
      </c>
      <c r="H198" s="45"/>
      <c r="I198" s="45">
        <v>0</v>
      </c>
      <c r="J198" s="45"/>
      <c r="K198" s="45">
        <v>964071</v>
      </c>
      <c r="L198" s="45"/>
      <c r="M198" s="45">
        <v>2582610</v>
      </c>
      <c r="N198" s="45"/>
      <c r="O198" s="45">
        <v>11635</v>
      </c>
      <c r="P198" s="45"/>
      <c r="Q198" s="45">
        <v>191488</v>
      </c>
      <c r="R198" s="45"/>
      <c r="S198" s="44">
        <f t="shared" si="4"/>
        <v>1078577</v>
      </c>
      <c r="T198" s="45"/>
      <c r="U198" s="45">
        <v>8290464</v>
      </c>
      <c r="V198" s="44"/>
      <c r="W198" s="45">
        <f>275827+542000</f>
        <v>817827</v>
      </c>
    </row>
    <row r="199" spans="1:23" s="116" customFormat="1" ht="12.75" customHeight="1">
      <c r="A199" s="44" t="s">
        <v>228</v>
      </c>
      <c r="C199" s="44" t="s">
        <v>153</v>
      </c>
      <c r="D199" s="35"/>
      <c r="E199" s="45">
        <v>1192303</v>
      </c>
      <c r="F199" s="45"/>
      <c r="G199" s="45">
        <v>2557354</v>
      </c>
      <c r="H199" s="45"/>
      <c r="I199" s="45">
        <v>0</v>
      </c>
      <c r="J199" s="45"/>
      <c r="K199" s="45">
        <v>472503</v>
      </c>
      <c r="L199" s="45"/>
      <c r="M199" s="45">
        <v>2715605</v>
      </c>
      <c r="N199" s="45"/>
      <c r="O199" s="45">
        <v>52021</v>
      </c>
      <c r="P199" s="45"/>
      <c r="Q199" s="45">
        <v>259375</v>
      </c>
      <c r="R199" s="45"/>
      <c r="S199" s="44">
        <f t="shared" si="4"/>
        <v>342254</v>
      </c>
      <c r="T199" s="45"/>
      <c r="U199" s="45">
        <v>7591415</v>
      </c>
      <c r="V199" s="44"/>
      <c r="W199" s="45">
        <f>411472+2186+324425+288453</f>
        <v>1026536</v>
      </c>
    </row>
    <row r="200" spans="1:23" s="116" customFormat="1" ht="12.75" customHeight="1">
      <c r="A200" s="44" t="s">
        <v>229</v>
      </c>
      <c r="C200" s="44" t="s">
        <v>228</v>
      </c>
      <c r="D200" s="35"/>
      <c r="E200" s="45">
        <v>14338595</v>
      </c>
      <c r="F200" s="45"/>
      <c r="G200" s="45">
        <v>0</v>
      </c>
      <c r="H200" s="45"/>
      <c r="I200" s="45">
        <v>0</v>
      </c>
      <c r="J200" s="45"/>
      <c r="K200" s="45">
        <v>1671362</v>
      </c>
      <c r="L200" s="45"/>
      <c r="M200" s="45">
        <v>3885983</v>
      </c>
      <c r="N200" s="45"/>
      <c r="O200" s="45">
        <v>245045</v>
      </c>
      <c r="P200" s="45"/>
      <c r="Q200" s="45">
        <v>132500</v>
      </c>
      <c r="R200" s="45"/>
      <c r="S200" s="44">
        <f t="shared" si="4"/>
        <v>1919839</v>
      </c>
      <c r="T200" s="45"/>
      <c r="U200" s="45">
        <v>22193324</v>
      </c>
      <c r="V200" s="44"/>
      <c r="W200" s="45">
        <f>13571638+26392</f>
        <v>13598030</v>
      </c>
    </row>
    <row r="201" spans="1:23" s="116" customFormat="1" ht="12.75" customHeight="1">
      <c r="A201" s="46" t="s">
        <v>230</v>
      </c>
      <c r="B201" s="117"/>
      <c r="C201" s="46" t="s">
        <v>45</v>
      </c>
      <c r="D201" s="35"/>
      <c r="E201" s="45">
        <v>635668</v>
      </c>
      <c r="F201" s="45"/>
      <c r="G201" s="45">
        <v>1556953</v>
      </c>
      <c r="H201" s="45"/>
      <c r="I201" s="45">
        <v>0</v>
      </c>
      <c r="J201" s="45"/>
      <c r="K201" s="45">
        <v>217036</v>
      </c>
      <c r="L201" s="45"/>
      <c r="M201" s="45">
        <v>577330</v>
      </c>
      <c r="N201" s="45"/>
      <c r="O201" s="45">
        <v>0</v>
      </c>
      <c r="P201" s="45"/>
      <c r="Q201" s="45">
        <v>78149</v>
      </c>
      <c r="R201" s="45"/>
      <c r="S201" s="44">
        <f t="shared" si="4"/>
        <v>152314</v>
      </c>
      <c r="T201" s="45"/>
      <c r="U201" s="45">
        <v>3217450</v>
      </c>
      <c r="V201" s="44"/>
      <c r="W201" s="45">
        <f>854002+27720+162106</f>
        <v>1043828</v>
      </c>
    </row>
    <row r="202" spans="1:23" s="116" customFormat="1" ht="12.75" customHeight="1">
      <c r="A202" s="44" t="s">
        <v>231</v>
      </c>
      <c r="C202" s="44" t="s">
        <v>27</v>
      </c>
      <c r="D202" s="35"/>
      <c r="E202" s="45">
        <v>4850270</v>
      </c>
      <c r="F202" s="45"/>
      <c r="G202" s="45">
        <v>37875299</v>
      </c>
      <c r="H202" s="45"/>
      <c r="I202" s="45">
        <v>0</v>
      </c>
      <c r="J202" s="45"/>
      <c r="K202" s="45">
        <v>3758436</v>
      </c>
      <c r="L202" s="45"/>
      <c r="M202" s="45">
        <v>3996592</v>
      </c>
      <c r="N202" s="45"/>
      <c r="O202" s="45">
        <v>1121553</v>
      </c>
      <c r="P202" s="45"/>
      <c r="Q202" s="45">
        <f>856198+401852</f>
        <v>1258050</v>
      </c>
      <c r="R202" s="45"/>
      <c r="S202" s="44">
        <f t="shared" si="4"/>
        <v>3538311</v>
      </c>
      <c r="T202" s="45"/>
      <c r="U202" s="45">
        <v>56398511</v>
      </c>
      <c r="V202" s="44"/>
      <c r="W202" s="45">
        <f>14175+8343130+2518150</f>
        <v>10875455</v>
      </c>
    </row>
    <row r="203" spans="1:23" s="116" customFormat="1" ht="12.75" customHeight="1">
      <c r="A203" s="44" t="s">
        <v>232</v>
      </c>
      <c r="C203" s="44" t="s">
        <v>27</v>
      </c>
      <c r="D203" s="35"/>
      <c r="E203" s="45">
        <v>5453873</v>
      </c>
      <c r="F203" s="45"/>
      <c r="G203" s="45">
        <v>8463897</v>
      </c>
      <c r="H203" s="45"/>
      <c r="I203" s="45">
        <v>0</v>
      </c>
      <c r="J203" s="45"/>
      <c r="K203" s="45">
        <v>996316</v>
      </c>
      <c r="L203" s="45"/>
      <c r="M203" s="45">
        <v>3444675</v>
      </c>
      <c r="N203" s="45"/>
      <c r="O203" s="45">
        <v>2725157</v>
      </c>
      <c r="P203" s="45"/>
      <c r="Q203" s="45">
        <f>451096+643670</f>
        <v>1094766</v>
      </c>
      <c r="R203" s="45"/>
      <c r="S203" s="44">
        <f t="shared" si="4"/>
        <v>1070482</v>
      </c>
      <c r="T203" s="45"/>
      <c r="U203" s="45">
        <v>23249166</v>
      </c>
      <c r="V203" s="44"/>
      <c r="W203" s="45">
        <f>5423+174902+18010000+297780+1257232</f>
        <v>19745337</v>
      </c>
    </row>
    <row r="204" spans="1:23" s="116" customFormat="1" ht="12.75" customHeight="1">
      <c r="A204" s="44" t="s">
        <v>233</v>
      </c>
      <c r="C204" s="44" t="s">
        <v>111</v>
      </c>
      <c r="D204" s="35"/>
      <c r="E204" s="45">
        <v>800270</v>
      </c>
      <c r="F204" s="45"/>
      <c r="G204" s="45">
        <v>9729065</v>
      </c>
      <c r="H204" s="45"/>
      <c r="I204" s="45">
        <v>381409</v>
      </c>
      <c r="J204" s="45"/>
      <c r="K204" s="45">
        <v>980683</v>
      </c>
      <c r="L204" s="45"/>
      <c r="M204" s="45">
        <v>1632075</v>
      </c>
      <c r="N204" s="45"/>
      <c r="O204" s="45">
        <v>509359</v>
      </c>
      <c r="P204" s="45"/>
      <c r="Q204" s="45">
        <v>366726</v>
      </c>
      <c r="R204" s="45"/>
      <c r="S204" s="44">
        <f t="shared" si="4"/>
        <v>2307883</v>
      </c>
      <c r="T204" s="45"/>
      <c r="U204" s="45">
        <v>16707470</v>
      </c>
      <c r="V204" s="44"/>
      <c r="W204" s="45">
        <f>8900000+232146+775000+20215+2497919</f>
        <v>12425280</v>
      </c>
    </row>
    <row r="205" spans="1:23" s="116" customFormat="1" ht="12.75" customHeight="1">
      <c r="A205" s="44" t="s">
        <v>234</v>
      </c>
      <c r="C205" s="44" t="s">
        <v>45</v>
      </c>
      <c r="D205" s="35"/>
      <c r="E205" s="45">
        <v>1619032</v>
      </c>
      <c r="F205" s="45"/>
      <c r="G205" s="45">
        <v>14461358</v>
      </c>
      <c r="H205" s="45"/>
      <c r="I205" s="45">
        <v>813210</v>
      </c>
      <c r="J205" s="45"/>
      <c r="K205" s="45">
        <v>261639</v>
      </c>
      <c r="L205" s="45"/>
      <c r="M205" s="45">
        <v>3133946</v>
      </c>
      <c r="N205" s="45"/>
      <c r="O205" s="45">
        <v>302535</v>
      </c>
      <c r="P205" s="45"/>
      <c r="Q205" s="45">
        <f>395688+341336</f>
        <v>737024</v>
      </c>
      <c r="R205" s="45"/>
      <c r="S205" s="44">
        <f t="shared" si="4"/>
        <v>478740</v>
      </c>
      <c r="T205" s="45"/>
      <c r="U205" s="45">
        <v>21807484</v>
      </c>
      <c r="V205" s="44"/>
      <c r="W205" s="45">
        <f>24599+34983+2973780</f>
        <v>3033362</v>
      </c>
    </row>
    <row r="206" spans="1:23" s="116" customFormat="1" ht="12.75" customHeight="1">
      <c r="A206" s="44" t="s">
        <v>235</v>
      </c>
      <c r="C206" s="44" t="s">
        <v>183</v>
      </c>
      <c r="D206" s="35"/>
      <c r="E206" s="45">
        <v>2581971</v>
      </c>
      <c r="F206" s="45"/>
      <c r="G206" s="45">
        <v>29039574</v>
      </c>
      <c r="H206" s="45"/>
      <c r="I206" s="45">
        <f>933971+7712116</f>
        <v>8646087</v>
      </c>
      <c r="J206" s="45"/>
      <c r="K206" s="45">
        <v>3663561</v>
      </c>
      <c r="L206" s="45"/>
      <c r="M206" s="45">
        <v>12234435</v>
      </c>
      <c r="N206" s="45"/>
      <c r="O206" s="45">
        <v>180659</v>
      </c>
      <c r="P206" s="45"/>
      <c r="Q206" s="45">
        <f>3865779+967617</f>
        <v>4833396</v>
      </c>
      <c r="R206" s="45"/>
      <c r="S206" s="44">
        <f t="shared" si="4"/>
        <v>5843084</v>
      </c>
      <c r="T206" s="45"/>
      <c r="U206" s="45">
        <v>67022767</v>
      </c>
      <c r="V206" s="44"/>
      <c r="W206" s="45">
        <f>238000+79419+6279603</f>
        <v>6597022</v>
      </c>
    </row>
    <row r="207" spans="1:23" s="116" customFormat="1" ht="12.75" customHeight="1">
      <c r="A207" s="44" t="s">
        <v>236</v>
      </c>
      <c r="B207" s="118"/>
      <c r="C207" s="44" t="s">
        <v>45</v>
      </c>
      <c r="D207" s="35"/>
      <c r="E207" s="45">
        <v>13021016</v>
      </c>
      <c r="F207" s="45"/>
      <c r="G207" s="45">
        <v>0</v>
      </c>
      <c r="H207" s="45"/>
      <c r="I207" s="45">
        <v>0</v>
      </c>
      <c r="J207" s="45"/>
      <c r="K207" s="45">
        <v>196904</v>
      </c>
      <c r="L207" s="45"/>
      <c r="M207" s="45">
        <v>909140</v>
      </c>
      <c r="N207" s="45"/>
      <c r="O207" s="45">
        <v>0</v>
      </c>
      <c r="P207" s="45"/>
      <c r="Q207" s="45">
        <v>48610</v>
      </c>
      <c r="R207" s="45"/>
      <c r="S207" s="44">
        <f t="shared" si="4"/>
        <v>720728</v>
      </c>
      <c r="T207" s="45"/>
      <c r="U207" s="45">
        <v>14896398</v>
      </c>
      <c r="V207" s="44"/>
      <c r="W207" s="45">
        <f>10915+2612575</f>
        <v>2623490</v>
      </c>
    </row>
    <row r="208" spans="1:23" s="116" customFormat="1" ht="12.75" customHeight="1">
      <c r="A208" s="44" t="s">
        <v>237</v>
      </c>
      <c r="C208" s="44" t="s">
        <v>33</v>
      </c>
      <c r="D208" s="35"/>
      <c r="E208" s="45">
        <v>835801</v>
      </c>
      <c r="F208" s="45"/>
      <c r="G208" s="45">
        <v>0</v>
      </c>
      <c r="H208" s="45"/>
      <c r="I208" s="45">
        <v>0</v>
      </c>
      <c r="J208" s="45"/>
      <c r="K208" s="45">
        <v>153283</v>
      </c>
      <c r="L208" s="45"/>
      <c r="M208" s="45">
        <v>2557898</v>
      </c>
      <c r="N208" s="45"/>
      <c r="O208" s="45">
        <v>2566</v>
      </c>
      <c r="P208" s="45"/>
      <c r="Q208" s="45">
        <f>8017+109467</f>
        <v>117484</v>
      </c>
      <c r="R208" s="45"/>
      <c r="S208" s="44">
        <f t="shared" si="4"/>
        <v>292376</v>
      </c>
      <c r="T208" s="45"/>
      <c r="U208" s="45">
        <v>3959408</v>
      </c>
      <c r="V208" s="44"/>
      <c r="W208" s="45">
        <f>1779703+62573+406250</f>
        <v>2248526</v>
      </c>
    </row>
    <row r="209" spans="1:23" s="116" customFormat="1" ht="12.75" customHeight="1">
      <c r="A209" s="44" t="s">
        <v>238</v>
      </c>
      <c r="C209" s="44" t="s">
        <v>239</v>
      </c>
      <c r="D209" s="35"/>
      <c r="E209" s="45">
        <v>1263965</v>
      </c>
      <c r="F209" s="45"/>
      <c r="G209" s="45">
        <v>4369836</v>
      </c>
      <c r="H209" s="45"/>
      <c r="I209" s="45">
        <v>0</v>
      </c>
      <c r="J209" s="45"/>
      <c r="K209" s="45">
        <v>470427</v>
      </c>
      <c r="L209" s="45"/>
      <c r="M209" s="45">
        <v>1065928</v>
      </c>
      <c r="N209" s="45"/>
      <c r="O209" s="45">
        <v>155550</v>
      </c>
      <c r="P209" s="45"/>
      <c r="Q209" s="45">
        <f>85574+21623</f>
        <v>107197</v>
      </c>
      <c r="R209" s="45"/>
      <c r="S209" s="44">
        <f t="shared" si="4"/>
        <v>517084</v>
      </c>
      <c r="T209" s="45"/>
      <c r="U209" s="45">
        <v>7949987</v>
      </c>
      <c r="V209" s="44"/>
      <c r="W209" s="45">
        <v>405196</v>
      </c>
    </row>
    <row r="210" spans="1:23" s="116" customFormat="1" ht="12.75" customHeight="1">
      <c r="A210" s="44" t="s">
        <v>486</v>
      </c>
      <c r="C210" s="44" t="s">
        <v>249</v>
      </c>
      <c r="D210" s="35"/>
      <c r="E210" s="45">
        <v>1518657</v>
      </c>
      <c r="F210" s="45"/>
      <c r="G210" s="45">
        <v>8751518</v>
      </c>
      <c r="H210" s="45"/>
      <c r="I210" s="45">
        <v>0</v>
      </c>
      <c r="J210" s="45"/>
      <c r="K210" s="45">
        <v>108076</v>
      </c>
      <c r="L210" s="45"/>
      <c r="M210" s="45">
        <v>4508305</v>
      </c>
      <c r="N210" s="45"/>
      <c r="O210" s="45">
        <v>17396</v>
      </c>
      <c r="P210" s="45"/>
      <c r="Q210" s="45">
        <f>644608+366135</f>
        <v>1010743</v>
      </c>
      <c r="R210" s="45"/>
      <c r="S210" s="44">
        <f>+U210-SUM(E210:Q210)</f>
        <v>505848</v>
      </c>
      <c r="T210" s="45"/>
      <c r="U210" s="45">
        <v>16420543</v>
      </c>
      <c r="V210" s="44"/>
      <c r="W210" s="45">
        <v>14901</v>
      </c>
    </row>
    <row r="211" spans="1:23" s="116" customFormat="1" ht="12.75" customHeight="1">
      <c r="A211" s="44" t="s">
        <v>240</v>
      </c>
      <c r="C211" s="44" t="s">
        <v>13</v>
      </c>
      <c r="D211" s="35"/>
      <c r="E211" s="45">
        <v>7233714</v>
      </c>
      <c r="F211" s="45"/>
      <c r="G211" s="45">
        <v>12785284</v>
      </c>
      <c r="H211" s="45"/>
      <c r="I211" s="45">
        <v>1169349</v>
      </c>
      <c r="J211" s="45"/>
      <c r="K211" s="45">
        <v>998218</v>
      </c>
      <c r="L211" s="45"/>
      <c r="M211" s="45">
        <v>10375047</v>
      </c>
      <c r="N211" s="45"/>
      <c r="O211" s="45">
        <v>80553</v>
      </c>
      <c r="P211" s="45"/>
      <c r="Q211" s="45">
        <v>467519</v>
      </c>
      <c r="R211" s="45"/>
      <c r="S211" s="44">
        <f t="shared" si="4"/>
        <v>1614417</v>
      </c>
      <c r="T211" s="45"/>
      <c r="U211" s="45">
        <v>34724101</v>
      </c>
      <c r="V211" s="44"/>
      <c r="W211" s="45">
        <f>8073932+9475000+907731+228069+734445</f>
        <v>19419177</v>
      </c>
    </row>
    <row r="212" spans="1:23" s="136" customFormat="1" ht="12.75" hidden="1" customHeight="1">
      <c r="A212" s="44" t="s">
        <v>241</v>
      </c>
      <c r="B212" s="116"/>
      <c r="C212" s="44" t="s">
        <v>22</v>
      </c>
      <c r="D212" s="3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4">
        <f t="shared" si="4"/>
        <v>0</v>
      </c>
      <c r="T212" s="45"/>
      <c r="U212" s="45"/>
      <c r="V212" s="44"/>
      <c r="W212" s="45"/>
    </row>
    <row r="213" spans="1:23" s="116" customFormat="1" ht="12.75" customHeight="1">
      <c r="A213" s="44" t="s">
        <v>242</v>
      </c>
      <c r="C213" s="44" t="s">
        <v>27</v>
      </c>
      <c r="D213" s="35"/>
      <c r="E213" s="45">
        <v>8930246</v>
      </c>
      <c r="F213" s="45"/>
      <c r="G213" s="45">
        <v>27521333</v>
      </c>
      <c r="H213" s="45"/>
      <c r="I213" s="45">
        <v>2236940</v>
      </c>
      <c r="J213" s="45"/>
      <c r="K213" s="45">
        <v>4668474</v>
      </c>
      <c r="L213" s="45"/>
      <c r="M213" s="45">
        <v>5737481</v>
      </c>
      <c r="N213" s="45"/>
      <c r="O213" s="45">
        <v>145000</v>
      </c>
      <c r="P213" s="45"/>
      <c r="Q213" s="45">
        <v>1477214</v>
      </c>
      <c r="R213" s="45"/>
      <c r="S213" s="44">
        <f t="shared" si="4"/>
        <v>2567401</v>
      </c>
      <c r="T213" s="45"/>
      <c r="U213" s="45">
        <v>53284089</v>
      </c>
      <c r="V213" s="44"/>
      <c r="W213" s="45">
        <f>10434101+33950+16450000</f>
        <v>26918051</v>
      </c>
    </row>
    <row r="214" spans="1:23" s="116" customFormat="1" ht="12.75" customHeight="1">
      <c r="A214" s="44" t="s">
        <v>243</v>
      </c>
      <c r="C214" s="44" t="s">
        <v>163</v>
      </c>
      <c r="D214" s="35"/>
      <c r="E214" s="45">
        <v>1556127</v>
      </c>
      <c r="F214" s="45"/>
      <c r="G214" s="45">
        <v>8448295</v>
      </c>
      <c r="H214" s="45"/>
      <c r="I214" s="45">
        <v>0</v>
      </c>
      <c r="J214" s="45"/>
      <c r="K214" s="45">
        <v>455425</v>
      </c>
      <c r="L214" s="45"/>
      <c r="M214" s="45">
        <v>3997289</v>
      </c>
      <c r="N214" s="45"/>
      <c r="O214" s="45">
        <v>1145580</v>
      </c>
      <c r="P214" s="45"/>
      <c r="Q214" s="45">
        <v>166488</v>
      </c>
      <c r="R214" s="45"/>
      <c r="S214" s="44">
        <f t="shared" ref="S214" si="6">+U214-SUM(E214:Q214)</f>
        <v>2122849</v>
      </c>
      <c r="T214" s="45"/>
      <c r="U214" s="45">
        <v>17892053</v>
      </c>
      <c r="V214" s="44"/>
      <c r="W214" s="45">
        <f>4379762+7850000+10917560</f>
        <v>23147322</v>
      </c>
    </row>
    <row r="215" spans="1:23" s="116" customFormat="1" ht="12.75" customHeight="1">
      <c r="A215" s="44" t="s">
        <v>244</v>
      </c>
      <c r="C215" s="44" t="s">
        <v>13</v>
      </c>
      <c r="D215" s="35"/>
      <c r="E215" s="45">
        <v>2453020</v>
      </c>
      <c r="F215" s="45"/>
      <c r="G215" s="45">
        <v>7873334</v>
      </c>
      <c r="H215" s="45"/>
      <c r="I215" s="45">
        <v>0</v>
      </c>
      <c r="J215" s="45"/>
      <c r="K215" s="45">
        <v>1837708</v>
      </c>
      <c r="L215" s="45"/>
      <c r="M215" s="45">
        <v>3132224</v>
      </c>
      <c r="N215" s="45"/>
      <c r="O215" s="45">
        <v>115781</v>
      </c>
      <c r="P215" s="45"/>
      <c r="Q215" s="45">
        <v>372776</v>
      </c>
      <c r="R215" s="45"/>
      <c r="S215" s="44">
        <f t="shared" ref="S215:S236" si="7">+U215-SUM(E215:Q215)</f>
        <v>359578</v>
      </c>
      <c r="T215" s="45"/>
      <c r="U215" s="45">
        <v>16144421</v>
      </c>
      <c r="V215" s="44"/>
      <c r="W215" s="45">
        <f>3800000+8702+3751926+4000</f>
        <v>7564628</v>
      </c>
    </row>
    <row r="216" spans="1:23" s="116" customFormat="1" ht="12.75" customHeight="1">
      <c r="A216" s="44" t="s">
        <v>245</v>
      </c>
      <c r="C216" s="44" t="s">
        <v>110</v>
      </c>
      <c r="D216" s="35"/>
      <c r="E216" s="45">
        <v>0</v>
      </c>
      <c r="F216" s="45"/>
      <c r="G216" s="45">
        <v>7082522</v>
      </c>
      <c r="H216" s="45"/>
      <c r="I216" s="45">
        <v>1095213</v>
      </c>
      <c r="J216" s="45"/>
      <c r="K216" s="45">
        <v>640122</v>
      </c>
      <c r="L216" s="45"/>
      <c r="M216" s="45">
        <v>3325719</v>
      </c>
      <c r="N216" s="45"/>
      <c r="O216" s="45">
        <v>95274</v>
      </c>
      <c r="P216" s="45"/>
      <c r="Q216" s="45">
        <v>548694</v>
      </c>
      <c r="R216" s="45"/>
      <c r="S216" s="44">
        <f t="shared" si="7"/>
        <v>993616</v>
      </c>
      <c r="T216" s="45"/>
      <c r="U216" s="45">
        <v>13781160</v>
      </c>
      <c r="V216" s="44"/>
      <c r="W216" s="45">
        <f>37967+1450000+1576837+2030</f>
        <v>3066834</v>
      </c>
    </row>
    <row r="217" spans="1:23" s="116" customFormat="1" ht="12.75" customHeight="1">
      <c r="A217" s="44" t="s">
        <v>246</v>
      </c>
      <c r="C217" s="44" t="s">
        <v>209</v>
      </c>
      <c r="D217" s="35"/>
      <c r="E217" s="45">
        <v>4030913</v>
      </c>
      <c r="F217" s="45"/>
      <c r="G217" s="45">
        <v>0</v>
      </c>
      <c r="H217" s="45"/>
      <c r="I217" s="45">
        <v>0</v>
      </c>
      <c r="J217" s="45"/>
      <c r="K217" s="45">
        <v>1654251</v>
      </c>
      <c r="L217" s="45"/>
      <c r="M217" s="45">
        <v>2756171</v>
      </c>
      <c r="N217" s="45"/>
      <c r="O217" s="45">
        <v>160172</v>
      </c>
      <c r="P217" s="45"/>
      <c r="Q217" s="45">
        <f>18286+35547</f>
        <v>53833</v>
      </c>
      <c r="R217" s="45"/>
      <c r="S217" s="44">
        <f t="shared" si="7"/>
        <v>636894</v>
      </c>
      <c r="T217" s="45"/>
      <c r="U217" s="45">
        <v>9292234</v>
      </c>
      <c r="V217" s="44"/>
      <c r="W217" s="45">
        <v>1282021</v>
      </c>
    </row>
    <row r="218" spans="1:23" s="116" customFormat="1" ht="12.75" customHeight="1">
      <c r="A218" s="44" t="s">
        <v>247</v>
      </c>
      <c r="C218" s="44" t="s">
        <v>163</v>
      </c>
      <c r="D218" s="35"/>
      <c r="E218" s="45">
        <v>18078000</v>
      </c>
      <c r="F218" s="45"/>
      <c r="G218" s="45">
        <v>154475000</v>
      </c>
      <c r="H218" s="45"/>
      <c r="I218" s="45">
        <v>0</v>
      </c>
      <c r="J218" s="45"/>
      <c r="K218" s="45">
        <v>21104000</v>
      </c>
      <c r="L218" s="45"/>
      <c r="M218" s="45">
        <v>72285000</v>
      </c>
      <c r="N218" s="45"/>
      <c r="O218" s="45">
        <v>24737000</v>
      </c>
      <c r="P218" s="45"/>
      <c r="Q218" s="45">
        <f>7267000+2541000</f>
        <v>9808000</v>
      </c>
      <c r="R218" s="45"/>
      <c r="S218" s="44">
        <f t="shared" si="7"/>
        <v>8104000</v>
      </c>
      <c r="T218" s="45"/>
      <c r="U218" s="45">
        <v>308591000</v>
      </c>
      <c r="V218" s="44"/>
      <c r="W218" s="45">
        <f>47280000+20000000+528000+482000+26000</f>
        <v>68316000</v>
      </c>
    </row>
    <row r="219" spans="1:23" s="116" customFormat="1" ht="12.75" customHeight="1">
      <c r="A219" s="44" t="s">
        <v>248</v>
      </c>
      <c r="C219" s="44" t="s">
        <v>249</v>
      </c>
      <c r="D219" s="35"/>
      <c r="E219" s="45">
        <v>194240</v>
      </c>
      <c r="F219" s="45"/>
      <c r="G219" s="45">
        <v>2862583</v>
      </c>
      <c r="H219" s="45"/>
      <c r="I219" s="45">
        <v>47972</v>
      </c>
      <c r="J219" s="45"/>
      <c r="K219" s="45">
        <v>74308</v>
      </c>
      <c r="L219" s="45"/>
      <c r="M219" s="45">
        <v>1663992</v>
      </c>
      <c r="N219" s="45"/>
      <c r="O219" s="45">
        <v>0</v>
      </c>
      <c r="P219" s="45"/>
      <c r="Q219" s="45">
        <f>21626+34909</f>
        <v>56535</v>
      </c>
      <c r="R219" s="45"/>
      <c r="S219" s="44">
        <f t="shared" si="7"/>
        <v>303207</v>
      </c>
      <c r="T219" s="45"/>
      <c r="U219" s="45">
        <v>5202837</v>
      </c>
      <c r="V219" s="44"/>
      <c r="W219" s="45">
        <f>1190200+200000</f>
        <v>1390200</v>
      </c>
    </row>
    <row r="220" spans="1:23" s="116" customFormat="1" ht="12.75" customHeight="1">
      <c r="A220" s="44" t="s">
        <v>250</v>
      </c>
      <c r="C220" s="44" t="s">
        <v>103</v>
      </c>
      <c r="D220" s="35"/>
      <c r="E220" s="45">
        <v>530281</v>
      </c>
      <c r="F220" s="45"/>
      <c r="G220" s="45">
        <v>1501954</v>
      </c>
      <c r="H220" s="45"/>
      <c r="I220" s="45">
        <v>0</v>
      </c>
      <c r="J220" s="45"/>
      <c r="K220" s="45">
        <v>223953</v>
      </c>
      <c r="L220" s="45"/>
      <c r="M220" s="45">
        <v>1030425</v>
      </c>
      <c r="N220" s="45"/>
      <c r="O220" s="45">
        <v>99558</v>
      </c>
      <c r="P220" s="45"/>
      <c r="Q220" s="45">
        <f>202248+112093</f>
        <v>314341</v>
      </c>
      <c r="R220" s="45"/>
      <c r="S220" s="44">
        <f t="shared" si="7"/>
        <v>332760</v>
      </c>
      <c r="T220" s="45"/>
      <c r="U220" s="45">
        <v>4033272</v>
      </c>
      <c r="V220" s="44"/>
      <c r="W220" s="45">
        <f>125928+12713+322500</f>
        <v>461141</v>
      </c>
    </row>
    <row r="221" spans="1:23" s="116" customFormat="1" ht="12.75" customHeight="1">
      <c r="A221" s="44" t="s">
        <v>251</v>
      </c>
      <c r="C221" s="44" t="s">
        <v>66</v>
      </c>
      <c r="D221" s="35"/>
      <c r="E221" s="45">
        <v>9442375</v>
      </c>
      <c r="F221" s="45"/>
      <c r="G221" s="45">
        <v>0</v>
      </c>
      <c r="H221" s="45"/>
      <c r="I221" s="45">
        <v>0</v>
      </c>
      <c r="J221" s="45"/>
      <c r="K221" s="45">
        <v>1291014</v>
      </c>
      <c r="L221" s="45"/>
      <c r="M221" s="45">
        <v>6765127</v>
      </c>
      <c r="N221" s="45"/>
      <c r="O221" s="45">
        <v>56400</v>
      </c>
      <c r="P221" s="45"/>
      <c r="Q221" s="45">
        <v>616859</v>
      </c>
      <c r="R221" s="45"/>
      <c r="S221" s="44">
        <f t="shared" si="7"/>
        <v>735067</v>
      </c>
      <c r="T221" s="45"/>
      <c r="U221" s="45">
        <v>18906842</v>
      </c>
      <c r="V221" s="44"/>
      <c r="W221" s="45">
        <f>399679+386750</f>
        <v>786429</v>
      </c>
    </row>
    <row r="222" spans="1:23" s="116" customFormat="1" ht="12.75" customHeight="1">
      <c r="A222" s="44" t="s">
        <v>252</v>
      </c>
      <c r="C222" s="44" t="s">
        <v>209</v>
      </c>
      <c r="D222" s="35"/>
      <c r="E222" s="45">
        <v>15951626</v>
      </c>
      <c r="F222" s="45"/>
      <c r="G222" s="45">
        <v>0</v>
      </c>
      <c r="H222" s="45"/>
      <c r="I222" s="45">
        <v>186224</v>
      </c>
      <c r="J222" s="45"/>
      <c r="K222" s="45">
        <v>2202251</v>
      </c>
      <c r="L222" s="45"/>
      <c r="M222" s="45">
        <v>4150674</v>
      </c>
      <c r="N222" s="45"/>
      <c r="O222" s="45">
        <v>227058</v>
      </c>
      <c r="P222" s="45"/>
      <c r="Q222" s="45">
        <v>123486</v>
      </c>
      <c r="R222" s="45"/>
      <c r="S222" s="44">
        <f>+U222-SUM(E222:Q222)</f>
        <v>2607187</v>
      </c>
      <c r="T222" s="45"/>
      <c r="U222" s="45">
        <v>25448506</v>
      </c>
      <c r="V222" s="44"/>
      <c r="W222" s="45">
        <f>2465589+204302</f>
        <v>2669891</v>
      </c>
    </row>
    <row r="223" spans="1:23" s="117" customFormat="1" ht="12.75" customHeight="1">
      <c r="A223" s="44" t="s">
        <v>253</v>
      </c>
      <c r="B223" s="116"/>
      <c r="C223" s="44" t="s">
        <v>13</v>
      </c>
      <c r="D223" s="35"/>
      <c r="E223" s="45">
        <v>1296166</v>
      </c>
      <c r="F223" s="45"/>
      <c r="G223" s="45">
        <v>17689508</v>
      </c>
      <c r="H223" s="45"/>
      <c r="I223" s="45">
        <v>123456</v>
      </c>
      <c r="J223" s="45"/>
      <c r="K223" s="45">
        <v>1377925</v>
      </c>
      <c r="L223" s="45"/>
      <c r="M223" s="45">
        <v>2220269</v>
      </c>
      <c r="N223" s="45"/>
      <c r="O223" s="45">
        <v>0</v>
      </c>
      <c r="P223" s="45"/>
      <c r="Q223" s="45">
        <f>624309+113805</f>
        <v>738114</v>
      </c>
      <c r="R223" s="45"/>
      <c r="S223" s="44">
        <f>+U223-SUM(E223:Q223)</f>
        <v>1356443</v>
      </c>
      <c r="T223" s="45"/>
      <c r="U223" s="45">
        <v>24801881</v>
      </c>
      <c r="V223" s="44"/>
      <c r="W223" s="45">
        <f>123754+292703+61568+1134927</f>
        <v>1612952</v>
      </c>
    </row>
    <row r="224" spans="1:23" s="116" customFormat="1" ht="12.75" customHeight="1">
      <c r="A224" s="44" t="s">
        <v>254</v>
      </c>
      <c r="B224" s="118"/>
      <c r="C224" s="44" t="s">
        <v>89</v>
      </c>
      <c r="D224" s="35"/>
      <c r="E224" s="45">
        <v>493982</v>
      </c>
      <c r="F224" s="45"/>
      <c r="G224" s="45">
        <v>1286789</v>
      </c>
      <c r="H224" s="45"/>
      <c r="I224" s="45">
        <v>0</v>
      </c>
      <c r="J224" s="45"/>
      <c r="K224" s="45">
        <v>44258</v>
      </c>
      <c r="L224" s="45"/>
      <c r="M224" s="45">
        <v>2060560</v>
      </c>
      <c r="N224" s="45"/>
      <c r="O224" s="45">
        <v>141694</v>
      </c>
      <c r="P224" s="45"/>
      <c r="Q224" s="45">
        <f>15362+39353</f>
        <v>54715</v>
      </c>
      <c r="R224" s="45"/>
      <c r="S224" s="44">
        <f t="shared" si="7"/>
        <v>124877</v>
      </c>
      <c r="T224" s="45"/>
      <c r="U224" s="45">
        <v>4206875</v>
      </c>
      <c r="V224" s="44"/>
      <c r="W224" s="45">
        <f>1042586+110000</f>
        <v>1152586</v>
      </c>
    </row>
    <row r="225" spans="1:23" s="116" customFormat="1" ht="12.75" customHeight="1">
      <c r="A225" s="44" t="s">
        <v>159</v>
      </c>
      <c r="C225" s="44" t="s">
        <v>66</v>
      </c>
      <c r="D225" s="35"/>
      <c r="E225" s="45">
        <v>2178366</v>
      </c>
      <c r="F225" s="45"/>
      <c r="G225" s="45">
        <v>0</v>
      </c>
      <c r="H225" s="45"/>
      <c r="I225" s="45">
        <v>0</v>
      </c>
      <c r="J225" s="45"/>
      <c r="K225" s="45">
        <v>750313</v>
      </c>
      <c r="L225" s="45"/>
      <c r="M225" s="45">
        <v>1304582</v>
      </c>
      <c r="N225" s="45"/>
      <c r="O225" s="45">
        <v>438419</v>
      </c>
      <c r="P225" s="45"/>
      <c r="Q225" s="45">
        <v>33423</v>
      </c>
      <c r="R225" s="45"/>
      <c r="S225" s="44">
        <f>+U225-SUM(E225:Q225)</f>
        <v>53873</v>
      </c>
      <c r="T225" s="45"/>
      <c r="U225" s="45">
        <v>4758976</v>
      </c>
      <c r="V225" s="44"/>
      <c r="W225" s="45">
        <f>2585+130804</f>
        <v>133389</v>
      </c>
    </row>
    <row r="226" spans="1:23" s="116" customFormat="1" ht="12.75" customHeight="1">
      <c r="A226" s="44" t="s">
        <v>255</v>
      </c>
      <c r="C226" s="44" t="s">
        <v>27</v>
      </c>
      <c r="D226" s="35"/>
      <c r="E226" s="45">
        <f>8080627+3243860</f>
        <v>11324487</v>
      </c>
      <c r="F226" s="45"/>
      <c r="G226" s="45">
        <v>0</v>
      </c>
      <c r="H226" s="45"/>
      <c r="I226" s="45">
        <v>4031788</v>
      </c>
      <c r="J226" s="45"/>
      <c r="K226" s="45">
        <v>387208</v>
      </c>
      <c r="L226" s="45"/>
      <c r="M226" s="45">
        <v>4116988</v>
      </c>
      <c r="N226" s="45"/>
      <c r="O226" s="45">
        <v>681387</v>
      </c>
      <c r="P226" s="45"/>
      <c r="Q226" s="45">
        <v>421590</v>
      </c>
      <c r="R226" s="45"/>
      <c r="S226" s="44">
        <f t="shared" si="7"/>
        <v>136041</v>
      </c>
      <c r="T226" s="45"/>
      <c r="U226" s="45">
        <v>21099489</v>
      </c>
      <c r="V226" s="44"/>
      <c r="W226" s="45">
        <f>6091+2595000+112430+3424727</f>
        <v>6138248</v>
      </c>
    </row>
    <row r="227" spans="1:23" s="118" customFormat="1" ht="12.75" customHeight="1">
      <c r="A227" s="44" t="s">
        <v>256</v>
      </c>
      <c r="C227" s="44" t="s">
        <v>43</v>
      </c>
      <c r="D227" s="35"/>
      <c r="E227" s="45">
        <v>8861908</v>
      </c>
      <c r="F227" s="45"/>
      <c r="G227" s="45">
        <v>13332028</v>
      </c>
      <c r="H227" s="45"/>
      <c r="I227" s="45">
        <f>4257540+1125002</f>
        <v>5382542</v>
      </c>
      <c r="J227" s="45"/>
      <c r="K227" s="45">
        <v>1911267</v>
      </c>
      <c r="L227" s="45"/>
      <c r="M227" s="45">
        <v>4371973</v>
      </c>
      <c r="N227" s="45"/>
      <c r="O227" s="118">
        <v>0</v>
      </c>
      <c r="P227" s="45"/>
      <c r="Q227" s="45">
        <f>361670+862566</f>
        <v>1224236</v>
      </c>
      <c r="R227" s="45"/>
      <c r="S227" s="44">
        <f>+U227-SUM(E227:Q227)</f>
        <v>3565340</v>
      </c>
      <c r="T227" s="45"/>
      <c r="U227" s="45">
        <v>38649294</v>
      </c>
      <c r="V227" s="44"/>
      <c r="W227" s="45">
        <f>3347629+9972000+123089+94045</f>
        <v>13536763</v>
      </c>
    </row>
    <row r="228" spans="1:23" s="116" customFormat="1" ht="12.75" customHeight="1">
      <c r="A228" s="44" t="s">
        <v>257</v>
      </c>
      <c r="C228" s="44" t="s">
        <v>258</v>
      </c>
      <c r="D228" s="49"/>
      <c r="E228" s="45">
        <v>408760</v>
      </c>
      <c r="F228" s="45"/>
      <c r="G228" s="45">
        <v>2043800</v>
      </c>
      <c r="H228" s="45"/>
      <c r="I228" s="45">
        <v>0</v>
      </c>
      <c r="J228" s="45"/>
      <c r="K228" s="45">
        <v>60066</v>
      </c>
      <c r="L228" s="45"/>
      <c r="M228" s="45">
        <v>1135052</v>
      </c>
      <c r="N228" s="45"/>
      <c r="O228" s="45">
        <v>0</v>
      </c>
      <c r="P228" s="45"/>
      <c r="Q228" s="45">
        <f>87832+658288</f>
        <v>746120</v>
      </c>
      <c r="R228" s="45"/>
      <c r="S228" s="44">
        <f>+U228-SUM(E228:Q228)</f>
        <v>191725</v>
      </c>
      <c r="T228" s="45"/>
      <c r="U228" s="45">
        <v>4585523</v>
      </c>
      <c r="V228" s="44"/>
      <c r="W228" s="45">
        <f>63373+1344379</f>
        <v>1407752</v>
      </c>
    </row>
    <row r="229" spans="1:23" s="116" customFormat="1" ht="12.75" customHeight="1">
      <c r="A229" s="44" t="s">
        <v>259</v>
      </c>
      <c r="C229" s="44" t="s">
        <v>260</v>
      </c>
      <c r="D229" s="35"/>
      <c r="E229" s="45">
        <v>525690</v>
      </c>
      <c r="F229" s="45"/>
      <c r="G229" s="45">
        <v>5158784</v>
      </c>
      <c r="H229" s="45"/>
      <c r="I229" s="45">
        <v>0</v>
      </c>
      <c r="J229" s="45"/>
      <c r="K229" s="45">
        <v>980717</v>
      </c>
      <c r="L229" s="45"/>
      <c r="M229" s="45">
        <v>3300831</v>
      </c>
      <c r="N229" s="45"/>
      <c r="O229" s="45">
        <v>0</v>
      </c>
      <c r="P229" s="45"/>
      <c r="Q229" s="45">
        <v>957818</v>
      </c>
      <c r="R229" s="45"/>
      <c r="S229" s="44">
        <f t="shared" si="7"/>
        <v>507554</v>
      </c>
      <c r="T229" s="45"/>
      <c r="U229" s="45">
        <v>11431394</v>
      </c>
      <c r="V229" s="44"/>
      <c r="W229" s="45">
        <v>300000</v>
      </c>
    </row>
    <row r="230" spans="1:23" s="116" customFormat="1" ht="12.75" customHeight="1">
      <c r="A230" s="44" t="s">
        <v>261</v>
      </c>
      <c r="C230" s="44" t="s">
        <v>66</v>
      </c>
      <c r="D230" s="35"/>
      <c r="E230" s="45">
        <v>2118855</v>
      </c>
      <c r="F230" s="45"/>
      <c r="G230" s="45">
        <v>11905601</v>
      </c>
      <c r="H230" s="45"/>
      <c r="I230" s="45">
        <v>0</v>
      </c>
      <c r="J230" s="45"/>
      <c r="K230" s="45">
        <v>3625059</v>
      </c>
      <c r="L230" s="45"/>
      <c r="M230" s="45">
        <v>3703037</v>
      </c>
      <c r="N230" s="45"/>
      <c r="O230" s="45">
        <v>27739</v>
      </c>
      <c r="P230" s="45"/>
      <c r="Q230" s="45">
        <f>1518143+157043</f>
        <v>1675186</v>
      </c>
      <c r="R230" s="45"/>
      <c r="S230" s="44">
        <f t="shared" si="7"/>
        <v>1358120</v>
      </c>
      <c r="T230" s="45"/>
      <c r="U230" s="45">
        <v>24413597</v>
      </c>
      <c r="V230" s="44"/>
      <c r="W230" s="45">
        <f>34755+4439244</f>
        <v>4473999</v>
      </c>
    </row>
    <row r="231" spans="1:23" s="116" customFormat="1" ht="12.75" hidden="1" customHeight="1">
      <c r="A231" s="44" t="s">
        <v>262</v>
      </c>
      <c r="C231" s="44" t="s">
        <v>132</v>
      </c>
      <c r="D231" s="3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4">
        <f t="shared" si="7"/>
        <v>0</v>
      </c>
      <c r="T231" s="45"/>
      <c r="U231" s="45"/>
      <c r="V231" s="44"/>
      <c r="W231" s="45"/>
    </row>
    <row r="232" spans="1:23" s="116" customFormat="1" ht="12.75" customHeight="1">
      <c r="A232" s="44" t="s">
        <v>263</v>
      </c>
      <c r="C232" s="44" t="s">
        <v>53</v>
      </c>
      <c r="D232" s="35"/>
      <c r="E232" s="45">
        <v>3258568</v>
      </c>
      <c r="F232" s="45"/>
      <c r="G232" s="45">
        <v>3258568</v>
      </c>
      <c r="H232" s="45"/>
      <c r="I232" s="45">
        <v>0</v>
      </c>
      <c r="J232" s="45"/>
      <c r="K232" s="45">
        <v>1887220</v>
      </c>
      <c r="L232" s="45"/>
      <c r="M232" s="45">
        <v>5606904</v>
      </c>
      <c r="N232" s="45"/>
      <c r="O232" s="45">
        <v>28630</v>
      </c>
      <c r="P232" s="45"/>
      <c r="Q232" s="45">
        <f>826768+298730</f>
        <v>1125498</v>
      </c>
      <c r="R232" s="45"/>
      <c r="S232" s="44">
        <f t="shared" si="7"/>
        <v>4110022</v>
      </c>
      <c r="T232" s="45"/>
      <c r="U232" s="45">
        <v>19275410</v>
      </c>
      <c r="V232" s="44"/>
      <c r="W232" s="45">
        <v>5611000</v>
      </c>
    </row>
    <row r="233" spans="1:23" s="116" customFormat="1" ht="12.75" customHeight="1">
      <c r="A233" s="44" t="s">
        <v>264</v>
      </c>
      <c r="C233" s="44" t="s">
        <v>239</v>
      </c>
      <c r="D233" s="35"/>
      <c r="E233" s="45">
        <v>475488</v>
      </c>
      <c r="F233" s="45"/>
      <c r="G233" s="45">
        <v>2343504</v>
      </c>
      <c r="H233" s="45"/>
      <c r="I233" s="45">
        <v>739543</v>
      </c>
      <c r="J233" s="45"/>
      <c r="K233" s="45">
        <v>534173</v>
      </c>
      <c r="L233" s="45"/>
      <c r="M233" s="45">
        <v>2352860</v>
      </c>
      <c r="N233" s="45"/>
      <c r="O233" s="45">
        <v>113600</v>
      </c>
      <c r="P233" s="45"/>
      <c r="Q233" s="45">
        <f>84803+26414</f>
        <v>111217</v>
      </c>
      <c r="R233" s="45"/>
      <c r="S233" s="44">
        <f>+U233-SUM(E233:Q233)</f>
        <v>992906</v>
      </c>
      <c r="T233" s="45"/>
      <c r="U233" s="45">
        <v>7663291</v>
      </c>
      <c r="V233" s="44"/>
      <c r="W233" s="45">
        <v>1147341</v>
      </c>
    </row>
    <row r="234" spans="1:23" s="116" customFormat="1" ht="12.75" customHeight="1">
      <c r="A234" s="44" t="s">
        <v>111</v>
      </c>
      <c r="C234" s="44" t="s">
        <v>80</v>
      </c>
      <c r="D234" s="64"/>
      <c r="E234" s="45">
        <v>1484062</v>
      </c>
      <c r="F234" s="45"/>
      <c r="G234" s="45">
        <v>18013849</v>
      </c>
      <c r="H234" s="45"/>
      <c r="I234" s="45">
        <v>0</v>
      </c>
      <c r="J234" s="45"/>
      <c r="K234" s="45">
        <v>2236100</v>
      </c>
      <c r="L234" s="45"/>
      <c r="M234" s="45">
        <v>9540800</v>
      </c>
      <c r="N234" s="45"/>
      <c r="O234" s="45">
        <v>22036</v>
      </c>
      <c r="P234" s="45"/>
      <c r="Q234" s="45">
        <f>2493223+1523506</f>
        <v>4016729</v>
      </c>
      <c r="R234" s="45"/>
      <c r="S234" s="44">
        <f t="shared" si="7"/>
        <v>4634203</v>
      </c>
      <c r="T234" s="45"/>
      <c r="U234" s="45">
        <v>39947779</v>
      </c>
      <c r="V234" s="44"/>
      <c r="W234" s="45">
        <f>256564+1140453</f>
        <v>1397017</v>
      </c>
    </row>
    <row r="235" spans="1:23" s="116" customFormat="1" ht="12.75" customHeight="1">
      <c r="A235" s="44" t="s">
        <v>265</v>
      </c>
      <c r="C235" s="44" t="s">
        <v>27</v>
      </c>
      <c r="D235" s="35"/>
      <c r="E235" s="45">
        <v>2125090</v>
      </c>
      <c r="F235" s="45"/>
      <c r="G235" s="45">
        <v>77934424</v>
      </c>
      <c r="H235" s="45"/>
      <c r="I235" s="45">
        <v>252865</v>
      </c>
      <c r="J235" s="45"/>
      <c r="K235" s="45">
        <v>514392</v>
      </c>
      <c r="L235" s="45"/>
      <c r="M235" s="45">
        <v>2208652</v>
      </c>
      <c r="N235" s="45"/>
      <c r="O235" s="45">
        <v>446947</v>
      </c>
      <c r="P235" s="45"/>
      <c r="Q235" s="45">
        <f>246287+362746</f>
        <v>609033</v>
      </c>
      <c r="R235" s="45"/>
      <c r="S235" s="44">
        <f t="shared" si="7"/>
        <v>-65745498</v>
      </c>
      <c r="T235" s="45"/>
      <c r="U235" s="45">
        <v>18345905</v>
      </c>
      <c r="V235" s="44"/>
      <c r="W235" s="45">
        <f>30469+8818000+130640</f>
        <v>8979109</v>
      </c>
    </row>
    <row r="236" spans="1:23" s="117" customFormat="1" ht="12.75" customHeight="1">
      <c r="A236" s="44" t="s">
        <v>40</v>
      </c>
      <c r="B236" s="116"/>
      <c r="C236" s="47" t="s">
        <v>451</v>
      </c>
      <c r="D236" s="35"/>
      <c r="E236" s="45">
        <v>1463921</v>
      </c>
      <c r="F236" s="45"/>
      <c r="G236" s="45">
        <v>5262091</v>
      </c>
      <c r="H236" s="45"/>
      <c r="I236" s="45">
        <v>693194</v>
      </c>
      <c r="J236" s="45"/>
      <c r="K236" s="45">
        <v>1078854</v>
      </c>
      <c r="L236" s="45"/>
      <c r="M236" s="45">
        <v>2381784</v>
      </c>
      <c r="N236" s="45"/>
      <c r="O236" s="45">
        <v>0</v>
      </c>
      <c r="P236" s="45"/>
      <c r="Q236" s="45">
        <v>887446</v>
      </c>
      <c r="R236" s="45"/>
      <c r="S236" s="44">
        <f t="shared" si="7"/>
        <v>581086</v>
      </c>
      <c r="T236" s="45"/>
      <c r="U236" s="45">
        <v>12348376</v>
      </c>
      <c r="V236" s="44"/>
      <c r="W236" s="45">
        <v>610000</v>
      </c>
    </row>
    <row r="237" spans="1:23" s="116" customFormat="1" ht="12.75" customHeight="1">
      <c r="A237" s="44" t="s">
        <v>266</v>
      </c>
      <c r="C237" s="44" t="s">
        <v>267</v>
      </c>
      <c r="D237" s="35"/>
      <c r="E237" s="45">
        <v>3628025</v>
      </c>
      <c r="F237" s="45"/>
      <c r="G237" s="45">
        <v>0</v>
      </c>
      <c r="H237" s="45"/>
      <c r="I237" s="45">
        <v>0</v>
      </c>
      <c r="J237" s="45"/>
      <c r="K237" s="45">
        <v>459744</v>
      </c>
      <c r="L237" s="45"/>
      <c r="M237" s="45">
        <v>1014896</v>
      </c>
      <c r="N237" s="45"/>
      <c r="O237" s="45">
        <v>0</v>
      </c>
      <c r="P237" s="45"/>
      <c r="Q237" s="45">
        <f>12163+36093</f>
        <v>48256</v>
      </c>
      <c r="R237" s="45"/>
      <c r="S237" s="44">
        <f t="shared" ref="S237:S255" si="8">+U237-SUM(E237:Q237)</f>
        <v>218287</v>
      </c>
      <c r="T237" s="45"/>
      <c r="U237" s="45">
        <v>5369208</v>
      </c>
      <c r="V237" s="44"/>
      <c r="W237" s="45">
        <v>100297</v>
      </c>
    </row>
    <row r="238" spans="1:23" s="118" customFormat="1" ht="12.75" customHeight="1">
      <c r="A238" s="44" t="s">
        <v>268</v>
      </c>
      <c r="B238" s="116"/>
      <c r="C238" s="44" t="s">
        <v>269</v>
      </c>
      <c r="D238" s="35"/>
      <c r="E238" s="45">
        <v>2321450</v>
      </c>
      <c r="F238" s="45"/>
      <c r="G238" s="45">
        <v>0</v>
      </c>
      <c r="H238" s="45"/>
      <c r="I238" s="45">
        <v>0</v>
      </c>
      <c r="J238" s="45"/>
      <c r="K238" s="45">
        <v>38130</v>
      </c>
      <c r="L238" s="45"/>
      <c r="M238" s="45">
        <v>1226357</v>
      </c>
      <c r="N238" s="45"/>
      <c r="O238" s="45">
        <v>0</v>
      </c>
      <c r="P238" s="45"/>
      <c r="Q238" s="45">
        <f>3622+186901</f>
        <v>190523</v>
      </c>
      <c r="R238" s="45"/>
      <c r="S238" s="44">
        <f t="shared" si="8"/>
        <v>141278</v>
      </c>
      <c r="T238" s="45"/>
      <c r="U238" s="45">
        <v>3917738</v>
      </c>
      <c r="V238" s="44"/>
      <c r="W238" s="45">
        <f>1074342+1103575</f>
        <v>2177917</v>
      </c>
    </row>
    <row r="239" spans="1:23" s="116" customFormat="1" ht="12.75" hidden="1" customHeight="1">
      <c r="A239" s="44" t="s">
        <v>270</v>
      </c>
      <c r="C239" s="44" t="s">
        <v>136</v>
      </c>
      <c r="D239" s="3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4">
        <f>+U239-SUM(E239:Q239)</f>
        <v>0</v>
      </c>
      <c r="T239" s="45"/>
      <c r="U239" s="45"/>
      <c r="V239" s="44"/>
      <c r="W239" s="45"/>
    </row>
    <row r="240" spans="1:23" s="118" customFormat="1" ht="12.75" customHeight="1">
      <c r="A240" s="44" t="s">
        <v>271</v>
      </c>
      <c r="B240" s="116"/>
      <c r="C240" s="44" t="s">
        <v>66</v>
      </c>
      <c r="D240" s="35"/>
      <c r="E240" s="45">
        <v>7883564</v>
      </c>
      <c r="F240" s="45"/>
      <c r="G240" s="45">
        <v>0</v>
      </c>
      <c r="H240" s="45"/>
      <c r="I240" s="45">
        <v>0</v>
      </c>
      <c r="J240" s="45"/>
      <c r="K240" s="45">
        <v>401861</v>
      </c>
      <c r="L240" s="45"/>
      <c r="M240" s="45">
        <v>1920799</v>
      </c>
      <c r="N240" s="45"/>
      <c r="O240" s="45">
        <v>112439</v>
      </c>
      <c r="P240" s="45"/>
      <c r="Q240" s="45">
        <f>256991+107563</f>
        <v>364554</v>
      </c>
      <c r="R240" s="45"/>
      <c r="S240" s="44">
        <f t="shared" si="8"/>
        <v>346352</v>
      </c>
      <c r="T240" s="45"/>
      <c r="U240" s="45">
        <v>11029569</v>
      </c>
      <c r="V240" s="44"/>
      <c r="W240" s="45">
        <f>21306+2642684</f>
        <v>2663990</v>
      </c>
    </row>
    <row r="241" spans="1:23" s="116" customFormat="1" ht="12.75" customHeight="1">
      <c r="A241" s="44" t="s">
        <v>272</v>
      </c>
      <c r="C241" s="44" t="s">
        <v>43</v>
      </c>
      <c r="D241" s="35"/>
      <c r="E241" s="45">
        <v>10065032</v>
      </c>
      <c r="F241" s="45"/>
      <c r="G241" s="45">
        <v>23194224</v>
      </c>
      <c r="H241" s="45"/>
      <c r="I241" s="45">
        <v>477009</v>
      </c>
      <c r="J241" s="45"/>
      <c r="K241" s="45">
        <v>3670381</v>
      </c>
      <c r="L241" s="45"/>
      <c r="M241" s="45">
        <v>11117361</v>
      </c>
      <c r="N241" s="45"/>
      <c r="O241" s="45">
        <v>0</v>
      </c>
      <c r="P241" s="45"/>
      <c r="Q241" s="45">
        <f>808069+551037</f>
        <v>1359106</v>
      </c>
      <c r="R241" s="45"/>
      <c r="S241" s="44">
        <f t="shared" si="8"/>
        <v>6051733</v>
      </c>
      <c r="T241" s="45"/>
      <c r="U241" s="45">
        <v>55934846</v>
      </c>
      <c r="V241" s="44"/>
      <c r="W241" s="45">
        <v>11924221</v>
      </c>
    </row>
    <row r="242" spans="1:23" s="116" customFormat="1" ht="12.75" customHeight="1">
      <c r="A242" s="44" t="s">
        <v>273</v>
      </c>
      <c r="C242" s="44" t="s">
        <v>27</v>
      </c>
      <c r="D242" s="35"/>
      <c r="E242" s="45">
        <v>12325252</v>
      </c>
      <c r="F242" s="45"/>
      <c r="G242" s="45">
        <v>19119560</v>
      </c>
      <c r="H242" s="45"/>
      <c r="I242" s="45">
        <v>791241</v>
      </c>
      <c r="J242" s="45"/>
      <c r="K242" s="45">
        <v>3967343</v>
      </c>
      <c r="L242" s="45"/>
      <c r="M242" s="45">
        <v>6822869</v>
      </c>
      <c r="N242" s="45"/>
      <c r="O242" s="45">
        <v>320000</v>
      </c>
      <c r="P242" s="45"/>
      <c r="Q242" s="45">
        <f>280141+1129655</f>
        <v>1409796</v>
      </c>
      <c r="R242" s="45"/>
      <c r="S242" s="44">
        <f t="shared" si="8"/>
        <v>4096251</v>
      </c>
      <c r="T242" s="45"/>
      <c r="U242" s="45">
        <v>48852312</v>
      </c>
      <c r="V242" s="44"/>
      <c r="W242" s="45">
        <f>12201+9990000+4776+1966471</f>
        <v>11973448</v>
      </c>
    </row>
    <row r="243" spans="1:23" s="116" customFormat="1" ht="12.75" customHeight="1">
      <c r="A243" s="44" t="s">
        <v>274</v>
      </c>
      <c r="C243" s="44" t="s">
        <v>43</v>
      </c>
      <c r="D243" s="35"/>
      <c r="E243" s="45">
        <v>575758</v>
      </c>
      <c r="F243" s="45"/>
      <c r="G243" s="45">
        <v>14620565</v>
      </c>
      <c r="H243" s="45"/>
      <c r="I243" s="45">
        <v>0</v>
      </c>
      <c r="J243" s="45"/>
      <c r="K243" s="45">
        <v>594426</v>
      </c>
      <c r="L243" s="45"/>
      <c r="M243" s="45">
        <v>3179621</v>
      </c>
      <c r="N243" s="45"/>
      <c r="O243" s="45">
        <v>10800</v>
      </c>
      <c r="P243" s="45"/>
      <c r="Q243" s="45">
        <f>349375+375416</f>
        <v>724791</v>
      </c>
      <c r="R243" s="45"/>
      <c r="S243" s="44">
        <f t="shared" si="8"/>
        <v>671420</v>
      </c>
      <c r="T243" s="45"/>
      <c r="U243" s="45">
        <v>20377381</v>
      </c>
      <c r="V243" s="44"/>
      <c r="W243" s="45">
        <f>1109777+12105</f>
        <v>1121882</v>
      </c>
    </row>
    <row r="244" spans="1:23" s="116" customFormat="1" ht="12.75" customHeight="1">
      <c r="A244" s="44" t="s">
        <v>275</v>
      </c>
      <c r="C244" s="44" t="s">
        <v>92</v>
      </c>
      <c r="D244" s="35"/>
      <c r="E244" s="45">
        <v>2997085</v>
      </c>
      <c r="F244" s="45"/>
      <c r="G244" s="45">
        <v>9278010</v>
      </c>
      <c r="H244" s="45"/>
      <c r="I244" s="45">
        <f>192438+2956969</f>
        <v>3149407</v>
      </c>
      <c r="J244" s="45"/>
      <c r="K244" s="45">
        <v>589012</v>
      </c>
      <c r="L244" s="45"/>
      <c r="M244" s="45">
        <v>1638577</v>
      </c>
      <c r="N244" s="45"/>
      <c r="O244" s="45">
        <v>336153</v>
      </c>
      <c r="P244" s="45"/>
      <c r="Q244" s="45">
        <f>167778+372098</f>
        <v>539876</v>
      </c>
      <c r="R244" s="45"/>
      <c r="S244" s="44">
        <f t="shared" si="8"/>
        <v>542930</v>
      </c>
      <c r="T244" s="45"/>
      <c r="U244" s="45">
        <v>19071050</v>
      </c>
      <c r="V244" s="44"/>
      <c r="W244" s="45">
        <f>43749+432143</f>
        <v>475892</v>
      </c>
    </row>
    <row r="245" spans="1:23" s="116" customFormat="1" ht="12.75" customHeight="1">
      <c r="A245" s="44" t="s">
        <v>276</v>
      </c>
      <c r="C245" s="44" t="s">
        <v>38</v>
      </c>
      <c r="D245" s="35"/>
      <c r="E245" s="45">
        <v>433436</v>
      </c>
      <c r="F245" s="45"/>
      <c r="G245" s="45">
        <v>2855267</v>
      </c>
      <c r="H245" s="45"/>
      <c r="I245" s="45">
        <v>0</v>
      </c>
      <c r="J245" s="45"/>
      <c r="K245" s="45">
        <v>562596</v>
      </c>
      <c r="L245" s="45"/>
      <c r="M245" s="45">
        <v>1155749</v>
      </c>
      <c r="N245" s="45"/>
      <c r="O245" s="45">
        <v>0</v>
      </c>
      <c r="P245" s="45"/>
      <c r="Q245" s="45">
        <f>73986+47186</f>
        <v>121172</v>
      </c>
      <c r="R245" s="45"/>
      <c r="S245" s="44">
        <f t="shared" si="8"/>
        <v>296933</v>
      </c>
      <c r="T245" s="45"/>
      <c r="U245" s="45">
        <v>5425153</v>
      </c>
      <c r="V245" s="44"/>
      <c r="W245" s="45">
        <f>370000+8001+3935+217042</f>
        <v>598978</v>
      </c>
    </row>
    <row r="246" spans="1:23" s="116" customFormat="1" ht="12.75" customHeight="1">
      <c r="A246" s="44" t="s">
        <v>277</v>
      </c>
      <c r="C246" s="44" t="s">
        <v>92</v>
      </c>
      <c r="D246" s="35"/>
      <c r="E246" s="45">
        <v>4514963</v>
      </c>
      <c r="F246" s="45"/>
      <c r="G246" s="45">
        <v>15483415</v>
      </c>
      <c r="H246" s="45"/>
      <c r="I246" s="45">
        <v>0</v>
      </c>
      <c r="J246" s="45"/>
      <c r="K246" s="45">
        <v>1453966</v>
      </c>
      <c r="L246" s="45"/>
      <c r="M246" s="45">
        <v>5816651</v>
      </c>
      <c r="N246" s="45"/>
      <c r="O246" s="45">
        <v>653084</v>
      </c>
      <c r="P246" s="45"/>
      <c r="Q246" s="45">
        <f>2392415+259563</f>
        <v>2651978</v>
      </c>
      <c r="R246" s="45"/>
      <c r="S246" s="44">
        <f t="shared" si="8"/>
        <v>748427</v>
      </c>
      <c r="T246" s="45"/>
      <c r="U246" s="45">
        <v>31322484</v>
      </c>
      <c r="V246" s="44"/>
      <c r="W246" s="45">
        <f>2643521+108639</f>
        <v>2752160</v>
      </c>
    </row>
    <row r="247" spans="1:23" s="116" customFormat="1" ht="12.75" customHeight="1">
      <c r="A247" s="44" t="s">
        <v>278</v>
      </c>
      <c r="C247" s="44" t="s">
        <v>92</v>
      </c>
      <c r="D247" s="35"/>
      <c r="E247" s="45">
        <v>1971187</v>
      </c>
      <c r="F247" s="45"/>
      <c r="G247" s="45">
        <v>3467074</v>
      </c>
      <c r="H247" s="45"/>
      <c r="I247" s="45">
        <f>48431+70452+105326</f>
        <v>224209</v>
      </c>
      <c r="J247" s="45"/>
      <c r="K247" s="45">
        <v>402116</v>
      </c>
      <c r="L247" s="45"/>
      <c r="M247" s="45">
        <v>1828650</v>
      </c>
      <c r="N247" s="45"/>
      <c r="O247" s="45">
        <v>104782</v>
      </c>
      <c r="P247" s="45"/>
      <c r="Q247" s="45">
        <f>940266+115395</f>
        <v>1055661</v>
      </c>
      <c r="R247" s="45"/>
      <c r="S247" s="44">
        <f t="shared" si="8"/>
        <v>502799</v>
      </c>
      <c r="T247" s="45"/>
      <c r="U247" s="45">
        <v>9556478</v>
      </c>
      <c r="V247" s="44"/>
      <c r="W247" s="45">
        <f>1050000+13218+25888+991762</f>
        <v>2080868</v>
      </c>
    </row>
    <row r="248" spans="1:23" s="116" customFormat="1" ht="12.75" customHeight="1">
      <c r="A248" s="44" t="s">
        <v>279</v>
      </c>
      <c r="C248" s="44" t="s">
        <v>92</v>
      </c>
      <c r="D248" s="35"/>
      <c r="E248" s="45">
        <v>4410760</v>
      </c>
      <c r="F248" s="45"/>
      <c r="G248" s="45">
        <v>2368452</v>
      </c>
      <c r="H248" s="45"/>
      <c r="I248" s="45">
        <v>121262</v>
      </c>
      <c r="J248" s="45"/>
      <c r="K248" s="45">
        <v>635314</v>
      </c>
      <c r="L248" s="45"/>
      <c r="M248" s="45">
        <v>3509445</v>
      </c>
      <c r="N248" s="45"/>
      <c r="O248" s="45">
        <v>0</v>
      </c>
      <c r="P248" s="45"/>
      <c r="Q248" s="45">
        <f>210285+98376</f>
        <v>308661</v>
      </c>
      <c r="R248" s="45"/>
      <c r="S248" s="44">
        <f t="shared" si="8"/>
        <v>348577</v>
      </c>
      <c r="T248" s="45"/>
      <c r="U248" s="45">
        <v>11702471</v>
      </c>
      <c r="V248" s="44"/>
      <c r="W248" s="45">
        <f>7696+3145000+3290880</f>
        <v>6443576</v>
      </c>
    </row>
    <row r="249" spans="1:23" s="116" customFormat="1" ht="12.75" customHeight="1">
      <c r="A249" s="44" t="s">
        <v>280</v>
      </c>
      <c r="C249" s="44" t="s">
        <v>281</v>
      </c>
      <c r="D249" s="35"/>
      <c r="E249" s="45">
        <v>2013999</v>
      </c>
      <c r="F249" s="45"/>
      <c r="G249" s="45">
        <v>6647497</v>
      </c>
      <c r="H249" s="45"/>
      <c r="I249" s="45">
        <v>0</v>
      </c>
      <c r="J249" s="45"/>
      <c r="K249" s="45">
        <v>1653088</v>
      </c>
      <c r="L249" s="45"/>
      <c r="M249" s="45">
        <v>3552672</v>
      </c>
      <c r="N249" s="45"/>
      <c r="O249" s="45">
        <v>321173</v>
      </c>
      <c r="P249" s="45"/>
      <c r="Q249" s="45">
        <f>1084141+32356</f>
        <v>1116497</v>
      </c>
      <c r="R249" s="45"/>
      <c r="S249" s="44">
        <f t="shared" si="8"/>
        <v>1282630</v>
      </c>
      <c r="T249" s="45"/>
      <c r="U249" s="45">
        <v>16587556</v>
      </c>
      <c r="V249" s="44"/>
      <c r="W249" s="45">
        <v>5496259</v>
      </c>
    </row>
    <row r="250" spans="1:23" s="116" customFormat="1" ht="12.75" customHeight="1">
      <c r="A250" s="44" t="s">
        <v>282</v>
      </c>
      <c r="C250" s="44" t="s">
        <v>199</v>
      </c>
      <c r="D250" s="35"/>
      <c r="E250" s="45">
        <v>12567877</v>
      </c>
      <c r="F250" s="45"/>
      <c r="G250" s="45">
        <v>0</v>
      </c>
      <c r="H250" s="45"/>
      <c r="I250" s="45">
        <v>0</v>
      </c>
      <c r="J250" s="45"/>
      <c r="K250" s="45">
        <v>1275498</v>
      </c>
      <c r="L250" s="45"/>
      <c r="M250" s="45">
        <v>3772218</v>
      </c>
      <c r="N250" s="45"/>
      <c r="O250" s="45">
        <v>237644</v>
      </c>
      <c r="P250" s="45"/>
      <c r="Q250" s="45">
        <v>369262</v>
      </c>
      <c r="R250" s="45"/>
      <c r="S250" s="44">
        <f t="shared" si="8"/>
        <v>3340233</v>
      </c>
      <c r="T250" s="45"/>
      <c r="U250" s="45">
        <v>21562732</v>
      </c>
      <c r="V250" s="44"/>
      <c r="W250" s="45">
        <f>4000000+1797400</f>
        <v>5797400</v>
      </c>
    </row>
    <row r="251" spans="1:23" s="116" customFormat="1" ht="12.75" customHeight="1">
      <c r="A251" s="44" t="s">
        <v>283</v>
      </c>
      <c r="C251" s="44" t="s">
        <v>43</v>
      </c>
      <c r="D251" s="35"/>
      <c r="E251" s="45">
        <v>2622535</v>
      </c>
      <c r="F251" s="45"/>
      <c r="G251" s="45">
        <v>16261767</v>
      </c>
      <c r="H251" s="45"/>
      <c r="I251" s="45">
        <v>187267</v>
      </c>
      <c r="J251" s="45"/>
      <c r="K251" s="45">
        <v>3293621</v>
      </c>
      <c r="L251" s="45"/>
      <c r="M251" s="45">
        <v>2882446</v>
      </c>
      <c r="N251" s="45"/>
      <c r="O251" s="45">
        <v>49900</v>
      </c>
      <c r="P251" s="45"/>
      <c r="Q251" s="45">
        <f>283767+214156</f>
        <v>497923</v>
      </c>
      <c r="R251" s="45"/>
      <c r="S251" s="44">
        <f t="shared" si="8"/>
        <v>1016682</v>
      </c>
      <c r="T251" s="45"/>
      <c r="U251" s="45">
        <v>26812141</v>
      </c>
      <c r="V251" s="44"/>
      <c r="W251" s="45">
        <v>1618580</v>
      </c>
    </row>
    <row r="252" spans="1:23" s="116" customFormat="1" ht="12.75" customHeight="1">
      <c r="A252" s="44" t="s">
        <v>284</v>
      </c>
      <c r="C252" s="44" t="s">
        <v>45</v>
      </c>
      <c r="D252" s="35"/>
      <c r="E252" s="45">
        <v>7190591</v>
      </c>
      <c r="F252" s="45"/>
      <c r="G252" s="45">
        <v>0</v>
      </c>
      <c r="H252" s="45"/>
      <c r="I252" s="45">
        <v>0</v>
      </c>
      <c r="J252" s="45"/>
      <c r="K252" s="45">
        <v>922815</v>
      </c>
      <c r="L252" s="45"/>
      <c r="M252" s="45">
        <v>2536747</v>
      </c>
      <c r="N252" s="45"/>
      <c r="O252" s="45">
        <v>184</v>
      </c>
      <c r="P252" s="45"/>
      <c r="Q252" s="45">
        <v>136378</v>
      </c>
      <c r="R252" s="45"/>
      <c r="S252" s="44">
        <f t="shared" si="8"/>
        <v>603255</v>
      </c>
      <c r="T252" s="45"/>
      <c r="U252" s="45">
        <v>11389970</v>
      </c>
      <c r="V252" s="44"/>
      <c r="W252" s="45">
        <v>1682782</v>
      </c>
    </row>
    <row r="253" spans="1:23" s="116" customFormat="1" ht="12.75" customHeight="1">
      <c r="A253" s="44" t="s">
        <v>285</v>
      </c>
      <c r="C253" s="44" t="s">
        <v>30</v>
      </c>
      <c r="D253" s="35"/>
      <c r="E253" s="45">
        <v>3548150</v>
      </c>
      <c r="F253" s="45"/>
      <c r="G253" s="45">
        <v>8973379</v>
      </c>
      <c r="H253" s="45"/>
      <c r="I253" s="45">
        <v>2106148</v>
      </c>
      <c r="J253" s="45"/>
      <c r="K253" s="45">
        <v>1712640</v>
      </c>
      <c r="L253" s="45"/>
      <c r="M253" s="45">
        <v>133417</v>
      </c>
      <c r="N253" s="45"/>
      <c r="O253" s="45">
        <v>0</v>
      </c>
      <c r="P253" s="45"/>
      <c r="Q253" s="45">
        <v>1723130</v>
      </c>
      <c r="R253" s="45"/>
      <c r="S253" s="44">
        <f t="shared" si="8"/>
        <v>2322768</v>
      </c>
      <c r="T253" s="45"/>
      <c r="U253" s="45">
        <v>20519632</v>
      </c>
      <c r="V253" s="44"/>
      <c r="W253" s="45">
        <f>448251+694000</f>
        <v>1142251</v>
      </c>
    </row>
    <row r="254" spans="1:23" s="116" customFormat="1" ht="12.75" customHeight="1">
      <c r="A254" s="44" t="s">
        <v>286</v>
      </c>
      <c r="C254" s="44" t="s">
        <v>61</v>
      </c>
      <c r="D254" s="64"/>
      <c r="E254" s="45">
        <v>2216040</v>
      </c>
      <c r="F254" s="45"/>
      <c r="G254" s="45">
        <v>46373700</v>
      </c>
      <c r="H254" s="45"/>
      <c r="I254" s="45">
        <v>318241</v>
      </c>
      <c r="J254" s="45"/>
      <c r="K254" s="45">
        <v>6458508</v>
      </c>
      <c r="L254" s="45"/>
      <c r="M254" s="45">
        <v>17398353</v>
      </c>
      <c r="N254" s="45"/>
      <c r="O254" s="45">
        <v>0</v>
      </c>
      <c r="P254" s="45"/>
      <c r="Q254" s="45">
        <f>658659+765352</f>
        <v>1424011</v>
      </c>
      <c r="R254" s="45"/>
      <c r="S254" s="44">
        <f t="shared" si="8"/>
        <v>5274190</v>
      </c>
      <c r="T254" s="45"/>
      <c r="U254" s="45">
        <v>79463043</v>
      </c>
      <c r="V254" s="44"/>
      <c r="W254" s="45">
        <f>1267469+196362+29234683</f>
        <v>30698514</v>
      </c>
    </row>
    <row r="255" spans="1:23" s="116" customFormat="1" ht="12.75" customHeight="1">
      <c r="A255" s="44" t="s">
        <v>287</v>
      </c>
      <c r="C255" s="44" t="s">
        <v>288</v>
      </c>
      <c r="D255" s="35"/>
      <c r="E255" s="45">
        <v>1756227</v>
      </c>
      <c r="F255" s="45"/>
      <c r="G255" s="45">
        <v>14622610</v>
      </c>
      <c r="H255" s="45"/>
      <c r="I255" s="45">
        <v>0</v>
      </c>
      <c r="J255" s="45"/>
      <c r="K255" s="45">
        <v>1982513</v>
      </c>
      <c r="L255" s="45"/>
      <c r="M255" s="45">
        <v>4014735</v>
      </c>
      <c r="N255" s="45"/>
      <c r="O255" s="45">
        <v>0</v>
      </c>
      <c r="P255" s="45"/>
      <c r="Q255" s="45">
        <f>473985+445455</f>
        <v>919440</v>
      </c>
      <c r="R255" s="45"/>
      <c r="S255" s="44">
        <f t="shared" si="8"/>
        <v>566222</v>
      </c>
      <c r="T255" s="45"/>
      <c r="U255" s="45">
        <v>23861747</v>
      </c>
      <c r="V255" s="44"/>
      <c r="W255" s="45">
        <f>821398+116735+7711799</f>
        <v>8649932</v>
      </c>
    </row>
    <row r="256" spans="1:23" s="49" customFormat="1" ht="12.75" customHeight="1">
      <c r="A256" s="44" t="s">
        <v>471</v>
      </c>
      <c r="B256" s="116"/>
      <c r="C256" s="47"/>
      <c r="D256" s="47"/>
      <c r="F256" s="44"/>
      <c r="H256" s="44"/>
      <c r="J256" s="44"/>
      <c r="L256" s="44"/>
      <c r="N256" s="44"/>
      <c r="P256" s="44"/>
      <c r="R256" s="44"/>
      <c r="S256" s="44"/>
      <c r="T256" s="44"/>
    </row>
    <row r="257" spans="1:23" s="116" customFormat="1" ht="12.75" customHeight="1">
      <c r="A257" s="49"/>
      <c r="B257" s="49"/>
      <c r="C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4"/>
      <c r="T257" s="49"/>
      <c r="U257" s="48"/>
      <c r="V257" s="47"/>
      <c r="W257" s="44"/>
    </row>
    <row r="258" spans="1:23" s="116" customFormat="1" ht="12.75" customHeight="1">
      <c r="A258" s="49"/>
      <c r="C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4"/>
      <c r="T258" s="49"/>
      <c r="U258" s="48"/>
      <c r="V258" s="47"/>
      <c r="W258" s="44"/>
    </row>
    <row r="259" spans="1:23" s="116" customFormat="1" ht="12.75" customHeight="1">
      <c r="A259" s="49"/>
      <c r="C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4"/>
      <c r="T259" s="49"/>
      <c r="U259" s="48"/>
      <c r="V259" s="47"/>
      <c r="W259" s="44"/>
    </row>
    <row r="260" spans="1:23" s="116" customFormat="1" ht="12.75" customHeight="1">
      <c r="A260" s="49"/>
      <c r="C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4"/>
      <c r="T260" s="49"/>
      <c r="U260" s="48"/>
      <c r="V260" s="47"/>
      <c r="W260" s="44"/>
    </row>
    <row r="261" spans="1:23" s="116" customFormat="1" ht="12.75" customHeight="1">
      <c r="A261" s="49"/>
      <c r="C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4"/>
      <c r="T261" s="49"/>
      <c r="U261" s="48"/>
      <c r="V261" s="47"/>
      <c r="W261" s="44"/>
    </row>
    <row r="262" spans="1:23" s="116" customFormat="1" ht="12.75" customHeight="1">
      <c r="A262" s="49"/>
      <c r="C262" s="49"/>
      <c r="E262" s="119"/>
      <c r="F262" s="119"/>
      <c r="G262" s="119"/>
      <c r="H262" s="119"/>
      <c r="I262" s="119"/>
      <c r="J262" s="119"/>
      <c r="K262" s="119"/>
      <c r="L262" s="119"/>
      <c r="M262" s="119"/>
      <c r="N262" s="119"/>
      <c r="O262" s="119"/>
      <c r="P262" s="119"/>
      <c r="Q262" s="119"/>
      <c r="R262" s="119"/>
      <c r="S262" s="118"/>
      <c r="T262" s="119"/>
      <c r="U262" s="120"/>
      <c r="W262" s="44"/>
    </row>
    <row r="263" spans="1:23" s="116" customFormat="1" ht="12.75" customHeight="1">
      <c r="A263" s="119"/>
      <c r="C263" s="119"/>
      <c r="E263" s="119"/>
      <c r="F263" s="119"/>
      <c r="G263" s="119"/>
      <c r="H263" s="119"/>
      <c r="I263" s="119"/>
      <c r="J263" s="119"/>
      <c r="K263" s="119"/>
      <c r="L263" s="119"/>
      <c r="M263" s="119"/>
      <c r="N263" s="119"/>
      <c r="O263" s="119"/>
      <c r="P263" s="119"/>
      <c r="Q263" s="119"/>
      <c r="R263" s="119"/>
      <c r="S263" s="118"/>
      <c r="T263" s="119"/>
      <c r="U263" s="120"/>
      <c r="W263" s="44"/>
    </row>
    <row r="264" spans="1:23" s="116" customFormat="1" ht="12.75" customHeight="1">
      <c r="A264" s="119"/>
      <c r="C264" s="119"/>
      <c r="E264" s="119"/>
      <c r="F264" s="119"/>
      <c r="G264" s="119"/>
      <c r="H264" s="119"/>
      <c r="I264" s="119"/>
      <c r="J264" s="119"/>
      <c r="K264" s="119"/>
      <c r="L264" s="119"/>
      <c r="M264" s="119"/>
      <c r="N264" s="119"/>
      <c r="O264" s="119"/>
      <c r="P264" s="119"/>
      <c r="Q264" s="119"/>
      <c r="R264" s="119"/>
      <c r="S264" s="118"/>
      <c r="T264" s="119"/>
      <c r="U264" s="120"/>
      <c r="W264" s="44"/>
    </row>
    <row r="265" spans="1:23" s="116" customFormat="1" ht="12.75" customHeight="1">
      <c r="A265" s="119"/>
      <c r="C265" s="119"/>
      <c r="E265" s="119"/>
      <c r="F265" s="119"/>
      <c r="G265" s="119"/>
      <c r="H265" s="119"/>
      <c r="I265" s="119"/>
      <c r="J265" s="119"/>
      <c r="K265" s="119"/>
      <c r="L265" s="119"/>
      <c r="M265" s="119"/>
      <c r="N265" s="119"/>
      <c r="O265" s="119"/>
      <c r="P265" s="119"/>
      <c r="Q265" s="119"/>
      <c r="R265" s="119"/>
      <c r="S265" s="118"/>
      <c r="T265" s="119"/>
      <c r="U265" s="120"/>
      <c r="W265" s="44"/>
    </row>
    <row r="266" spans="1:23" s="116" customFormat="1" ht="12.75" customHeight="1">
      <c r="A266" s="119"/>
      <c r="C266" s="119"/>
      <c r="E266" s="119"/>
      <c r="F266" s="119"/>
      <c r="G266" s="119"/>
      <c r="H266" s="119"/>
      <c r="I266" s="119"/>
      <c r="J266" s="119"/>
      <c r="K266" s="119"/>
      <c r="L266" s="119"/>
      <c r="M266" s="119"/>
      <c r="N266" s="119"/>
      <c r="O266" s="119"/>
      <c r="P266" s="119"/>
      <c r="Q266" s="119"/>
      <c r="R266" s="119"/>
      <c r="S266" s="118"/>
      <c r="T266" s="119"/>
      <c r="U266" s="120"/>
      <c r="W266" s="44"/>
    </row>
    <row r="267" spans="1:23" s="116" customFormat="1" ht="12.75" customHeight="1">
      <c r="A267" s="119"/>
      <c r="C267" s="119"/>
      <c r="E267" s="119"/>
      <c r="F267" s="119"/>
      <c r="G267" s="119"/>
      <c r="H267" s="119"/>
      <c r="I267" s="119"/>
      <c r="J267" s="119"/>
      <c r="K267" s="119"/>
      <c r="L267" s="119"/>
      <c r="M267" s="119"/>
      <c r="N267" s="119"/>
      <c r="O267" s="119"/>
      <c r="P267" s="119"/>
      <c r="Q267" s="119"/>
      <c r="R267" s="119"/>
      <c r="S267" s="118"/>
      <c r="T267" s="119"/>
      <c r="U267" s="120"/>
      <c r="W267" s="44"/>
    </row>
    <row r="268" spans="1:23" s="116" customFormat="1" ht="12.75" customHeight="1">
      <c r="A268" s="119"/>
      <c r="C268" s="119"/>
      <c r="E268" s="119"/>
      <c r="F268" s="119"/>
      <c r="G268" s="119"/>
      <c r="H268" s="119"/>
      <c r="I268" s="119"/>
      <c r="J268" s="119"/>
      <c r="K268" s="119"/>
      <c r="L268" s="119"/>
      <c r="M268" s="119"/>
      <c r="N268" s="119"/>
      <c r="O268" s="119"/>
      <c r="P268" s="119"/>
      <c r="Q268" s="119"/>
      <c r="R268" s="119"/>
      <c r="S268" s="118"/>
      <c r="T268" s="119"/>
      <c r="U268" s="120"/>
      <c r="W268" s="44"/>
    </row>
    <row r="269" spans="1:23" s="116" customFormat="1" ht="12.75" customHeight="1">
      <c r="A269" s="119"/>
      <c r="C269" s="119"/>
      <c r="E269" s="119"/>
      <c r="F269" s="119"/>
      <c r="G269" s="119"/>
      <c r="H269" s="119"/>
      <c r="I269" s="119"/>
      <c r="J269" s="119"/>
      <c r="K269" s="119"/>
      <c r="L269" s="119"/>
      <c r="M269" s="119"/>
      <c r="N269" s="119"/>
      <c r="O269" s="119"/>
      <c r="P269" s="119"/>
      <c r="Q269" s="119"/>
      <c r="R269" s="119"/>
      <c r="S269" s="118"/>
      <c r="T269" s="119"/>
      <c r="U269" s="120"/>
      <c r="W269" s="44"/>
    </row>
    <row r="270" spans="1:23" s="116" customFormat="1" ht="12.75" customHeight="1">
      <c r="A270" s="119"/>
      <c r="C270" s="119"/>
      <c r="E270" s="119"/>
      <c r="F270" s="119"/>
      <c r="G270" s="119"/>
      <c r="H270" s="119"/>
      <c r="I270" s="119"/>
      <c r="J270" s="119"/>
      <c r="K270" s="119"/>
      <c r="L270" s="119"/>
      <c r="M270" s="119"/>
      <c r="N270" s="119"/>
      <c r="O270" s="119"/>
      <c r="P270" s="119"/>
      <c r="Q270" s="119"/>
      <c r="R270" s="119"/>
      <c r="S270" s="118"/>
      <c r="T270" s="119"/>
      <c r="U270" s="120"/>
      <c r="W270" s="44"/>
    </row>
    <row r="271" spans="1:23" s="116" customFormat="1" ht="12.75" customHeight="1">
      <c r="A271" s="119"/>
      <c r="C271" s="119"/>
      <c r="E271" s="119"/>
      <c r="F271" s="119"/>
      <c r="G271" s="119"/>
      <c r="H271" s="119"/>
      <c r="I271" s="119"/>
      <c r="J271" s="119"/>
      <c r="K271" s="119"/>
      <c r="L271" s="119"/>
      <c r="M271" s="119"/>
      <c r="N271" s="119"/>
      <c r="O271" s="119"/>
      <c r="P271" s="119"/>
      <c r="Q271" s="119"/>
      <c r="R271" s="119"/>
      <c r="S271" s="118"/>
      <c r="T271" s="119"/>
      <c r="U271" s="120"/>
      <c r="W271" s="44"/>
    </row>
    <row r="272" spans="1:23" s="116" customFormat="1" ht="12.75" customHeight="1">
      <c r="A272" s="119"/>
      <c r="C272" s="119"/>
      <c r="E272" s="119"/>
      <c r="F272" s="119"/>
      <c r="G272" s="119"/>
      <c r="H272" s="119"/>
      <c r="I272" s="119"/>
      <c r="J272" s="119"/>
      <c r="K272" s="119"/>
      <c r="L272" s="119"/>
      <c r="M272" s="119"/>
      <c r="N272" s="119"/>
      <c r="O272" s="119"/>
      <c r="P272" s="119"/>
      <c r="Q272" s="119"/>
      <c r="R272" s="119"/>
      <c r="S272" s="118"/>
      <c r="T272" s="119"/>
      <c r="U272" s="120"/>
      <c r="W272" s="44"/>
    </row>
    <row r="273" spans="1:23" s="116" customFormat="1" ht="12.75" customHeight="1">
      <c r="A273" s="119"/>
      <c r="C273" s="119"/>
      <c r="E273" s="119"/>
      <c r="F273" s="119"/>
      <c r="G273" s="119"/>
      <c r="H273" s="119"/>
      <c r="I273" s="119"/>
      <c r="J273" s="119"/>
      <c r="K273" s="119"/>
      <c r="L273" s="119"/>
      <c r="M273" s="119"/>
      <c r="N273" s="119"/>
      <c r="O273" s="119"/>
      <c r="P273" s="119"/>
      <c r="Q273" s="119"/>
      <c r="R273" s="119"/>
      <c r="S273" s="118"/>
      <c r="T273" s="119"/>
      <c r="U273" s="120"/>
      <c r="W273" s="44"/>
    </row>
    <row r="274" spans="1:23" s="116" customFormat="1" ht="12.75" customHeight="1">
      <c r="A274" s="119"/>
      <c r="C274" s="119"/>
      <c r="E274" s="119"/>
      <c r="F274" s="119"/>
      <c r="G274" s="119"/>
      <c r="H274" s="119"/>
      <c r="I274" s="119"/>
      <c r="J274" s="119"/>
      <c r="K274" s="119"/>
      <c r="L274" s="119"/>
      <c r="M274" s="119"/>
      <c r="N274" s="119"/>
      <c r="O274" s="119"/>
      <c r="P274" s="119"/>
      <c r="Q274" s="119"/>
      <c r="R274" s="119"/>
      <c r="S274" s="118"/>
      <c r="T274" s="119"/>
      <c r="U274" s="120"/>
      <c r="W274" s="44"/>
    </row>
    <row r="275" spans="1:23" s="116" customFormat="1" ht="12.75" customHeight="1">
      <c r="A275" s="119"/>
      <c r="C275" s="119"/>
      <c r="E275" s="119"/>
      <c r="F275" s="119"/>
      <c r="G275" s="119"/>
      <c r="H275" s="119"/>
      <c r="I275" s="119"/>
      <c r="J275" s="119"/>
      <c r="K275" s="119"/>
      <c r="L275" s="119"/>
      <c r="M275" s="119"/>
      <c r="N275" s="119"/>
      <c r="O275" s="119"/>
      <c r="P275" s="119"/>
      <c r="Q275" s="119"/>
      <c r="R275" s="119"/>
      <c r="S275" s="118"/>
      <c r="T275" s="119"/>
      <c r="U275" s="120"/>
      <c r="W275" s="44"/>
    </row>
    <row r="276" spans="1:23" s="116" customFormat="1" ht="12.75" customHeight="1">
      <c r="A276" s="119"/>
      <c r="C276" s="119"/>
      <c r="E276" s="119"/>
      <c r="F276" s="119"/>
      <c r="G276" s="119"/>
      <c r="H276" s="119"/>
      <c r="I276" s="119"/>
      <c r="J276" s="119"/>
      <c r="K276" s="119"/>
      <c r="L276" s="119"/>
      <c r="M276" s="119"/>
      <c r="N276" s="119"/>
      <c r="O276" s="119"/>
      <c r="P276" s="119"/>
      <c r="Q276" s="119"/>
      <c r="R276" s="119"/>
      <c r="S276" s="118"/>
      <c r="T276" s="119"/>
      <c r="U276" s="120"/>
      <c r="W276" s="44"/>
    </row>
    <row r="277" spans="1:23" s="116" customFormat="1" ht="12.75" customHeight="1">
      <c r="A277" s="119"/>
      <c r="C277" s="119"/>
      <c r="E277" s="119"/>
      <c r="F277" s="119"/>
      <c r="G277" s="119"/>
      <c r="H277" s="119"/>
      <c r="I277" s="119"/>
      <c r="J277" s="119"/>
      <c r="K277" s="119"/>
      <c r="L277" s="119"/>
      <c r="M277" s="119"/>
      <c r="N277" s="119"/>
      <c r="O277" s="119"/>
      <c r="P277" s="119"/>
      <c r="Q277" s="119"/>
      <c r="R277" s="119"/>
      <c r="S277" s="118"/>
      <c r="T277" s="119"/>
      <c r="U277" s="120"/>
      <c r="W277" s="44"/>
    </row>
    <row r="278" spans="1:23" s="116" customFormat="1" ht="12.75" customHeight="1">
      <c r="A278" s="119"/>
      <c r="C278" s="119"/>
      <c r="E278" s="119"/>
      <c r="F278" s="119"/>
      <c r="G278" s="119"/>
      <c r="H278" s="119"/>
      <c r="I278" s="119"/>
      <c r="J278" s="119"/>
      <c r="K278" s="119"/>
      <c r="L278" s="119"/>
      <c r="M278" s="119"/>
      <c r="N278" s="119"/>
      <c r="O278" s="119"/>
      <c r="P278" s="119"/>
      <c r="Q278" s="119"/>
      <c r="R278" s="119"/>
      <c r="S278" s="118"/>
      <c r="T278" s="119"/>
      <c r="U278" s="120"/>
      <c r="W278" s="44"/>
    </row>
    <row r="279" spans="1:23" s="116" customFormat="1" ht="12.75" customHeight="1">
      <c r="A279" s="119"/>
      <c r="C279" s="119"/>
      <c r="E279" s="119"/>
      <c r="F279" s="119"/>
      <c r="G279" s="119"/>
      <c r="H279" s="119"/>
      <c r="I279" s="119"/>
      <c r="J279" s="119"/>
      <c r="K279" s="119"/>
      <c r="L279" s="119"/>
      <c r="M279" s="119"/>
      <c r="N279" s="119"/>
      <c r="O279" s="119"/>
      <c r="P279" s="119"/>
      <c r="Q279" s="119"/>
      <c r="R279" s="119"/>
      <c r="S279" s="118"/>
      <c r="T279" s="119"/>
      <c r="U279" s="120"/>
      <c r="W279" s="44"/>
    </row>
    <row r="280" spans="1:23" s="116" customFormat="1" ht="12.75" customHeight="1">
      <c r="A280" s="119"/>
      <c r="C280" s="119"/>
      <c r="E280" s="119"/>
      <c r="F280" s="119"/>
      <c r="G280" s="119"/>
      <c r="H280" s="119"/>
      <c r="I280" s="119"/>
      <c r="J280" s="119"/>
      <c r="K280" s="119"/>
      <c r="L280" s="119"/>
      <c r="M280" s="119"/>
      <c r="N280" s="119"/>
      <c r="O280" s="119"/>
      <c r="P280" s="119"/>
      <c r="Q280" s="119"/>
      <c r="R280" s="119"/>
      <c r="S280" s="118"/>
      <c r="T280" s="119"/>
      <c r="U280" s="120"/>
      <c r="W280" s="44"/>
    </row>
    <row r="281" spans="1:23" s="116" customFormat="1" ht="12.75" customHeight="1">
      <c r="A281" s="119"/>
      <c r="C281" s="119"/>
      <c r="E281" s="119"/>
      <c r="F281" s="119"/>
      <c r="G281" s="119"/>
      <c r="H281" s="119"/>
      <c r="I281" s="119"/>
      <c r="J281" s="119"/>
      <c r="K281" s="119"/>
      <c r="L281" s="119"/>
      <c r="M281" s="119"/>
      <c r="N281" s="119"/>
      <c r="O281" s="119"/>
      <c r="P281" s="119"/>
      <c r="Q281" s="119"/>
      <c r="R281" s="119"/>
      <c r="S281" s="118"/>
      <c r="T281" s="119"/>
      <c r="U281" s="120"/>
      <c r="W281" s="44"/>
    </row>
    <row r="282" spans="1:23" s="116" customFormat="1" ht="12.75" customHeight="1">
      <c r="A282" s="119"/>
      <c r="C282" s="119"/>
      <c r="E282" s="119"/>
      <c r="F282" s="119"/>
      <c r="G282" s="119"/>
      <c r="H282" s="119"/>
      <c r="I282" s="119"/>
      <c r="J282" s="119"/>
      <c r="K282" s="119"/>
      <c r="L282" s="119"/>
      <c r="M282" s="119"/>
      <c r="N282" s="119"/>
      <c r="O282" s="119"/>
      <c r="P282" s="119"/>
      <c r="Q282" s="119"/>
      <c r="R282" s="119"/>
      <c r="S282" s="118"/>
      <c r="T282" s="119"/>
      <c r="U282" s="120"/>
      <c r="W282" s="44"/>
    </row>
    <row r="283" spans="1:23" s="116" customFormat="1" ht="12.75" customHeight="1">
      <c r="A283" s="119"/>
      <c r="C283" s="119"/>
      <c r="E283" s="119"/>
      <c r="F283" s="119"/>
      <c r="G283" s="119"/>
      <c r="H283" s="119"/>
      <c r="I283" s="119"/>
      <c r="J283" s="119"/>
      <c r="K283" s="119"/>
      <c r="L283" s="119"/>
      <c r="M283" s="119"/>
      <c r="N283" s="119"/>
      <c r="O283" s="119"/>
      <c r="P283" s="119"/>
      <c r="Q283" s="119"/>
      <c r="R283" s="119"/>
      <c r="S283" s="118"/>
      <c r="T283" s="119"/>
      <c r="U283" s="120"/>
      <c r="W283" s="44"/>
    </row>
    <row r="284" spans="1:23" s="116" customFormat="1" ht="12.75" customHeight="1">
      <c r="A284" s="119"/>
      <c r="C284" s="119"/>
      <c r="E284" s="119"/>
      <c r="F284" s="119"/>
      <c r="G284" s="119"/>
      <c r="H284" s="119"/>
      <c r="I284" s="119"/>
      <c r="J284" s="119"/>
      <c r="K284" s="119"/>
      <c r="L284" s="119"/>
      <c r="M284" s="119"/>
      <c r="N284" s="119"/>
      <c r="O284" s="119"/>
      <c r="P284" s="119"/>
      <c r="Q284" s="119"/>
      <c r="R284" s="119"/>
      <c r="S284" s="118"/>
      <c r="T284" s="119"/>
      <c r="U284" s="120"/>
      <c r="W284" s="44"/>
    </row>
    <row r="285" spans="1:23" s="116" customFormat="1" ht="12.75" customHeight="1">
      <c r="A285" s="119"/>
      <c r="C285" s="119"/>
      <c r="E285" s="119"/>
      <c r="F285" s="119"/>
      <c r="G285" s="119"/>
      <c r="H285" s="119"/>
      <c r="I285" s="119"/>
      <c r="J285" s="119"/>
      <c r="K285" s="119"/>
      <c r="L285" s="119"/>
      <c r="M285" s="119"/>
      <c r="N285" s="119"/>
      <c r="O285" s="119"/>
      <c r="P285" s="119"/>
      <c r="Q285" s="119"/>
      <c r="R285" s="119"/>
      <c r="S285" s="118"/>
      <c r="T285" s="119"/>
      <c r="U285" s="120"/>
      <c r="W285" s="44"/>
    </row>
    <row r="286" spans="1:23" s="116" customFormat="1" ht="12.75" customHeight="1">
      <c r="A286" s="119"/>
      <c r="C286" s="119"/>
      <c r="E286" s="119"/>
      <c r="F286" s="119"/>
      <c r="G286" s="119"/>
      <c r="H286" s="119"/>
      <c r="I286" s="119"/>
      <c r="J286" s="119"/>
      <c r="K286" s="119"/>
      <c r="L286" s="119"/>
      <c r="M286" s="119"/>
      <c r="N286" s="119"/>
      <c r="O286" s="119"/>
      <c r="P286" s="119"/>
      <c r="Q286" s="119"/>
      <c r="R286" s="119"/>
      <c r="S286" s="118"/>
      <c r="T286" s="119"/>
      <c r="U286" s="120"/>
      <c r="W286" s="44"/>
    </row>
    <row r="287" spans="1:23" s="116" customFormat="1" ht="12.75" customHeight="1">
      <c r="A287" s="119"/>
      <c r="C287" s="119"/>
      <c r="E287" s="119"/>
      <c r="F287" s="119"/>
      <c r="G287" s="119"/>
      <c r="H287" s="119"/>
      <c r="I287" s="119"/>
      <c r="J287" s="119"/>
      <c r="K287" s="119"/>
      <c r="L287" s="119"/>
      <c r="M287" s="119"/>
      <c r="N287" s="119"/>
      <c r="O287" s="119"/>
      <c r="P287" s="119"/>
      <c r="Q287" s="119"/>
      <c r="R287" s="119"/>
      <c r="S287" s="118"/>
      <c r="T287" s="119"/>
      <c r="U287" s="120"/>
      <c r="W287" s="44"/>
    </row>
    <row r="288" spans="1:23" s="116" customFormat="1" ht="12.75" customHeight="1">
      <c r="A288" s="119"/>
      <c r="C288" s="119"/>
      <c r="E288" s="119"/>
      <c r="F288" s="119"/>
      <c r="G288" s="119"/>
      <c r="H288" s="119"/>
      <c r="I288" s="119"/>
      <c r="J288" s="119"/>
      <c r="K288" s="119"/>
      <c r="L288" s="119"/>
      <c r="M288" s="119"/>
      <c r="N288" s="119"/>
      <c r="O288" s="119"/>
      <c r="P288" s="119"/>
      <c r="Q288" s="119"/>
      <c r="R288" s="119"/>
      <c r="S288" s="118"/>
      <c r="T288" s="119"/>
      <c r="U288" s="120"/>
      <c r="W288" s="44"/>
    </row>
    <row r="289" spans="1:23" s="116" customFormat="1" ht="12.75" customHeight="1">
      <c r="A289" s="119"/>
      <c r="C289" s="119"/>
      <c r="E289" s="119"/>
      <c r="F289" s="119"/>
      <c r="G289" s="119"/>
      <c r="H289" s="119"/>
      <c r="I289" s="119"/>
      <c r="J289" s="119"/>
      <c r="K289" s="119"/>
      <c r="L289" s="119"/>
      <c r="M289" s="119"/>
      <c r="N289" s="119"/>
      <c r="O289" s="119"/>
      <c r="P289" s="119"/>
      <c r="Q289" s="119"/>
      <c r="R289" s="119"/>
      <c r="S289" s="118"/>
      <c r="T289" s="119"/>
      <c r="U289" s="120"/>
      <c r="W289" s="44"/>
    </row>
    <row r="290" spans="1:23" s="116" customFormat="1" ht="12.75" customHeight="1">
      <c r="A290" s="119"/>
      <c r="C290" s="119"/>
      <c r="E290" s="119"/>
      <c r="F290" s="119"/>
      <c r="G290" s="119"/>
      <c r="H290" s="119"/>
      <c r="I290" s="119"/>
      <c r="J290" s="119"/>
      <c r="K290" s="119"/>
      <c r="L290" s="119"/>
      <c r="M290" s="119"/>
      <c r="N290" s="119"/>
      <c r="O290" s="119"/>
      <c r="P290" s="119"/>
      <c r="Q290" s="119"/>
      <c r="R290" s="119"/>
      <c r="S290" s="118"/>
      <c r="T290" s="119"/>
      <c r="U290" s="120"/>
      <c r="W290" s="44"/>
    </row>
    <row r="291" spans="1:23" s="116" customFormat="1" ht="12.75" customHeight="1">
      <c r="A291" s="119"/>
      <c r="C291" s="119"/>
      <c r="E291" s="119"/>
      <c r="F291" s="119"/>
      <c r="G291" s="119"/>
      <c r="H291" s="119"/>
      <c r="I291" s="119"/>
      <c r="J291" s="119"/>
      <c r="K291" s="119"/>
      <c r="L291" s="119"/>
      <c r="M291" s="119"/>
      <c r="N291" s="119"/>
      <c r="O291" s="119"/>
      <c r="P291" s="119"/>
      <c r="Q291" s="119"/>
      <c r="R291" s="119"/>
      <c r="S291" s="118"/>
      <c r="T291" s="119"/>
      <c r="U291" s="120"/>
      <c r="W291" s="44"/>
    </row>
    <row r="292" spans="1:23" s="116" customFormat="1" ht="12.75" customHeight="1">
      <c r="A292" s="119"/>
      <c r="C292" s="119"/>
      <c r="E292" s="119"/>
      <c r="F292" s="119"/>
      <c r="G292" s="119"/>
      <c r="H292" s="119"/>
      <c r="I292" s="119"/>
      <c r="J292" s="119"/>
      <c r="K292" s="119"/>
      <c r="L292" s="119"/>
      <c r="M292" s="119"/>
      <c r="N292" s="119"/>
      <c r="O292" s="119"/>
      <c r="P292" s="119"/>
      <c r="Q292" s="119"/>
      <c r="R292" s="119"/>
      <c r="S292" s="118"/>
      <c r="T292" s="119"/>
      <c r="U292" s="120"/>
      <c r="W292" s="44"/>
    </row>
    <row r="293" spans="1:23" s="116" customFormat="1" ht="12.75" customHeight="1">
      <c r="A293" s="119"/>
      <c r="C293" s="119"/>
      <c r="E293" s="119"/>
      <c r="F293" s="119"/>
      <c r="G293" s="119"/>
      <c r="H293" s="119"/>
      <c r="I293" s="119"/>
      <c r="J293" s="119"/>
      <c r="K293" s="119"/>
      <c r="L293" s="119"/>
      <c r="M293" s="119"/>
      <c r="N293" s="119"/>
      <c r="O293" s="119"/>
      <c r="P293" s="119"/>
      <c r="Q293" s="119"/>
      <c r="R293" s="119"/>
      <c r="S293" s="118"/>
      <c r="T293" s="119"/>
      <c r="U293" s="120"/>
      <c r="W293" s="44"/>
    </row>
    <row r="294" spans="1:23" s="116" customFormat="1" ht="12.75" customHeight="1">
      <c r="A294" s="119"/>
      <c r="C294" s="119"/>
      <c r="E294" s="119"/>
      <c r="F294" s="119"/>
      <c r="G294" s="119"/>
      <c r="H294" s="119"/>
      <c r="I294" s="119"/>
      <c r="J294" s="119"/>
      <c r="K294" s="119"/>
      <c r="L294" s="119"/>
      <c r="M294" s="119"/>
      <c r="N294" s="119"/>
      <c r="O294" s="119"/>
      <c r="P294" s="119"/>
      <c r="Q294" s="119"/>
      <c r="R294" s="119"/>
      <c r="S294" s="118"/>
      <c r="T294" s="119"/>
      <c r="U294" s="120"/>
      <c r="W294" s="44"/>
    </row>
    <row r="295" spans="1:23" s="116" customFormat="1" ht="12.75" customHeight="1">
      <c r="A295" s="119"/>
      <c r="C295" s="119"/>
      <c r="E295" s="119"/>
      <c r="F295" s="119"/>
      <c r="G295" s="119"/>
      <c r="H295" s="119"/>
      <c r="I295" s="119"/>
      <c r="J295" s="119"/>
      <c r="K295" s="119"/>
      <c r="L295" s="119"/>
      <c r="M295" s="119"/>
      <c r="N295" s="119"/>
      <c r="O295" s="119"/>
      <c r="P295" s="119"/>
      <c r="Q295" s="119"/>
      <c r="R295" s="119"/>
      <c r="S295" s="118"/>
      <c r="T295" s="119"/>
      <c r="U295" s="120"/>
      <c r="W295" s="44"/>
    </row>
    <row r="296" spans="1:23" s="116" customFormat="1" ht="12.75" customHeight="1">
      <c r="A296" s="119"/>
      <c r="C296" s="119"/>
      <c r="E296" s="119"/>
      <c r="F296" s="119"/>
      <c r="G296" s="119"/>
      <c r="H296" s="119"/>
      <c r="I296" s="119"/>
      <c r="J296" s="119"/>
      <c r="K296" s="119"/>
      <c r="L296" s="119"/>
      <c r="M296" s="119"/>
      <c r="N296" s="119"/>
      <c r="O296" s="119"/>
      <c r="P296" s="119"/>
      <c r="Q296" s="119"/>
      <c r="R296" s="119"/>
      <c r="S296" s="118"/>
      <c r="T296" s="119"/>
      <c r="U296" s="120"/>
      <c r="W296" s="44"/>
    </row>
    <row r="297" spans="1:23" s="116" customFormat="1" ht="12.75" customHeight="1">
      <c r="A297" s="119"/>
      <c r="C297" s="119"/>
      <c r="E297" s="119"/>
      <c r="F297" s="119"/>
      <c r="G297" s="119"/>
      <c r="H297" s="119"/>
      <c r="I297" s="119"/>
      <c r="J297" s="119"/>
      <c r="K297" s="119"/>
      <c r="L297" s="119"/>
      <c r="M297" s="119"/>
      <c r="N297" s="119"/>
      <c r="O297" s="119"/>
      <c r="P297" s="119"/>
      <c r="Q297" s="119"/>
      <c r="R297" s="119"/>
      <c r="S297" s="118"/>
      <c r="T297" s="119"/>
      <c r="U297" s="120"/>
      <c r="W297" s="44"/>
    </row>
    <row r="298" spans="1:23" s="116" customFormat="1" ht="12.75" customHeight="1">
      <c r="A298" s="119"/>
      <c r="C298" s="119"/>
      <c r="E298" s="119"/>
      <c r="F298" s="119"/>
      <c r="G298" s="119"/>
      <c r="H298" s="119"/>
      <c r="I298" s="119"/>
      <c r="J298" s="119"/>
      <c r="K298" s="119"/>
      <c r="L298" s="119"/>
      <c r="M298" s="119"/>
      <c r="N298" s="119"/>
      <c r="O298" s="119"/>
      <c r="P298" s="119"/>
      <c r="Q298" s="119"/>
      <c r="R298" s="119"/>
      <c r="S298" s="118"/>
      <c r="T298" s="119"/>
      <c r="U298" s="120"/>
      <c r="W298" s="44"/>
    </row>
    <row r="299" spans="1:23" s="116" customFormat="1" ht="12.75" customHeight="1">
      <c r="A299" s="119"/>
      <c r="C299" s="119"/>
      <c r="E299" s="119"/>
      <c r="F299" s="119"/>
      <c r="G299" s="119"/>
      <c r="H299" s="119"/>
      <c r="I299" s="119"/>
      <c r="J299" s="119"/>
      <c r="K299" s="119"/>
      <c r="L299" s="119"/>
      <c r="M299" s="119"/>
      <c r="N299" s="119"/>
      <c r="O299" s="119"/>
      <c r="P299" s="119"/>
      <c r="Q299" s="119"/>
      <c r="R299" s="119"/>
      <c r="S299" s="118"/>
      <c r="T299" s="119"/>
      <c r="U299" s="120"/>
      <c r="W299" s="44"/>
    </row>
    <row r="300" spans="1:23" s="116" customFormat="1" ht="12.75" customHeight="1">
      <c r="A300" s="119"/>
      <c r="C300" s="119"/>
      <c r="E300" s="119"/>
      <c r="F300" s="119"/>
      <c r="G300" s="119"/>
      <c r="H300" s="119"/>
      <c r="I300" s="119"/>
      <c r="J300" s="119"/>
      <c r="K300" s="119"/>
      <c r="L300" s="119"/>
      <c r="M300" s="119"/>
      <c r="N300" s="119"/>
      <c r="O300" s="119"/>
      <c r="P300" s="119"/>
      <c r="Q300" s="119"/>
      <c r="R300" s="119"/>
      <c r="S300" s="118"/>
      <c r="T300" s="119"/>
      <c r="U300" s="120"/>
      <c r="W300" s="44"/>
    </row>
    <row r="301" spans="1:23" s="116" customFormat="1" ht="12.75" customHeight="1">
      <c r="A301" s="119"/>
      <c r="C301" s="119"/>
      <c r="E301" s="119"/>
      <c r="F301" s="119"/>
      <c r="G301" s="119"/>
      <c r="H301" s="119"/>
      <c r="I301" s="119"/>
      <c r="J301" s="119"/>
      <c r="K301" s="119"/>
      <c r="L301" s="119"/>
      <c r="M301" s="119"/>
      <c r="N301" s="119"/>
      <c r="O301" s="119"/>
      <c r="P301" s="119"/>
      <c r="Q301" s="119"/>
      <c r="R301" s="119"/>
      <c r="S301" s="118"/>
      <c r="T301" s="119"/>
      <c r="U301" s="120"/>
      <c r="W301" s="44"/>
    </row>
    <row r="302" spans="1:23" s="116" customFormat="1" ht="12.75" customHeight="1">
      <c r="A302" s="119"/>
      <c r="C302" s="119"/>
      <c r="E302" s="119"/>
      <c r="F302" s="119"/>
      <c r="G302" s="119"/>
      <c r="H302" s="119"/>
      <c r="I302" s="119"/>
      <c r="J302" s="119"/>
      <c r="K302" s="119"/>
      <c r="L302" s="119"/>
      <c r="M302" s="119"/>
      <c r="N302" s="119"/>
      <c r="O302" s="119"/>
      <c r="P302" s="119"/>
      <c r="Q302" s="119"/>
      <c r="R302" s="119"/>
      <c r="S302" s="118"/>
      <c r="T302" s="119"/>
      <c r="U302" s="120"/>
      <c r="W302" s="44"/>
    </row>
    <row r="303" spans="1:23" s="116" customFormat="1" ht="12.75" customHeight="1">
      <c r="A303" s="119"/>
      <c r="C303" s="119"/>
      <c r="E303" s="119"/>
      <c r="F303" s="119"/>
      <c r="G303" s="119"/>
      <c r="H303" s="119"/>
      <c r="I303" s="119"/>
      <c r="J303" s="119"/>
      <c r="K303" s="119"/>
      <c r="L303" s="119"/>
      <c r="M303" s="119"/>
      <c r="N303" s="119"/>
      <c r="O303" s="119"/>
      <c r="P303" s="119"/>
      <c r="Q303" s="119"/>
      <c r="R303" s="119"/>
      <c r="S303" s="118"/>
      <c r="T303" s="119"/>
      <c r="U303" s="120"/>
      <c r="W303" s="44"/>
    </row>
    <row r="304" spans="1:23" s="116" customFormat="1" ht="12.75" customHeight="1">
      <c r="A304" s="119"/>
      <c r="C304" s="119"/>
      <c r="E304" s="119"/>
      <c r="F304" s="119"/>
      <c r="G304" s="119"/>
      <c r="H304" s="119"/>
      <c r="I304" s="119"/>
      <c r="J304" s="119"/>
      <c r="K304" s="119"/>
      <c r="L304" s="119"/>
      <c r="M304" s="119"/>
      <c r="N304" s="119"/>
      <c r="O304" s="119"/>
      <c r="P304" s="119"/>
      <c r="Q304" s="119"/>
      <c r="R304" s="119"/>
      <c r="S304" s="118"/>
      <c r="T304" s="119"/>
      <c r="U304" s="120"/>
      <c r="W304" s="44"/>
    </row>
    <row r="305" spans="1:23" s="116" customFormat="1" ht="12.75" customHeight="1">
      <c r="A305" s="119"/>
      <c r="C305" s="119"/>
      <c r="E305" s="119"/>
      <c r="F305" s="119"/>
      <c r="G305" s="119"/>
      <c r="H305" s="119"/>
      <c r="I305" s="119"/>
      <c r="J305" s="119"/>
      <c r="K305" s="119"/>
      <c r="L305" s="119"/>
      <c r="M305" s="119"/>
      <c r="N305" s="119"/>
      <c r="O305" s="119"/>
      <c r="P305" s="119"/>
      <c r="Q305" s="119"/>
      <c r="R305" s="119"/>
      <c r="S305" s="118"/>
      <c r="T305" s="119"/>
      <c r="U305" s="120"/>
      <c r="W305" s="44"/>
    </row>
    <row r="306" spans="1:23" s="116" customFormat="1" ht="12.75" customHeight="1">
      <c r="A306" s="119"/>
      <c r="C306" s="119"/>
      <c r="E306" s="119"/>
      <c r="F306" s="119"/>
      <c r="G306" s="119"/>
      <c r="H306" s="119"/>
      <c r="I306" s="119"/>
      <c r="J306" s="119"/>
      <c r="K306" s="119"/>
      <c r="L306" s="119"/>
      <c r="M306" s="119"/>
      <c r="N306" s="119"/>
      <c r="O306" s="119"/>
      <c r="P306" s="119"/>
      <c r="Q306" s="119"/>
      <c r="R306" s="119"/>
      <c r="S306" s="118"/>
      <c r="T306" s="119"/>
      <c r="U306" s="120"/>
      <c r="W306" s="44"/>
    </row>
    <row r="307" spans="1:23" s="116" customFormat="1" ht="12.75" customHeight="1">
      <c r="A307" s="119"/>
      <c r="C307" s="119"/>
      <c r="E307" s="119"/>
      <c r="F307" s="119"/>
      <c r="G307" s="119"/>
      <c r="H307" s="119"/>
      <c r="I307" s="119"/>
      <c r="J307" s="119"/>
      <c r="K307" s="119"/>
      <c r="L307" s="119"/>
      <c r="M307" s="119"/>
      <c r="N307" s="119"/>
      <c r="O307" s="119"/>
      <c r="P307" s="119"/>
      <c r="Q307" s="119"/>
      <c r="R307" s="119"/>
      <c r="S307" s="118"/>
      <c r="T307" s="119"/>
      <c r="U307" s="120"/>
      <c r="W307" s="44"/>
    </row>
    <row r="308" spans="1:23" s="116" customFormat="1" ht="12.75" customHeight="1">
      <c r="A308" s="119"/>
      <c r="C308" s="119"/>
      <c r="E308" s="119"/>
      <c r="F308" s="119"/>
      <c r="G308" s="119"/>
      <c r="H308" s="119"/>
      <c r="I308" s="119"/>
      <c r="J308" s="119"/>
      <c r="K308" s="119"/>
      <c r="L308" s="119"/>
      <c r="M308" s="119"/>
      <c r="N308" s="119"/>
      <c r="O308" s="119"/>
      <c r="P308" s="119"/>
      <c r="Q308" s="119"/>
      <c r="R308" s="119"/>
      <c r="S308" s="118"/>
      <c r="T308" s="119"/>
      <c r="U308" s="120"/>
      <c r="W308" s="44"/>
    </row>
    <row r="309" spans="1:23" s="116" customFormat="1" ht="12.75" customHeight="1">
      <c r="A309" s="119"/>
      <c r="C309" s="119"/>
      <c r="E309" s="119"/>
      <c r="F309" s="119"/>
      <c r="G309" s="119"/>
      <c r="H309" s="119"/>
      <c r="I309" s="119"/>
      <c r="J309" s="119"/>
      <c r="K309" s="119"/>
      <c r="L309" s="119"/>
      <c r="M309" s="119"/>
      <c r="N309" s="119"/>
      <c r="O309" s="119"/>
      <c r="P309" s="119"/>
      <c r="Q309" s="119"/>
      <c r="R309" s="119"/>
      <c r="S309" s="118"/>
      <c r="T309" s="119"/>
      <c r="U309" s="120"/>
      <c r="W309" s="44"/>
    </row>
    <row r="310" spans="1:23" s="116" customFormat="1" ht="12.75" customHeight="1">
      <c r="A310" s="119"/>
      <c r="C310" s="119"/>
      <c r="E310" s="119"/>
      <c r="F310" s="119"/>
      <c r="G310" s="119"/>
      <c r="H310" s="119"/>
      <c r="I310" s="119"/>
      <c r="J310" s="119"/>
      <c r="K310" s="119"/>
      <c r="L310" s="119"/>
      <c r="M310" s="119"/>
      <c r="N310" s="119"/>
      <c r="O310" s="119"/>
      <c r="P310" s="119"/>
      <c r="Q310" s="119"/>
      <c r="R310" s="119"/>
      <c r="S310" s="118"/>
      <c r="T310" s="119"/>
      <c r="U310" s="120"/>
      <c r="W310" s="44"/>
    </row>
    <row r="311" spans="1:23" s="116" customFormat="1" ht="12.75" customHeight="1">
      <c r="A311" s="119"/>
      <c r="C311" s="119"/>
      <c r="E311" s="119"/>
      <c r="F311" s="119"/>
      <c r="G311" s="119"/>
      <c r="H311" s="119"/>
      <c r="I311" s="119"/>
      <c r="J311" s="119"/>
      <c r="K311" s="119"/>
      <c r="L311" s="119"/>
      <c r="M311" s="119"/>
      <c r="N311" s="119"/>
      <c r="O311" s="119"/>
      <c r="P311" s="119"/>
      <c r="Q311" s="119"/>
      <c r="R311" s="119"/>
      <c r="S311" s="118"/>
      <c r="T311" s="119"/>
      <c r="U311" s="120"/>
      <c r="W311" s="44"/>
    </row>
    <row r="312" spans="1:23" s="116" customFormat="1" ht="12.75" customHeight="1">
      <c r="A312" s="119"/>
      <c r="C312" s="119"/>
      <c r="E312" s="119"/>
      <c r="F312" s="119"/>
      <c r="G312" s="119"/>
      <c r="H312" s="119"/>
      <c r="I312" s="119"/>
      <c r="J312" s="119"/>
      <c r="K312" s="119"/>
      <c r="L312" s="119"/>
      <c r="M312" s="119"/>
      <c r="N312" s="119"/>
      <c r="O312" s="119"/>
      <c r="P312" s="119"/>
      <c r="Q312" s="119"/>
      <c r="R312" s="119"/>
      <c r="S312" s="118"/>
      <c r="T312" s="119"/>
      <c r="U312" s="120"/>
      <c r="W312" s="44"/>
    </row>
    <row r="313" spans="1:23" s="116" customFormat="1" ht="12.75" customHeight="1">
      <c r="A313" s="119"/>
      <c r="C313" s="119"/>
      <c r="E313" s="119"/>
      <c r="F313" s="119"/>
      <c r="G313" s="119"/>
      <c r="H313" s="119"/>
      <c r="I313" s="119"/>
      <c r="J313" s="119"/>
      <c r="K313" s="119"/>
      <c r="L313" s="119"/>
      <c r="M313" s="119"/>
      <c r="N313" s="119"/>
      <c r="O313" s="119"/>
      <c r="P313" s="119"/>
      <c r="Q313" s="119"/>
      <c r="R313" s="119"/>
      <c r="S313" s="118"/>
      <c r="T313" s="119"/>
      <c r="U313" s="120"/>
      <c r="W313" s="44"/>
    </row>
    <row r="314" spans="1:23" s="116" customFormat="1" ht="12.75" customHeight="1">
      <c r="A314" s="119"/>
      <c r="C314" s="119"/>
      <c r="E314" s="119"/>
      <c r="F314" s="119"/>
      <c r="G314" s="119"/>
      <c r="H314" s="119"/>
      <c r="I314" s="119"/>
      <c r="J314" s="119"/>
      <c r="K314" s="119"/>
      <c r="L314" s="119"/>
      <c r="M314" s="119"/>
      <c r="N314" s="119"/>
      <c r="O314" s="119"/>
      <c r="P314" s="119"/>
      <c r="Q314" s="119"/>
      <c r="R314" s="119"/>
      <c r="S314" s="118"/>
      <c r="T314" s="119"/>
      <c r="U314" s="120"/>
      <c r="W314" s="44"/>
    </row>
    <row r="315" spans="1:23" s="116" customFormat="1" ht="12.75" customHeight="1">
      <c r="A315" s="119"/>
      <c r="C315" s="119"/>
      <c r="E315" s="119"/>
      <c r="F315" s="119"/>
      <c r="G315" s="119"/>
      <c r="H315" s="119"/>
      <c r="I315" s="119"/>
      <c r="J315" s="119"/>
      <c r="K315" s="119"/>
      <c r="L315" s="119"/>
      <c r="M315" s="119"/>
      <c r="N315" s="119"/>
      <c r="O315" s="119"/>
      <c r="P315" s="119"/>
      <c r="Q315" s="119"/>
      <c r="R315" s="119"/>
      <c r="S315" s="118"/>
      <c r="T315" s="119"/>
      <c r="U315" s="120"/>
      <c r="W315" s="44"/>
    </row>
    <row r="316" spans="1:23" s="116" customFormat="1" ht="12.75" customHeight="1">
      <c r="A316" s="119"/>
      <c r="C316" s="119"/>
      <c r="E316" s="119"/>
      <c r="F316" s="119"/>
      <c r="G316" s="119"/>
      <c r="H316" s="119"/>
      <c r="I316" s="119"/>
      <c r="J316" s="119"/>
      <c r="K316" s="119"/>
      <c r="L316" s="119"/>
      <c r="M316" s="119"/>
      <c r="N316" s="119"/>
      <c r="O316" s="119"/>
      <c r="P316" s="119"/>
      <c r="Q316" s="119"/>
      <c r="R316" s="119"/>
      <c r="S316" s="118"/>
      <c r="T316" s="119"/>
      <c r="U316" s="120"/>
      <c r="W316" s="44"/>
    </row>
    <row r="317" spans="1:23" s="116" customFormat="1" ht="12.75" customHeight="1">
      <c r="A317" s="119"/>
      <c r="C317" s="119"/>
      <c r="E317" s="119"/>
      <c r="F317" s="119"/>
      <c r="G317" s="119"/>
      <c r="H317" s="119"/>
      <c r="I317" s="119"/>
      <c r="J317" s="119"/>
      <c r="K317" s="119"/>
      <c r="L317" s="119"/>
      <c r="M317" s="119"/>
      <c r="N317" s="119"/>
      <c r="O317" s="119"/>
      <c r="P317" s="119"/>
      <c r="Q317" s="119"/>
      <c r="R317" s="119"/>
      <c r="S317" s="118"/>
      <c r="T317" s="119"/>
      <c r="U317" s="120"/>
      <c r="W317" s="44"/>
    </row>
    <row r="318" spans="1:23" s="116" customFormat="1" ht="12.75" customHeight="1">
      <c r="A318" s="119"/>
      <c r="C318" s="119"/>
      <c r="E318" s="119"/>
      <c r="F318" s="119"/>
      <c r="G318" s="119"/>
      <c r="H318" s="119"/>
      <c r="I318" s="119"/>
      <c r="J318" s="119"/>
      <c r="K318" s="119"/>
      <c r="L318" s="119"/>
      <c r="M318" s="119"/>
      <c r="N318" s="119"/>
      <c r="O318" s="119"/>
      <c r="P318" s="119"/>
      <c r="Q318" s="119"/>
      <c r="R318" s="119"/>
      <c r="S318" s="118"/>
      <c r="T318" s="119"/>
      <c r="U318" s="120"/>
      <c r="W318" s="44"/>
    </row>
    <row r="319" spans="1:23" s="116" customFormat="1" ht="12.75" customHeight="1">
      <c r="A319" s="119"/>
      <c r="C319" s="119"/>
      <c r="E319" s="119"/>
      <c r="F319" s="119"/>
      <c r="G319" s="119"/>
      <c r="H319" s="119"/>
      <c r="I319" s="119"/>
      <c r="J319" s="119"/>
      <c r="K319" s="119"/>
      <c r="L319" s="119"/>
      <c r="M319" s="119"/>
      <c r="N319" s="119"/>
      <c r="O319" s="119"/>
      <c r="P319" s="119"/>
      <c r="Q319" s="119"/>
      <c r="R319" s="119"/>
      <c r="S319" s="118"/>
      <c r="T319" s="119"/>
      <c r="U319" s="120"/>
      <c r="W319" s="44"/>
    </row>
    <row r="320" spans="1:23" s="116" customFormat="1" ht="12.75" customHeight="1">
      <c r="A320" s="119"/>
      <c r="C320" s="119"/>
      <c r="E320" s="119"/>
      <c r="F320" s="119"/>
      <c r="G320" s="119"/>
      <c r="H320" s="119"/>
      <c r="I320" s="119"/>
      <c r="J320" s="119"/>
      <c r="K320" s="119"/>
      <c r="L320" s="119"/>
      <c r="M320" s="119"/>
      <c r="N320" s="119"/>
      <c r="O320" s="119"/>
      <c r="P320" s="119"/>
      <c r="Q320" s="119"/>
      <c r="R320" s="119"/>
      <c r="S320" s="118"/>
      <c r="T320" s="119"/>
      <c r="U320" s="120"/>
      <c r="W320" s="44"/>
    </row>
    <row r="321" spans="1:23" s="116" customFormat="1" ht="12.75" customHeight="1">
      <c r="A321" s="119"/>
      <c r="C321" s="119"/>
      <c r="E321" s="119"/>
      <c r="F321" s="119"/>
      <c r="G321" s="119"/>
      <c r="H321" s="119"/>
      <c r="I321" s="119"/>
      <c r="J321" s="119"/>
      <c r="K321" s="119"/>
      <c r="L321" s="119"/>
      <c r="M321" s="119"/>
      <c r="N321" s="119"/>
      <c r="O321" s="119"/>
      <c r="P321" s="119"/>
      <c r="Q321" s="119"/>
      <c r="R321" s="119"/>
      <c r="S321" s="118"/>
      <c r="T321" s="119"/>
      <c r="U321" s="120"/>
      <c r="W321" s="44"/>
    </row>
    <row r="322" spans="1:23" s="116" customFormat="1" ht="12.75" customHeight="1">
      <c r="A322" s="119"/>
      <c r="C322" s="119"/>
      <c r="E322" s="119"/>
      <c r="F322" s="119"/>
      <c r="G322" s="119"/>
      <c r="H322" s="119"/>
      <c r="I322" s="119"/>
      <c r="J322" s="119"/>
      <c r="K322" s="119"/>
      <c r="L322" s="119"/>
      <c r="M322" s="119"/>
      <c r="N322" s="119"/>
      <c r="O322" s="119"/>
      <c r="P322" s="119"/>
      <c r="Q322" s="119"/>
      <c r="R322" s="119"/>
      <c r="S322" s="118"/>
      <c r="T322" s="119"/>
      <c r="U322" s="120"/>
      <c r="W322" s="44"/>
    </row>
    <row r="323" spans="1:23" s="116" customFormat="1" ht="12.75" customHeight="1">
      <c r="A323" s="119"/>
      <c r="C323" s="119"/>
      <c r="E323" s="119"/>
      <c r="F323" s="119"/>
      <c r="G323" s="119"/>
      <c r="H323" s="119"/>
      <c r="I323" s="119"/>
      <c r="J323" s="119"/>
      <c r="K323" s="119"/>
      <c r="L323" s="119"/>
      <c r="M323" s="119"/>
      <c r="N323" s="119"/>
      <c r="O323" s="119"/>
      <c r="P323" s="119"/>
      <c r="Q323" s="119"/>
      <c r="R323" s="119"/>
      <c r="S323" s="118"/>
      <c r="T323" s="119"/>
      <c r="U323" s="120"/>
      <c r="W323" s="44"/>
    </row>
    <row r="324" spans="1:23" s="116" customFormat="1" ht="12.75" customHeight="1">
      <c r="A324" s="119"/>
      <c r="C324" s="119"/>
      <c r="E324" s="119"/>
      <c r="F324" s="119"/>
      <c r="G324" s="119"/>
      <c r="H324" s="119"/>
      <c r="I324" s="119"/>
      <c r="J324" s="119"/>
      <c r="K324" s="119"/>
      <c r="L324" s="119"/>
      <c r="M324" s="119"/>
      <c r="N324" s="119"/>
      <c r="O324" s="119"/>
      <c r="P324" s="119"/>
      <c r="Q324" s="119"/>
      <c r="R324" s="119"/>
      <c r="S324" s="118"/>
      <c r="T324" s="119"/>
      <c r="U324" s="120"/>
      <c r="W324" s="44"/>
    </row>
    <row r="325" spans="1:23" s="116" customFormat="1" ht="12.75" customHeight="1">
      <c r="A325" s="119"/>
      <c r="C325" s="119"/>
      <c r="E325" s="119"/>
      <c r="F325" s="119"/>
      <c r="G325" s="119"/>
      <c r="H325" s="119"/>
      <c r="I325" s="119"/>
      <c r="J325" s="119"/>
      <c r="K325" s="119"/>
      <c r="L325" s="119"/>
      <c r="M325" s="119"/>
      <c r="N325" s="119"/>
      <c r="O325" s="119"/>
      <c r="P325" s="119"/>
      <c r="Q325" s="119"/>
      <c r="R325" s="119"/>
      <c r="S325" s="118"/>
      <c r="T325" s="119"/>
      <c r="U325" s="120"/>
      <c r="W325" s="44"/>
    </row>
    <row r="326" spans="1:23" s="116" customFormat="1" ht="12.75" customHeight="1">
      <c r="A326" s="119"/>
      <c r="C326" s="119"/>
      <c r="E326" s="119"/>
      <c r="F326" s="119"/>
      <c r="G326" s="119"/>
      <c r="H326" s="119"/>
      <c r="I326" s="119"/>
      <c r="J326" s="119"/>
      <c r="K326" s="119"/>
      <c r="L326" s="119"/>
      <c r="M326" s="119"/>
      <c r="N326" s="119"/>
      <c r="O326" s="119"/>
      <c r="P326" s="119"/>
      <c r="Q326" s="119"/>
      <c r="R326" s="119"/>
      <c r="S326" s="118"/>
      <c r="T326" s="119"/>
      <c r="U326" s="120"/>
      <c r="W326" s="44"/>
    </row>
    <row r="327" spans="1:23" s="116" customFormat="1" ht="12.75" customHeight="1">
      <c r="A327" s="119"/>
      <c r="C327" s="119"/>
      <c r="E327" s="119"/>
      <c r="F327" s="119"/>
      <c r="G327" s="119"/>
      <c r="H327" s="119"/>
      <c r="I327" s="119"/>
      <c r="J327" s="119"/>
      <c r="K327" s="119"/>
      <c r="L327" s="119"/>
      <c r="M327" s="119"/>
      <c r="N327" s="119"/>
      <c r="O327" s="119"/>
      <c r="P327" s="119"/>
      <c r="Q327" s="119"/>
      <c r="R327" s="119"/>
      <c r="S327" s="118"/>
      <c r="T327" s="119"/>
      <c r="U327" s="120"/>
      <c r="W327" s="44"/>
    </row>
    <row r="328" spans="1:23" s="116" customFormat="1" ht="12.75" customHeight="1">
      <c r="A328" s="119"/>
      <c r="C328" s="119"/>
      <c r="E328" s="119"/>
      <c r="F328" s="119"/>
      <c r="G328" s="119"/>
      <c r="H328" s="119"/>
      <c r="I328" s="119"/>
      <c r="J328" s="119"/>
      <c r="K328" s="119"/>
      <c r="L328" s="119"/>
      <c r="M328" s="119"/>
      <c r="N328" s="119"/>
      <c r="O328" s="119"/>
      <c r="P328" s="119"/>
      <c r="Q328" s="119"/>
      <c r="R328" s="119"/>
      <c r="S328" s="118"/>
      <c r="T328" s="119"/>
      <c r="U328" s="120"/>
      <c r="W328" s="44"/>
    </row>
    <row r="329" spans="1:23" s="116" customFormat="1" ht="12.75" customHeight="1">
      <c r="A329" s="119"/>
      <c r="C329" s="119"/>
      <c r="E329" s="119"/>
      <c r="F329" s="119"/>
      <c r="G329" s="119"/>
      <c r="H329" s="119"/>
      <c r="I329" s="119"/>
      <c r="J329" s="119"/>
      <c r="K329" s="119"/>
      <c r="L329" s="119"/>
      <c r="M329" s="119"/>
      <c r="N329" s="119"/>
      <c r="O329" s="119"/>
      <c r="P329" s="119"/>
      <c r="Q329" s="119"/>
      <c r="R329" s="119"/>
      <c r="S329" s="118"/>
      <c r="T329" s="119"/>
      <c r="U329" s="120"/>
      <c r="W329" s="44"/>
    </row>
    <row r="330" spans="1:23" s="116" customFormat="1" ht="12.75" customHeight="1">
      <c r="A330" s="119"/>
      <c r="C330" s="119"/>
      <c r="E330" s="119"/>
      <c r="F330" s="119"/>
      <c r="G330" s="119"/>
      <c r="H330" s="119"/>
      <c r="I330" s="119"/>
      <c r="J330" s="119"/>
      <c r="K330" s="119"/>
      <c r="L330" s="119"/>
      <c r="M330" s="119"/>
      <c r="N330" s="119"/>
      <c r="O330" s="119"/>
      <c r="P330" s="119"/>
      <c r="Q330" s="119"/>
      <c r="R330" s="119"/>
      <c r="S330" s="118"/>
      <c r="T330" s="119"/>
      <c r="U330" s="120"/>
      <c r="W330" s="44"/>
    </row>
    <row r="331" spans="1:23" s="116" customFormat="1" ht="12.75" customHeight="1">
      <c r="A331" s="119"/>
      <c r="C331" s="119"/>
      <c r="E331" s="119"/>
      <c r="F331" s="119"/>
      <c r="G331" s="119"/>
      <c r="H331" s="119"/>
      <c r="I331" s="119"/>
      <c r="J331" s="119"/>
      <c r="K331" s="119"/>
      <c r="L331" s="119"/>
      <c r="M331" s="119"/>
      <c r="N331" s="119"/>
      <c r="O331" s="119"/>
      <c r="P331" s="119"/>
      <c r="Q331" s="119"/>
      <c r="R331" s="119"/>
      <c r="S331" s="118"/>
      <c r="T331" s="119"/>
      <c r="U331" s="120"/>
      <c r="W331" s="44"/>
    </row>
    <row r="332" spans="1:23" s="116" customFormat="1" ht="12.75" customHeight="1">
      <c r="A332" s="119"/>
      <c r="C332" s="119"/>
      <c r="E332" s="119"/>
      <c r="F332" s="119"/>
      <c r="G332" s="119"/>
      <c r="H332" s="119"/>
      <c r="I332" s="119"/>
      <c r="J332" s="119"/>
      <c r="K332" s="119"/>
      <c r="L332" s="119"/>
      <c r="M332" s="119"/>
      <c r="N332" s="119"/>
      <c r="O332" s="119"/>
      <c r="P332" s="119"/>
      <c r="Q332" s="119"/>
      <c r="R332" s="119"/>
      <c r="S332" s="118"/>
      <c r="T332" s="119"/>
      <c r="U332" s="120"/>
      <c r="W332" s="44"/>
    </row>
    <row r="333" spans="1:23" s="116" customFormat="1" ht="12.75" customHeight="1">
      <c r="A333" s="119"/>
      <c r="C333" s="119"/>
      <c r="E333" s="119"/>
      <c r="F333" s="119"/>
      <c r="G333" s="119"/>
      <c r="H333" s="119"/>
      <c r="I333" s="119"/>
      <c r="J333" s="119"/>
      <c r="K333" s="119"/>
      <c r="L333" s="119"/>
      <c r="M333" s="119"/>
      <c r="N333" s="119"/>
      <c r="O333" s="119"/>
      <c r="P333" s="119"/>
      <c r="Q333" s="119"/>
      <c r="R333" s="119"/>
      <c r="S333" s="118"/>
      <c r="T333" s="119"/>
      <c r="U333" s="120"/>
      <c r="W333" s="44"/>
    </row>
    <row r="334" spans="1:23" s="116" customFormat="1" ht="12.75" customHeight="1">
      <c r="A334" s="119"/>
      <c r="C334" s="119"/>
      <c r="E334" s="119"/>
      <c r="F334" s="119"/>
      <c r="G334" s="119"/>
      <c r="H334" s="119"/>
      <c r="I334" s="119"/>
      <c r="J334" s="119"/>
      <c r="K334" s="119"/>
      <c r="L334" s="119"/>
      <c r="M334" s="119"/>
      <c r="N334" s="119"/>
      <c r="O334" s="119"/>
      <c r="P334" s="119"/>
      <c r="Q334" s="119"/>
      <c r="R334" s="119"/>
      <c r="S334" s="118"/>
      <c r="T334" s="119"/>
      <c r="U334" s="120"/>
      <c r="W334" s="44"/>
    </row>
    <row r="335" spans="1:23" s="116" customFormat="1" ht="12.75" customHeight="1">
      <c r="A335" s="119"/>
      <c r="C335" s="119"/>
      <c r="E335" s="119"/>
      <c r="F335" s="119"/>
      <c r="G335" s="119"/>
      <c r="H335" s="119"/>
      <c r="I335" s="119"/>
      <c r="J335" s="119"/>
      <c r="K335" s="119"/>
      <c r="L335" s="119"/>
      <c r="M335" s="119"/>
      <c r="N335" s="119"/>
      <c r="O335" s="119"/>
      <c r="P335" s="119"/>
      <c r="Q335" s="119"/>
      <c r="R335" s="119"/>
      <c r="S335" s="118"/>
      <c r="T335" s="119"/>
      <c r="U335" s="120"/>
      <c r="W335" s="44"/>
    </row>
    <row r="336" spans="1:23" s="116" customFormat="1" ht="12.75" customHeight="1">
      <c r="A336" s="119"/>
      <c r="C336" s="119"/>
      <c r="E336" s="119"/>
      <c r="F336" s="119"/>
      <c r="G336" s="119"/>
      <c r="H336" s="119"/>
      <c r="I336" s="119"/>
      <c r="J336" s="119"/>
      <c r="K336" s="119"/>
      <c r="L336" s="119"/>
      <c r="M336" s="119"/>
      <c r="N336" s="119"/>
      <c r="O336" s="119"/>
      <c r="P336" s="119"/>
      <c r="Q336" s="119"/>
      <c r="R336" s="119"/>
      <c r="S336" s="118"/>
      <c r="T336" s="119"/>
      <c r="U336" s="120"/>
      <c r="W336" s="44"/>
    </row>
  </sheetData>
  <phoneticPr fontId="4" type="noConversion"/>
  <printOptions horizontalCentered="1"/>
  <pageMargins left="0.75" right="0.75" top="0.5" bottom="0.5" header="0" footer="0.3"/>
  <pageSetup scale="84" firstPageNumber="60" pageOrder="overThenDown" orientation="portrait" useFirstPageNumber="1" r:id="rId1"/>
  <headerFooter alignWithMargins="0">
    <oddFooter>&amp;C&amp;"Times New Roman,Regular"&amp;11&amp;P</oddFooter>
  </headerFooter>
  <rowBreaks count="2" manualBreakCount="2">
    <brk id="69" max="22" man="1"/>
    <brk id="130" max="22" man="1"/>
  </rowBreaks>
  <colBreaks count="1" manualBreakCount="1">
    <brk id="12" min="9" max="256" man="1"/>
  </col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T303"/>
  <sheetViews>
    <sheetView view="pageBreakPreview" zoomScale="75" zoomScaleNormal="140" zoomScaleSheetLayoutView="7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A6" sqref="A6"/>
    </sheetView>
  </sheetViews>
  <sheetFormatPr defaultColWidth="0" defaultRowHeight="12.75" customHeight="1"/>
  <cols>
    <col min="1" max="1" width="15.109375" style="17" customWidth="1"/>
    <col min="2" max="2" width="1.6640625" customWidth="1"/>
    <col min="3" max="3" width="11.33203125" style="17" customWidth="1"/>
    <col min="4" max="4" width="1.6640625" style="10" customWidth="1"/>
    <col min="5" max="5" width="10.6640625" style="17" customWidth="1"/>
    <col min="6" max="6" width="1.6640625" style="17" customWidth="1"/>
    <col min="7" max="7" width="11.5546875" style="17" bestFit="1" customWidth="1"/>
    <col min="8" max="8" width="1.6640625" style="17" customWidth="1"/>
    <col min="9" max="9" width="10.6640625" style="17" customWidth="1"/>
    <col min="10" max="10" width="1.6640625" style="17" customWidth="1"/>
    <col min="11" max="11" width="10.6640625" style="17" customWidth="1"/>
    <col min="12" max="12" width="1.6640625" style="17" customWidth="1"/>
    <col min="13" max="13" width="10.6640625" style="17" customWidth="1"/>
    <col min="14" max="14" width="1.6640625" style="17" customWidth="1"/>
    <col min="15" max="15" width="10.6640625" style="17" customWidth="1"/>
    <col min="16" max="16" width="1.6640625" style="17" customWidth="1"/>
    <col min="17" max="17" width="11.5546875" style="17" bestFit="1" customWidth="1"/>
    <col min="18" max="18" width="1.6640625" style="17" customWidth="1"/>
    <col min="19" max="19" width="10.6640625" style="17" customWidth="1"/>
    <col min="20" max="20" width="1.6640625" style="17" customWidth="1"/>
    <col min="21" max="21" width="10.6640625" style="17" customWidth="1"/>
    <col min="22" max="22" width="11.6640625" style="17" hidden="1" customWidth="1"/>
    <col min="23" max="23" width="1.6640625" style="60" hidden="1" customWidth="1"/>
    <col min="24" max="24" width="13.44140625" style="17" hidden="1" customWidth="1"/>
    <col min="25" max="25" width="1.6640625" style="10" hidden="1" customWidth="1"/>
    <col min="26" max="26" width="9.88671875" style="17" hidden="1" customWidth="1"/>
    <col min="27" max="27" width="1.6640625" style="17" customWidth="1"/>
    <col min="28" max="28" width="10.6640625" style="17" customWidth="1"/>
    <col min="29" max="29" width="1.6640625" customWidth="1"/>
    <col min="30" max="30" width="10.6640625" style="17" customWidth="1"/>
    <col min="31" max="31" width="1.6640625" customWidth="1"/>
    <col min="32" max="32" width="11.6640625" customWidth="1"/>
    <col min="33" max="33" width="1.6640625" customWidth="1"/>
    <col min="34" max="34" width="12" style="17" bestFit="1" customWidth="1"/>
    <col min="35" max="35" width="1.6640625" style="17" hidden="1" customWidth="1"/>
    <col min="36" max="36" width="10.6640625" style="17" hidden="1" customWidth="1"/>
    <col min="37" max="37" width="1.6640625" style="17" customWidth="1"/>
    <col min="38" max="38" width="12.6640625" style="17" customWidth="1"/>
    <col min="39" max="39" width="1.6640625" style="17" customWidth="1"/>
    <col min="40" max="40" width="12.6640625" style="17" customWidth="1"/>
    <col min="41" max="41" width="1.6640625" style="17" customWidth="1"/>
    <col min="42" max="42" width="12.6640625" style="17" customWidth="1"/>
    <col min="43" max="43" width="1.6640625" style="17" customWidth="1"/>
    <col min="44" max="44" width="11.6640625" style="17" customWidth="1"/>
    <col min="45" max="45" width="10.6640625" style="17" customWidth="1"/>
    <col min="46" max="46" width="9.109375" customWidth="1"/>
    <col min="47" max="16384" width="0" style="10" hidden="1"/>
  </cols>
  <sheetData>
    <row r="1" spans="1:46" s="9" customFormat="1" ht="12.75" customHeight="1">
      <c r="A1" s="23" t="s">
        <v>389</v>
      </c>
      <c r="C1" s="24"/>
      <c r="D1" s="10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3"/>
      <c r="R1" s="24"/>
      <c r="S1" s="24"/>
      <c r="T1" s="24"/>
      <c r="U1" s="24"/>
      <c r="V1" s="24"/>
      <c r="W1" s="58"/>
      <c r="X1" s="23" t="s">
        <v>389</v>
      </c>
      <c r="AA1" s="24"/>
      <c r="AB1" s="24"/>
      <c r="AD1" s="23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</row>
    <row r="2" spans="1:46" s="9" customFormat="1" ht="12.75" customHeight="1">
      <c r="A2" s="23" t="s">
        <v>501</v>
      </c>
      <c r="C2" s="24"/>
      <c r="D2" s="10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3"/>
      <c r="R2" s="24"/>
      <c r="S2" s="24"/>
      <c r="T2" s="24"/>
      <c r="U2" s="24"/>
      <c r="V2" s="24"/>
      <c r="W2" s="58"/>
      <c r="X2" s="23" t="s">
        <v>316</v>
      </c>
      <c r="AA2" s="24"/>
      <c r="AB2" s="24"/>
      <c r="AD2" s="23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</row>
    <row r="3" spans="1:46" ht="12.75" customHeight="1">
      <c r="A3" s="24" t="s">
        <v>289</v>
      </c>
      <c r="C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24"/>
      <c r="R3" s="11"/>
      <c r="S3" s="11"/>
      <c r="T3" s="11"/>
      <c r="U3" s="11"/>
      <c r="V3" s="11"/>
      <c r="W3" s="59"/>
      <c r="X3" s="24" t="s">
        <v>289</v>
      </c>
      <c r="AA3" s="11"/>
      <c r="AB3" s="11"/>
      <c r="AD3" s="24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</row>
    <row r="4" spans="1:46" ht="12.75" customHeight="1">
      <c r="A4" s="24" t="s">
        <v>484</v>
      </c>
      <c r="C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24"/>
      <c r="R4" s="11"/>
      <c r="S4" s="11"/>
      <c r="T4" s="11"/>
      <c r="U4" s="11"/>
      <c r="V4" s="11"/>
      <c r="W4" s="59"/>
      <c r="X4" s="24"/>
      <c r="AA4" s="11"/>
      <c r="AB4" s="11"/>
      <c r="AD4" s="24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</row>
    <row r="5" spans="1:46" s="47" customFormat="1" ht="12.75" customHeight="1">
      <c r="A5" s="49"/>
      <c r="B5" s="51"/>
      <c r="C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Z5" s="49"/>
      <c r="AA5" s="49"/>
      <c r="AB5" s="49"/>
      <c r="AC5" s="51"/>
      <c r="AD5" s="49"/>
      <c r="AE5" s="51"/>
      <c r="AF5" s="51"/>
      <c r="AG5" s="51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51"/>
    </row>
    <row r="6" spans="1:46" s="97" customFormat="1" ht="12.75" customHeight="1">
      <c r="A6" s="26"/>
      <c r="C6" s="26"/>
      <c r="E6" s="26"/>
      <c r="F6" s="26"/>
      <c r="G6" s="26" t="s">
        <v>396</v>
      </c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Z6" s="26"/>
      <c r="AA6" s="26"/>
      <c r="AB6" s="26"/>
      <c r="AD6" s="26"/>
      <c r="AL6" s="26"/>
      <c r="AM6" s="26"/>
      <c r="AN6" s="26" t="s">
        <v>325</v>
      </c>
      <c r="AO6" s="26"/>
      <c r="AP6" s="97" t="s">
        <v>456</v>
      </c>
      <c r="AQ6" s="26"/>
      <c r="AR6" s="26"/>
    </row>
    <row r="7" spans="1:46" s="97" customFormat="1" ht="12.75" customHeight="1">
      <c r="A7" s="26"/>
      <c r="C7" s="26"/>
      <c r="D7" s="26"/>
      <c r="E7" s="26" t="s">
        <v>296</v>
      </c>
      <c r="F7" s="26"/>
      <c r="G7" s="98" t="s">
        <v>422</v>
      </c>
      <c r="H7" s="26"/>
      <c r="I7" s="26" t="s">
        <v>333</v>
      </c>
      <c r="J7" s="26"/>
      <c r="K7" s="26"/>
      <c r="L7" s="26"/>
      <c r="M7" s="26"/>
      <c r="N7" s="26"/>
      <c r="O7" s="26" t="s">
        <v>306</v>
      </c>
      <c r="P7" s="26"/>
      <c r="Q7" s="26" t="s">
        <v>334</v>
      </c>
      <c r="R7" s="26"/>
      <c r="S7" s="26" t="s">
        <v>4</v>
      </c>
      <c r="T7" s="26"/>
      <c r="U7" s="26" t="s">
        <v>327</v>
      </c>
      <c r="V7" s="26"/>
      <c r="W7" s="26"/>
      <c r="X7" s="26"/>
      <c r="Z7" s="26"/>
      <c r="AA7" s="26"/>
      <c r="AB7" s="26"/>
      <c r="AD7" s="26" t="s">
        <v>344</v>
      </c>
      <c r="AF7" s="97" t="s">
        <v>294</v>
      </c>
      <c r="AH7" s="26" t="s">
        <v>6</v>
      </c>
      <c r="AI7" s="26"/>
      <c r="AJ7" s="26" t="s">
        <v>447</v>
      </c>
      <c r="AK7" s="26"/>
      <c r="AL7" s="26" t="s">
        <v>432</v>
      </c>
      <c r="AM7" s="26"/>
      <c r="AN7" s="26" t="s">
        <v>452</v>
      </c>
      <c r="AO7" s="26"/>
      <c r="AP7" s="26" t="s">
        <v>457</v>
      </c>
      <c r="AQ7" s="26"/>
      <c r="AR7" s="26" t="s">
        <v>428</v>
      </c>
      <c r="AS7" s="26"/>
    </row>
    <row r="8" spans="1:46" s="97" customFormat="1" ht="12.75" customHeight="1">
      <c r="A8" s="99" t="s">
        <v>8</v>
      </c>
      <c r="C8" s="99" t="s">
        <v>9</v>
      </c>
      <c r="D8" s="26"/>
      <c r="E8" s="100" t="s">
        <v>314</v>
      </c>
      <c r="F8" s="26"/>
      <c r="G8" s="100" t="s">
        <v>293</v>
      </c>
      <c r="H8" s="26"/>
      <c r="I8" s="100" t="s">
        <v>335</v>
      </c>
      <c r="J8" s="26"/>
      <c r="K8" s="100" t="s">
        <v>309</v>
      </c>
      <c r="L8" s="26"/>
      <c r="M8" s="100" t="s">
        <v>312</v>
      </c>
      <c r="N8" s="26"/>
      <c r="O8" s="100" t="s">
        <v>336</v>
      </c>
      <c r="P8" s="26"/>
      <c r="Q8" s="100" t="s">
        <v>337</v>
      </c>
      <c r="R8" s="26"/>
      <c r="S8" s="100" t="s">
        <v>338</v>
      </c>
      <c r="T8" s="26"/>
      <c r="U8" s="100" t="s">
        <v>331</v>
      </c>
      <c r="V8" s="26"/>
      <c r="W8" s="26"/>
      <c r="X8" s="99" t="s">
        <v>8</v>
      </c>
      <c r="Z8" s="99" t="s">
        <v>9</v>
      </c>
      <c r="AA8" s="26"/>
      <c r="AB8" s="100" t="s">
        <v>339</v>
      </c>
      <c r="AD8" s="100" t="s">
        <v>340</v>
      </c>
      <c r="AF8" s="16" t="s">
        <v>337</v>
      </c>
      <c r="AH8" s="16" t="s">
        <v>337</v>
      </c>
      <c r="AI8" s="18"/>
      <c r="AJ8" s="16" t="s">
        <v>443</v>
      </c>
      <c r="AK8" s="18"/>
      <c r="AL8" s="99" t="s">
        <v>433</v>
      </c>
      <c r="AM8" s="26"/>
      <c r="AN8" s="99" t="s">
        <v>453</v>
      </c>
      <c r="AO8" s="26"/>
      <c r="AP8" s="99" t="s">
        <v>458</v>
      </c>
      <c r="AQ8" s="26"/>
      <c r="AR8" s="101" t="s">
        <v>429</v>
      </c>
      <c r="AS8" s="18"/>
    </row>
    <row r="9" spans="1:46" s="97" customFormat="1" ht="12.75" customHeight="1">
      <c r="A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Z9" s="26"/>
      <c r="AA9" s="26"/>
      <c r="AB9" s="26"/>
      <c r="AD9" s="26"/>
      <c r="AH9" s="18"/>
      <c r="AI9" s="18"/>
      <c r="AJ9" s="18"/>
      <c r="AK9" s="18"/>
      <c r="AL9" s="8"/>
      <c r="AM9" s="8"/>
      <c r="AN9" s="8"/>
      <c r="AO9" s="8"/>
      <c r="AP9" s="8"/>
      <c r="AQ9" s="8"/>
      <c r="AR9" s="8"/>
      <c r="AS9" s="18"/>
    </row>
    <row r="10" spans="1:46" s="46" customFormat="1" ht="12.75" customHeight="1">
      <c r="A10" s="64" t="s">
        <v>12</v>
      </c>
      <c r="C10" s="64" t="s">
        <v>13</v>
      </c>
      <c r="E10" s="68">
        <v>36852582</v>
      </c>
      <c r="F10" s="68"/>
      <c r="G10" s="68">
        <v>117083540</v>
      </c>
      <c r="H10" s="68"/>
      <c r="I10" s="68">
        <v>66515907</v>
      </c>
      <c r="J10" s="68"/>
      <c r="K10" s="68">
        <v>15932988</v>
      </c>
      <c r="L10" s="68"/>
      <c r="M10" s="68">
        <v>0</v>
      </c>
      <c r="N10" s="68"/>
      <c r="O10" s="68">
        <v>5615714</v>
      </c>
      <c r="P10" s="68"/>
      <c r="Q10" s="68">
        <v>116321398</v>
      </c>
      <c r="R10" s="68"/>
      <c r="S10" s="68">
        <v>1433944</v>
      </c>
      <c r="T10" s="68"/>
      <c r="U10" s="68">
        <v>0</v>
      </c>
      <c r="V10" s="68"/>
      <c r="W10" s="68"/>
      <c r="X10" s="64"/>
      <c r="Z10" s="64"/>
      <c r="AA10" s="64"/>
      <c r="AB10" s="68">
        <v>30849415</v>
      </c>
      <c r="AC10" s="66"/>
      <c r="AD10" s="68">
        <v>28876343</v>
      </c>
      <c r="AE10" s="66"/>
      <c r="AF10" s="46">
        <v>0</v>
      </c>
      <c r="AG10" s="66"/>
      <c r="AH10" s="68">
        <f t="shared" ref="AH10:AH23" si="0">SUM(E10:AF10)</f>
        <v>419481831</v>
      </c>
      <c r="AI10" s="68"/>
      <c r="AJ10" s="68">
        <v>0</v>
      </c>
      <c r="AK10" s="68"/>
      <c r="AL10" s="94">
        <v>3223100</v>
      </c>
      <c r="AM10" s="45"/>
      <c r="AN10" s="45">
        <v>224855582</v>
      </c>
      <c r="AO10" s="45"/>
      <c r="AP10" s="45">
        <v>0</v>
      </c>
      <c r="AQ10" s="45"/>
      <c r="AR10" s="45">
        <f>+'GVFund Rev'!U10+'GVFund Rev'!W10-'GVFund Exp'!AH10-'GVFund Exp'!AL10+AJ10+AN10+AP10-'GV Fund BS'!S10</f>
        <v>0</v>
      </c>
      <c r="AS10" s="68"/>
    </row>
    <row r="11" spans="1:46" s="44" customFormat="1" ht="12.75" customHeight="1">
      <c r="A11" s="35" t="s">
        <v>14</v>
      </c>
      <c r="C11" s="35" t="s">
        <v>15</v>
      </c>
      <c r="E11" s="45">
        <v>2557730</v>
      </c>
      <c r="F11" s="48"/>
      <c r="G11" s="45">
        <v>7894771</v>
      </c>
      <c r="H11" s="48"/>
      <c r="I11" s="45">
        <v>939632</v>
      </c>
      <c r="J11" s="48"/>
      <c r="K11" s="45">
        <v>916506</v>
      </c>
      <c r="L11" s="48"/>
      <c r="M11" s="45">
        <v>1078028</v>
      </c>
      <c r="N11" s="48"/>
      <c r="O11" s="45">
        <v>707879</v>
      </c>
      <c r="P11" s="48"/>
      <c r="Q11" s="45">
        <v>56634</v>
      </c>
      <c r="R11" s="48"/>
      <c r="S11" s="45">
        <v>1249970</v>
      </c>
      <c r="T11" s="48"/>
      <c r="U11" s="45">
        <v>0</v>
      </c>
      <c r="V11" s="48"/>
      <c r="W11" s="48"/>
      <c r="X11" s="35"/>
      <c r="Z11" s="35"/>
      <c r="AA11" s="35"/>
      <c r="AB11" s="45">
        <v>387705</v>
      </c>
      <c r="AC11" s="65"/>
      <c r="AD11" s="45">
        <v>121581</v>
      </c>
      <c r="AE11" s="65"/>
      <c r="AF11" s="45">
        <v>0</v>
      </c>
      <c r="AG11" s="65"/>
      <c r="AH11" s="48">
        <f t="shared" si="0"/>
        <v>15910436</v>
      </c>
      <c r="AI11" s="48"/>
      <c r="AJ11" s="48">
        <v>0</v>
      </c>
      <c r="AK11" s="48"/>
      <c r="AL11" s="45">
        <v>1120695</v>
      </c>
      <c r="AM11" s="45"/>
      <c r="AN11" s="45">
        <v>10534031</v>
      </c>
      <c r="AO11" s="45"/>
      <c r="AP11" s="45">
        <v>0</v>
      </c>
      <c r="AQ11" s="45"/>
      <c r="AR11" s="45">
        <f>+'GVFund Rev'!U11+'GVFund Rev'!W11-'GVFund Exp'!AH11-'GVFund Exp'!AL11+AJ11+AN11+AP11-'GV Fund BS'!S11</f>
        <v>0</v>
      </c>
      <c r="AS11" s="48"/>
      <c r="AT11" s="65"/>
    </row>
    <row r="12" spans="1:46" s="44" customFormat="1" ht="12.75" customHeight="1">
      <c r="A12" s="35" t="s">
        <v>16</v>
      </c>
      <c r="C12" s="35" t="s">
        <v>17</v>
      </c>
      <c r="E12" s="45">
        <v>1219811</v>
      </c>
      <c r="F12" s="48"/>
      <c r="G12" s="45">
        <v>3472606</v>
      </c>
      <c r="H12" s="48"/>
      <c r="I12" s="45">
        <v>320262</v>
      </c>
      <c r="J12" s="48"/>
      <c r="K12" s="45">
        <v>200768</v>
      </c>
      <c r="L12" s="48"/>
      <c r="M12" s="45">
        <v>1304987</v>
      </c>
      <c r="N12" s="48"/>
      <c r="O12" s="45">
        <v>189928</v>
      </c>
      <c r="P12" s="48"/>
      <c r="Q12" s="45">
        <v>0</v>
      </c>
      <c r="R12" s="48"/>
      <c r="S12" s="45">
        <v>1538156</v>
      </c>
      <c r="T12" s="48"/>
      <c r="U12" s="45">
        <v>0</v>
      </c>
      <c r="V12" s="48"/>
      <c r="W12" s="48"/>
      <c r="X12" s="35"/>
      <c r="Z12" s="35"/>
      <c r="AA12" s="35"/>
      <c r="AB12" s="45">
        <v>281531</v>
      </c>
      <c r="AC12" s="65"/>
      <c r="AD12" s="45">
        <v>120881</v>
      </c>
      <c r="AE12" s="65"/>
      <c r="AF12" s="45">
        <v>0</v>
      </c>
      <c r="AG12" s="65"/>
      <c r="AH12" s="48">
        <f t="shared" si="0"/>
        <v>8648930</v>
      </c>
      <c r="AI12" s="48"/>
      <c r="AJ12" s="48">
        <v>0</v>
      </c>
      <c r="AK12" s="48"/>
      <c r="AL12" s="45">
        <v>585000</v>
      </c>
      <c r="AM12" s="45"/>
      <c r="AN12" s="45">
        <v>9629019</v>
      </c>
      <c r="AO12" s="45"/>
      <c r="AP12" s="45">
        <v>0</v>
      </c>
      <c r="AQ12" s="45"/>
      <c r="AR12" s="45">
        <f>+'GVFund Rev'!U12+'GVFund Rev'!W12-'GVFund Exp'!AH12-'GVFund Exp'!AL12+AJ12+AN12+AP12-'GV Fund BS'!S12</f>
        <v>0</v>
      </c>
      <c r="AS12" s="48"/>
    </row>
    <row r="13" spans="1:46" s="44" customFormat="1" ht="12.75" customHeight="1">
      <c r="A13" s="35" t="s">
        <v>18</v>
      </c>
      <c r="C13" s="35" t="s">
        <v>18</v>
      </c>
      <c r="E13" s="45">
        <v>5372569</v>
      </c>
      <c r="F13" s="48"/>
      <c r="G13" s="45">
        <v>6980721</v>
      </c>
      <c r="H13" s="48"/>
      <c r="I13" s="45">
        <v>606201</v>
      </c>
      <c r="J13" s="48"/>
      <c r="K13" s="45">
        <v>304456</v>
      </c>
      <c r="L13" s="48"/>
      <c r="M13" s="45">
        <v>2169051</v>
      </c>
      <c r="N13" s="48"/>
      <c r="O13" s="45">
        <v>1051707</v>
      </c>
      <c r="P13" s="48"/>
      <c r="Q13" s="45">
        <v>0</v>
      </c>
      <c r="R13" s="48"/>
      <c r="S13" s="45">
        <v>1012083</v>
      </c>
      <c r="T13" s="48"/>
      <c r="U13" s="45">
        <v>0</v>
      </c>
      <c r="V13" s="48"/>
      <c r="W13" s="48"/>
      <c r="X13" s="35"/>
      <c r="Z13" s="35"/>
      <c r="AA13" s="35"/>
      <c r="AB13" s="45">
        <v>1186381</v>
      </c>
      <c r="AC13" s="65"/>
      <c r="AD13" s="45">
        <v>169428</v>
      </c>
      <c r="AE13" s="65"/>
      <c r="AF13" s="45">
        <v>0</v>
      </c>
      <c r="AG13" s="65"/>
      <c r="AH13" s="48">
        <f t="shared" si="0"/>
        <v>18852597</v>
      </c>
      <c r="AI13" s="48"/>
      <c r="AJ13" s="48">
        <v>0</v>
      </c>
      <c r="AK13" s="48"/>
      <c r="AL13" s="45">
        <v>1239010</v>
      </c>
      <c r="AM13" s="45"/>
      <c r="AN13" s="45">
        <v>7282044</v>
      </c>
      <c r="AO13" s="45"/>
      <c r="AP13" s="45">
        <v>0</v>
      </c>
      <c r="AQ13" s="45"/>
      <c r="AR13" s="45">
        <f>+'GVFund Rev'!U13+'GVFund Rev'!W13-'GVFund Exp'!AH13-'GVFund Exp'!AL13+AJ13+AN13+AP13-'GV Fund BS'!S13</f>
        <v>0</v>
      </c>
      <c r="AS13" s="48"/>
    </row>
    <row r="14" spans="1:46" s="44" customFormat="1" ht="12.75" customHeight="1">
      <c r="A14" s="35" t="s">
        <v>19</v>
      </c>
      <c r="C14" s="35" t="s">
        <v>19</v>
      </c>
      <c r="E14" s="154">
        <f>3015334+1036477</f>
        <v>4051811</v>
      </c>
      <c r="F14" s="48"/>
      <c r="G14" s="45">
        <f>3628559+2823288</f>
        <v>6451847</v>
      </c>
      <c r="H14" s="48"/>
      <c r="I14" s="45">
        <v>1179875</v>
      </c>
      <c r="J14" s="48"/>
      <c r="K14" s="45">
        <f>383486+1846737</f>
        <v>2230223</v>
      </c>
      <c r="L14" s="48"/>
      <c r="M14" s="45">
        <v>1553013</v>
      </c>
      <c r="N14" s="48"/>
      <c r="O14" s="45">
        <v>44637</v>
      </c>
      <c r="P14" s="48"/>
      <c r="Q14" s="45">
        <v>0</v>
      </c>
      <c r="R14" s="48"/>
      <c r="S14" s="45">
        <v>1557584</v>
      </c>
      <c r="T14" s="48"/>
      <c r="U14" s="45">
        <v>0</v>
      </c>
      <c r="V14" s="48"/>
      <c r="W14" s="48"/>
      <c r="X14" s="35"/>
      <c r="Z14" s="35"/>
      <c r="AA14" s="35"/>
      <c r="AB14" s="45">
        <v>861691</v>
      </c>
      <c r="AC14" s="65"/>
      <c r="AD14" s="45">
        <v>78797</v>
      </c>
      <c r="AE14" s="65"/>
      <c r="AF14" s="45">
        <v>0</v>
      </c>
      <c r="AG14" s="65"/>
      <c r="AH14" s="48">
        <f t="shared" si="0"/>
        <v>18009478</v>
      </c>
      <c r="AI14" s="48"/>
      <c r="AJ14" s="48">
        <v>0</v>
      </c>
      <c r="AK14" s="48"/>
      <c r="AL14" s="45">
        <v>1543900</v>
      </c>
      <c r="AM14" s="45"/>
      <c r="AN14" s="45">
        <v>3597235</v>
      </c>
      <c r="AO14" s="45"/>
      <c r="AP14" s="45">
        <v>-8417</v>
      </c>
      <c r="AQ14" s="45"/>
      <c r="AR14" s="45">
        <f>+'GVFund Rev'!U14+'GVFund Rev'!W14-'GVFund Exp'!AH14-'GVFund Exp'!AL14+AJ14+AN14+AP14-'GV Fund BS'!S14</f>
        <v>0</v>
      </c>
      <c r="AS14" s="48"/>
    </row>
    <row r="15" spans="1:46" s="44" customFormat="1" ht="12.75" customHeight="1">
      <c r="A15" s="35" t="s">
        <v>20</v>
      </c>
      <c r="C15" s="35" t="s">
        <v>20</v>
      </c>
      <c r="E15" s="45">
        <v>4791731</v>
      </c>
      <c r="F15" s="48"/>
      <c r="G15" s="45">
        <f>3160688+2330662</f>
        <v>5491350</v>
      </c>
      <c r="H15" s="48"/>
      <c r="I15" s="45">
        <v>864496</v>
      </c>
      <c r="J15" s="48"/>
      <c r="K15" s="45">
        <v>0</v>
      </c>
      <c r="L15" s="48"/>
      <c r="M15" s="45">
        <v>3375630</v>
      </c>
      <c r="N15" s="48"/>
      <c r="O15" s="45">
        <v>1453264</v>
      </c>
      <c r="P15" s="48"/>
      <c r="Q15" s="45">
        <v>0</v>
      </c>
      <c r="R15" s="48"/>
      <c r="S15" s="45">
        <v>2079452</v>
      </c>
      <c r="T15" s="48"/>
      <c r="U15" s="45">
        <v>0</v>
      </c>
      <c r="V15" s="48"/>
      <c r="W15" s="48"/>
      <c r="X15" s="35"/>
      <c r="Z15" s="35"/>
      <c r="AA15" s="35"/>
      <c r="AB15" s="45">
        <v>350000</v>
      </c>
      <c r="AC15" s="65"/>
      <c r="AD15" s="45">
        <v>280875</v>
      </c>
      <c r="AE15" s="65"/>
      <c r="AF15" s="45">
        <v>0</v>
      </c>
      <c r="AG15" s="65"/>
      <c r="AH15" s="48">
        <f t="shared" si="0"/>
        <v>18686798</v>
      </c>
      <c r="AI15" s="48"/>
      <c r="AJ15" s="48">
        <v>0</v>
      </c>
      <c r="AK15" s="48"/>
      <c r="AL15" s="45">
        <v>854770</v>
      </c>
      <c r="AM15" s="45"/>
      <c r="AN15" s="45">
        <v>5800290</v>
      </c>
      <c r="AO15" s="45"/>
      <c r="AP15" s="45">
        <v>0</v>
      </c>
      <c r="AQ15" s="45"/>
      <c r="AR15" s="45">
        <f>+'GVFund Rev'!U15+'GVFund Rev'!W15-'GVFund Exp'!AH15-'GVFund Exp'!AL15+AJ15+AN15+AP15-'GV Fund BS'!S15</f>
        <v>0</v>
      </c>
      <c r="AS15" s="48"/>
    </row>
    <row r="16" spans="1:46" s="44" customFormat="1" ht="12.75" customHeight="1">
      <c r="A16" s="64" t="s">
        <v>21</v>
      </c>
      <c r="B16" s="46"/>
      <c r="C16" s="64" t="s">
        <v>22</v>
      </c>
      <c r="D16" s="46"/>
      <c r="E16" s="45">
        <v>2494105</v>
      </c>
      <c r="F16" s="48"/>
      <c r="G16" s="45">
        <v>6563079</v>
      </c>
      <c r="H16" s="48"/>
      <c r="I16" s="45">
        <v>1059244</v>
      </c>
      <c r="J16" s="48"/>
      <c r="K16" s="45">
        <v>0</v>
      </c>
      <c r="L16" s="48"/>
      <c r="M16" s="45">
        <v>2541669</v>
      </c>
      <c r="N16" s="48"/>
      <c r="O16" s="45">
        <v>1374392</v>
      </c>
      <c r="P16" s="48"/>
      <c r="Q16" s="45">
        <v>0</v>
      </c>
      <c r="R16" s="48"/>
      <c r="S16" s="45">
        <v>3485744</v>
      </c>
      <c r="T16" s="48"/>
      <c r="U16" s="45">
        <v>0</v>
      </c>
      <c r="V16" s="48"/>
      <c r="W16" s="48"/>
      <c r="X16" s="35"/>
      <c r="Z16" s="35"/>
      <c r="AA16" s="35"/>
      <c r="AB16" s="45">
        <v>1574016</v>
      </c>
      <c r="AC16" s="65"/>
      <c r="AD16" s="45">
        <v>590307</v>
      </c>
      <c r="AE16" s="65"/>
      <c r="AF16" s="45">
        <v>22266</v>
      </c>
      <c r="AG16" s="65"/>
      <c r="AH16" s="48">
        <f t="shared" si="0"/>
        <v>19704822</v>
      </c>
      <c r="AI16" s="48"/>
      <c r="AJ16" s="48">
        <v>0</v>
      </c>
      <c r="AK16" s="48"/>
      <c r="AL16" s="45">
        <v>3336476</v>
      </c>
      <c r="AM16" s="45"/>
      <c r="AN16" s="45">
        <v>16379348</v>
      </c>
      <c r="AO16" s="45"/>
      <c r="AP16" s="45">
        <v>0</v>
      </c>
      <c r="AQ16" s="45"/>
      <c r="AR16" s="45">
        <f>+'GVFund Rev'!U16+'GVFund Rev'!W16-'GVFund Exp'!AH16-'GVFund Exp'!AL16+AJ16+AN16+AP16-'GV Fund BS'!S16</f>
        <v>0</v>
      </c>
      <c r="AS16" s="48"/>
    </row>
    <row r="17" spans="1:45" s="44" customFormat="1" ht="12.75" customHeight="1">
      <c r="A17" s="35" t="s">
        <v>23</v>
      </c>
      <c r="C17" s="35" t="s">
        <v>17</v>
      </c>
      <c r="E17" s="45">
        <v>2343365</v>
      </c>
      <c r="F17" s="48"/>
      <c r="G17" s="45">
        <v>7134465</v>
      </c>
      <c r="H17" s="48"/>
      <c r="I17" s="45">
        <v>1282138</v>
      </c>
      <c r="J17" s="48"/>
      <c r="K17" s="45">
        <v>0</v>
      </c>
      <c r="L17" s="48"/>
      <c r="M17" s="45">
        <v>1632600</v>
      </c>
      <c r="N17" s="48"/>
      <c r="O17" s="45">
        <v>1098820</v>
      </c>
      <c r="P17" s="48"/>
      <c r="Q17" s="45">
        <v>557741</v>
      </c>
      <c r="R17" s="48"/>
      <c r="S17" s="45">
        <v>20063989</v>
      </c>
      <c r="T17" s="48"/>
      <c r="U17" s="45">
        <v>0</v>
      </c>
      <c r="V17" s="48"/>
      <c r="W17" s="48"/>
      <c r="X17" s="35"/>
      <c r="Z17" s="35"/>
      <c r="AA17" s="35"/>
      <c r="AB17" s="45">
        <v>7729043</v>
      </c>
      <c r="AC17" s="65"/>
      <c r="AD17" s="45">
        <v>1675213</v>
      </c>
      <c r="AE17" s="65"/>
      <c r="AF17" s="45">
        <v>0</v>
      </c>
      <c r="AG17" s="65"/>
      <c r="AH17" s="48">
        <f t="shared" si="0"/>
        <v>43517374</v>
      </c>
      <c r="AI17" s="48"/>
      <c r="AJ17" s="48">
        <v>0</v>
      </c>
      <c r="AK17" s="48"/>
      <c r="AL17" s="45">
        <v>-14669261</v>
      </c>
      <c r="AM17" s="45"/>
      <c r="AN17" s="45">
        <v>14741329</v>
      </c>
      <c r="AO17" s="45"/>
      <c r="AP17" s="45">
        <v>0</v>
      </c>
      <c r="AQ17" s="45"/>
      <c r="AR17" s="45">
        <f>+'GVFund Rev'!U17+'GVFund Rev'!W17-'GVFund Exp'!AH17-'GVFund Exp'!AL17+AJ17+AN17+AP17-'GV Fund BS'!S17</f>
        <v>0</v>
      </c>
      <c r="AS17" s="48"/>
    </row>
    <row r="18" spans="1:45" s="44" customFormat="1" ht="12.75" customHeight="1">
      <c r="A18" s="35" t="s">
        <v>24</v>
      </c>
      <c r="C18" s="35" t="s">
        <v>17</v>
      </c>
      <c r="E18" s="45">
        <v>2792067</v>
      </c>
      <c r="F18" s="48"/>
      <c r="G18" s="45">
        <v>7972125</v>
      </c>
      <c r="H18" s="48"/>
      <c r="I18" s="45">
        <v>325405</v>
      </c>
      <c r="J18" s="48"/>
      <c r="K18" s="45">
        <v>136490</v>
      </c>
      <c r="L18" s="48"/>
      <c r="M18" s="45">
        <v>6438048</v>
      </c>
      <c r="N18" s="48"/>
      <c r="O18" s="45">
        <v>998018</v>
      </c>
      <c r="P18" s="48"/>
      <c r="Q18" s="45"/>
      <c r="R18" s="48"/>
      <c r="S18" s="45">
        <v>1010865</v>
      </c>
      <c r="T18" s="48"/>
      <c r="U18" s="45">
        <v>0</v>
      </c>
      <c r="V18" s="48"/>
      <c r="W18" s="48"/>
      <c r="X18" s="35"/>
      <c r="Z18" s="35"/>
      <c r="AA18" s="35"/>
      <c r="AB18" s="45">
        <v>573350</v>
      </c>
      <c r="AC18" s="65"/>
      <c r="AD18" s="45">
        <v>376314</v>
      </c>
      <c r="AE18" s="65"/>
      <c r="AF18" s="45">
        <v>43757</v>
      </c>
      <c r="AG18" s="65"/>
      <c r="AH18" s="48">
        <f t="shared" si="0"/>
        <v>20666439</v>
      </c>
      <c r="AI18" s="48"/>
      <c r="AJ18" s="48">
        <v>0</v>
      </c>
      <c r="AK18" s="48"/>
      <c r="AL18" s="45">
        <v>11064542</v>
      </c>
      <c r="AM18" s="45"/>
      <c r="AN18" s="45">
        <v>13234679</v>
      </c>
      <c r="AO18" s="45"/>
      <c r="AP18" s="45">
        <v>0</v>
      </c>
      <c r="AQ18" s="45"/>
      <c r="AR18" s="45">
        <f>+'GVFund Rev'!U18+'GVFund Rev'!W18-'GVFund Exp'!AH18-'GVFund Exp'!AL18+AJ18+AN18+AP18-'GV Fund BS'!S18</f>
        <v>0</v>
      </c>
      <c r="AS18" s="48"/>
    </row>
    <row r="19" spans="1:45" s="44" customFormat="1" ht="12.75" customHeight="1">
      <c r="A19" s="35" t="s">
        <v>25</v>
      </c>
      <c r="C19" s="35" t="s">
        <v>13</v>
      </c>
      <c r="E19" s="45">
        <v>4177189</v>
      </c>
      <c r="F19" s="48"/>
      <c r="G19" s="45">
        <v>10273963</v>
      </c>
      <c r="H19" s="48"/>
      <c r="I19" s="45">
        <v>1680902</v>
      </c>
      <c r="J19" s="48"/>
      <c r="K19" s="45">
        <v>1793038</v>
      </c>
      <c r="L19" s="48"/>
      <c r="M19" s="45">
        <v>1611276</v>
      </c>
      <c r="N19" s="48"/>
      <c r="O19" s="45">
        <v>1368699</v>
      </c>
      <c r="P19" s="48"/>
      <c r="Q19" s="45">
        <v>0</v>
      </c>
      <c r="R19" s="48"/>
      <c r="S19" s="45">
        <v>3552712</v>
      </c>
      <c r="T19" s="48"/>
      <c r="U19" s="45">
        <v>0</v>
      </c>
      <c r="V19" s="48"/>
      <c r="W19" s="48"/>
      <c r="X19" s="35"/>
      <c r="Z19" s="35"/>
      <c r="AA19" s="35"/>
      <c r="AB19" s="45">
        <v>932580</v>
      </c>
      <c r="AC19" s="65"/>
      <c r="AD19" s="45">
        <v>253241</v>
      </c>
      <c r="AE19" s="65"/>
      <c r="AF19" s="45">
        <v>10745</v>
      </c>
      <c r="AG19" s="65"/>
      <c r="AH19" s="48">
        <f t="shared" si="0"/>
        <v>25654345</v>
      </c>
      <c r="AI19" s="48"/>
      <c r="AJ19" s="48">
        <v>0</v>
      </c>
      <c r="AK19" s="48"/>
      <c r="AL19" s="45">
        <v>1962282</v>
      </c>
      <c r="AM19" s="45"/>
      <c r="AN19" s="45">
        <v>7371075</v>
      </c>
      <c r="AO19" s="45"/>
      <c r="AP19" s="45">
        <v>0</v>
      </c>
      <c r="AQ19" s="45"/>
      <c r="AR19" s="45">
        <f>+'GVFund Rev'!U19+'GVFund Rev'!W19-'GVFund Exp'!AH19-'GVFund Exp'!AL19+AJ19+AN19+AP19-'GV Fund BS'!S19</f>
        <v>0</v>
      </c>
      <c r="AS19" s="48"/>
    </row>
    <row r="20" spans="1:45" s="44" customFormat="1" ht="12.75" customHeight="1">
      <c r="A20" s="35" t="s">
        <v>26</v>
      </c>
      <c r="C20" s="35" t="s">
        <v>27</v>
      </c>
      <c r="E20" s="45">
        <v>3110098</v>
      </c>
      <c r="F20" s="48"/>
      <c r="G20" s="45">
        <v>6482523</v>
      </c>
      <c r="H20" s="48"/>
      <c r="I20" s="45">
        <v>826451</v>
      </c>
      <c r="J20" s="48"/>
      <c r="K20" s="45">
        <v>276393</v>
      </c>
      <c r="L20" s="48"/>
      <c r="M20" s="45">
        <v>1976623</v>
      </c>
      <c r="N20" s="48"/>
      <c r="O20" s="45">
        <v>976911</v>
      </c>
      <c r="P20" s="48"/>
      <c r="Q20" s="45">
        <v>1781742</v>
      </c>
      <c r="R20" s="48"/>
      <c r="S20" s="45">
        <v>940262</v>
      </c>
      <c r="T20" s="48"/>
      <c r="U20" s="45">
        <v>0</v>
      </c>
      <c r="V20" s="48"/>
      <c r="W20" s="48"/>
      <c r="X20" s="35"/>
      <c r="Z20" s="35"/>
      <c r="AA20" s="35"/>
      <c r="AB20" s="45">
        <v>3405000</v>
      </c>
      <c r="AC20" s="65"/>
      <c r="AD20" s="45">
        <v>576083</v>
      </c>
      <c r="AE20" s="65"/>
      <c r="AF20" s="45">
        <f>17762+27547</f>
        <v>45309</v>
      </c>
      <c r="AG20" s="65"/>
      <c r="AH20" s="48">
        <f t="shared" si="0"/>
        <v>20397395</v>
      </c>
      <c r="AI20" s="48"/>
      <c r="AJ20" s="48">
        <v>0</v>
      </c>
      <c r="AK20" s="48"/>
      <c r="AL20" s="45">
        <f>12619225+2683690</f>
        <v>15302915</v>
      </c>
      <c r="AM20" s="45"/>
      <c r="AN20" s="45">
        <v>20355547</v>
      </c>
      <c r="AO20" s="45"/>
      <c r="AP20" s="45">
        <v>0</v>
      </c>
      <c r="AQ20" s="45"/>
      <c r="AR20" s="45">
        <f>+'GVFund Rev'!U20+'GVFund Rev'!W20-'GVFund Exp'!AH20-'GVFund Exp'!AL20+AJ20+AN20+AP20-'GV Fund BS'!S20</f>
        <v>0</v>
      </c>
      <c r="AS20" s="48"/>
    </row>
    <row r="21" spans="1:45" s="44" customFormat="1" ht="12.75" customHeight="1">
      <c r="A21" s="35" t="s">
        <v>28</v>
      </c>
      <c r="C21" s="35" t="s">
        <v>27</v>
      </c>
      <c r="E21" s="45">
        <v>4017322</v>
      </c>
      <c r="F21" s="48"/>
      <c r="G21" s="45">
        <f>7807378+5648187</f>
        <v>13455565</v>
      </c>
      <c r="H21" s="48"/>
      <c r="I21" s="45">
        <v>960151</v>
      </c>
      <c r="J21" s="48"/>
      <c r="K21" s="45">
        <v>624426</v>
      </c>
      <c r="L21" s="48"/>
      <c r="M21" s="45">
        <v>0</v>
      </c>
      <c r="N21" s="48"/>
      <c r="O21" s="45">
        <v>2301474</v>
      </c>
      <c r="P21" s="48"/>
      <c r="Q21" s="45">
        <v>8122295</v>
      </c>
      <c r="R21" s="48"/>
      <c r="S21" s="45">
        <v>8036268</v>
      </c>
      <c r="T21" s="48"/>
      <c r="U21" s="45">
        <v>0</v>
      </c>
      <c r="V21" s="48"/>
      <c r="W21" s="48"/>
      <c r="X21" s="35"/>
      <c r="Z21" s="35"/>
      <c r="AA21" s="35"/>
      <c r="AB21" s="45">
        <v>1250000</v>
      </c>
      <c r="AC21" s="65"/>
      <c r="AD21" s="45">
        <v>802790</v>
      </c>
      <c r="AE21" s="65"/>
      <c r="AF21" s="45">
        <v>0</v>
      </c>
      <c r="AG21" s="65"/>
      <c r="AH21" s="48">
        <f t="shared" si="0"/>
        <v>39570291</v>
      </c>
      <c r="AI21" s="48"/>
      <c r="AJ21" s="48">
        <v>0</v>
      </c>
      <c r="AK21" s="48"/>
      <c r="AL21" s="45">
        <v>5036263</v>
      </c>
      <c r="AM21" s="45"/>
      <c r="AN21" s="45">
        <v>37603261</v>
      </c>
      <c r="AO21" s="45"/>
      <c r="AP21" s="45">
        <v>0</v>
      </c>
      <c r="AQ21" s="45"/>
      <c r="AR21" s="45">
        <f>+'GVFund Rev'!U21+'GVFund Rev'!W21-'GVFund Exp'!AH21-'GVFund Exp'!AL21+AJ21+AN21+AP21-'GV Fund BS'!S21</f>
        <v>0</v>
      </c>
      <c r="AS21" s="48"/>
    </row>
    <row r="22" spans="1:45" s="44" customFormat="1" ht="12.75" customHeight="1">
      <c r="A22" s="35" t="s">
        <v>29</v>
      </c>
      <c r="C22" s="35" t="s">
        <v>30</v>
      </c>
      <c r="E22" s="45">
        <v>2149917</v>
      </c>
      <c r="F22" s="48"/>
      <c r="G22" s="45">
        <v>7164489</v>
      </c>
      <c r="H22" s="48"/>
      <c r="I22" s="45">
        <v>482024</v>
      </c>
      <c r="J22" s="48"/>
      <c r="K22" s="45">
        <v>135629</v>
      </c>
      <c r="L22" s="48"/>
      <c r="M22" s="45">
        <v>4582623</v>
      </c>
      <c r="N22" s="48"/>
      <c r="O22" s="45">
        <v>1232631</v>
      </c>
      <c r="P22" s="48"/>
      <c r="Q22" s="45">
        <v>53966</v>
      </c>
      <c r="R22" s="48"/>
      <c r="S22" s="45">
        <v>2894351</v>
      </c>
      <c r="T22" s="48"/>
      <c r="U22" s="45">
        <v>0</v>
      </c>
      <c r="V22" s="48"/>
      <c r="W22" s="48"/>
      <c r="X22" s="35"/>
      <c r="Z22" s="35"/>
      <c r="AA22" s="35"/>
      <c r="AB22" s="45">
        <v>630042</v>
      </c>
      <c r="AC22" s="65"/>
      <c r="AD22" s="45">
        <v>488234</v>
      </c>
      <c r="AE22" s="65"/>
      <c r="AF22" s="45">
        <v>0</v>
      </c>
      <c r="AG22" s="65"/>
      <c r="AH22" s="48">
        <f t="shared" si="0"/>
        <v>19813906</v>
      </c>
      <c r="AI22" s="48"/>
      <c r="AJ22" s="48">
        <v>0</v>
      </c>
      <c r="AK22" s="48"/>
      <c r="AL22" s="45">
        <v>1074006</v>
      </c>
      <c r="AM22" s="45"/>
      <c r="AN22" s="45">
        <v>7661041</v>
      </c>
      <c r="AO22" s="45"/>
      <c r="AP22" s="45">
        <v>160089</v>
      </c>
      <c r="AQ22" s="45"/>
      <c r="AR22" s="45">
        <f>+'GVFund Rev'!U22+'GVFund Rev'!W22-'GVFund Exp'!AH22-'GVFund Exp'!AL22+AJ22+AN22+AP22-'GV Fund BS'!S22</f>
        <v>0</v>
      </c>
      <c r="AS22" s="48"/>
    </row>
    <row r="23" spans="1:45" s="44" customFormat="1" ht="12.75" customHeight="1">
      <c r="A23" s="35" t="s">
        <v>31</v>
      </c>
      <c r="C23" s="35" t="s">
        <v>27</v>
      </c>
      <c r="E23" s="45">
        <v>4833025</v>
      </c>
      <c r="F23" s="48"/>
      <c r="G23" s="45">
        <f>5296548+3967593</f>
        <v>9264141</v>
      </c>
      <c r="H23" s="48"/>
      <c r="I23" s="45">
        <v>1728246</v>
      </c>
      <c r="J23" s="48"/>
      <c r="K23" s="45">
        <v>210749</v>
      </c>
      <c r="L23" s="48"/>
      <c r="M23" s="45">
        <v>2674815</v>
      </c>
      <c r="N23" s="48"/>
      <c r="O23" s="45">
        <v>1408141</v>
      </c>
      <c r="P23" s="48"/>
      <c r="Q23" s="45">
        <v>1025646</v>
      </c>
      <c r="R23" s="48"/>
      <c r="S23" s="45">
        <v>474873</v>
      </c>
      <c r="T23" s="48"/>
      <c r="U23" s="45">
        <v>0</v>
      </c>
      <c r="V23" s="48"/>
      <c r="W23" s="48"/>
      <c r="X23" s="35"/>
      <c r="Z23" s="35"/>
      <c r="AA23" s="35"/>
      <c r="AB23" s="45">
        <v>652402</v>
      </c>
      <c r="AC23" s="65"/>
      <c r="AD23" s="45">
        <v>519709</v>
      </c>
      <c r="AE23" s="65"/>
      <c r="AF23" s="45">
        <v>0</v>
      </c>
      <c r="AG23" s="65"/>
      <c r="AH23" s="48">
        <f t="shared" si="0"/>
        <v>22791747</v>
      </c>
      <c r="AI23" s="48"/>
      <c r="AJ23" s="48">
        <v>0</v>
      </c>
      <c r="AK23" s="48"/>
      <c r="AL23" s="45">
        <v>4701390</v>
      </c>
      <c r="AM23" s="45"/>
      <c r="AN23" s="45">
        <v>15892692</v>
      </c>
      <c r="AO23" s="45"/>
      <c r="AP23" s="45">
        <v>0</v>
      </c>
      <c r="AQ23" s="45"/>
      <c r="AR23" s="45">
        <f>+'GVFund Rev'!U23+'GVFund Rev'!W23-'GVFund Exp'!AH23-'GVFund Exp'!AL23+AJ23+AN23+AP23-'GV Fund BS'!S23</f>
        <v>0</v>
      </c>
      <c r="AS23" s="48"/>
    </row>
    <row r="24" spans="1:45" s="44" customFormat="1" ht="12.75" customHeight="1">
      <c r="A24" s="35" t="s">
        <v>32</v>
      </c>
      <c r="C24" s="35" t="s">
        <v>27</v>
      </c>
      <c r="E24" s="45">
        <v>607654</v>
      </c>
      <c r="F24" s="48"/>
      <c r="G24" s="45">
        <v>10938608</v>
      </c>
      <c r="H24" s="48"/>
      <c r="I24" s="45">
        <v>396706</v>
      </c>
      <c r="J24" s="48"/>
      <c r="K24" s="45">
        <v>404247</v>
      </c>
      <c r="L24" s="48"/>
      <c r="M24" s="45">
        <v>4072750</v>
      </c>
      <c r="N24" s="48"/>
      <c r="O24" s="45">
        <v>2079069</v>
      </c>
      <c r="P24" s="48"/>
      <c r="Q24" s="45">
        <f>716570+1068086</f>
        <v>1784656</v>
      </c>
      <c r="R24" s="48"/>
      <c r="S24" s="45">
        <v>0</v>
      </c>
      <c r="T24" s="48"/>
      <c r="U24" s="45">
        <v>0</v>
      </c>
      <c r="V24" s="48"/>
      <c r="W24" s="48"/>
      <c r="X24" s="35"/>
      <c r="Z24" s="35"/>
      <c r="AA24" s="35"/>
      <c r="AB24" s="45">
        <v>1170000</v>
      </c>
      <c r="AC24" s="65"/>
      <c r="AD24" s="45">
        <v>288907</v>
      </c>
      <c r="AE24" s="65"/>
      <c r="AF24" s="45">
        <v>0</v>
      </c>
      <c r="AG24" s="65"/>
      <c r="AH24" s="48">
        <f t="shared" ref="AH24:AH42" si="1">SUM(E24:AF24)</f>
        <v>21742597</v>
      </c>
      <c r="AI24" s="48"/>
      <c r="AJ24" s="48">
        <v>0</v>
      </c>
      <c r="AK24" s="48"/>
      <c r="AL24" s="45">
        <v>2730000</v>
      </c>
      <c r="AM24" s="45"/>
      <c r="AN24" s="45">
        <v>5814025</v>
      </c>
      <c r="AO24" s="45"/>
      <c r="AP24" s="45">
        <v>0</v>
      </c>
      <c r="AQ24" s="45"/>
      <c r="AR24" s="45">
        <f>+'GVFund Rev'!U24+'GVFund Rev'!W24-'GVFund Exp'!AH24-'GVFund Exp'!AL24+AJ24+AN24+AP24-'GV Fund BS'!S24</f>
        <v>0</v>
      </c>
      <c r="AS24" s="48"/>
    </row>
    <row r="25" spans="1:45" s="44" customFormat="1" ht="12.75" customHeight="1">
      <c r="A25" s="35" t="s">
        <v>34</v>
      </c>
      <c r="C25" s="35" t="s">
        <v>30</v>
      </c>
      <c r="E25" s="45">
        <v>393324</v>
      </c>
      <c r="F25" s="48"/>
      <c r="G25" s="45">
        <v>2313435</v>
      </c>
      <c r="H25" s="48"/>
      <c r="I25" s="45">
        <v>40938</v>
      </c>
      <c r="J25" s="48"/>
      <c r="K25" s="45">
        <v>0</v>
      </c>
      <c r="L25" s="48"/>
      <c r="M25" s="45">
        <v>317812</v>
      </c>
      <c r="N25" s="48"/>
      <c r="O25" s="45">
        <v>14978</v>
      </c>
      <c r="P25" s="48"/>
      <c r="Q25" s="45">
        <v>0</v>
      </c>
      <c r="R25" s="48"/>
      <c r="S25" s="45">
        <v>320679</v>
      </c>
      <c r="T25" s="48"/>
      <c r="U25" s="45">
        <v>0</v>
      </c>
      <c r="V25" s="48"/>
      <c r="W25" s="48"/>
      <c r="X25" s="35"/>
      <c r="Z25" s="35"/>
      <c r="AA25" s="35"/>
      <c r="AB25" s="45">
        <v>0</v>
      </c>
      <c r="AC25" s="65"/>
      <c r="AD25" s="45">
        <v>0</v>
      </c>
      <c r="AE25" s="65"/>
      <c r="AF25" s="45">
        <v>0</v>
      </c>
      <c r="AG25" s="65"/>
      <c r="AH25" s="48">
        <f>SUM(E25:AF25)</f>
        <v>3401166</v>
      </c>
      <c r="AI25" s="48"/>
      <c r="AJ25" s="48">
        <v>0</v>
      </c>
      <c r="AK25" s="48"/>
      <c r="AL25" s="45">
        <v>530000</v>
      </c>
      <c r="AM25" s="45"/>
      <c r="AN25" s="45">
        <v>2509162</v>
      </c>
      <c r="AO25" s="45"/>
      <c r="AP25" s="45">
        <v>0</v>
      </c>
      <c r="AQ25" s="45"/>
      <c r="AR25" s="45">
        <f>+'GVFund Rev'!U25+'GVFund Rev'!W25-'GVFund Exp'!AH25-'GVFund Exp'!AL25+AJ25+AN25+AP25-'GV Fund BS'!S25</f>
        <v>0</v>
      </c>
      <c r="AS25" s="48"/>
    </row>
    <row r="26" spans="1:45" s="44" customFormat="1" ht="12.75" customHeight="1">
      <c r="A26" s="35" t="s">
        <v>35</v>
      </c>
      <c r="C26" s="35" t="s">
        <v>36</v>
      </c>
      <c r="E26" s="45">
        <f>1600821+605336</f>
        <v>2206157</v>
      </c>
      <c r="F26" s="48"/>
      <c r="G26" s="45">
        <v>3638067</v>
      </c>
      <c r="H26" s="48"/>
      <c r="I26" s="45">
        <v>368191</v>
      </c>
      <c r="J26" s="48"/>
      <c r="K26" s="45">
        <v>161427</v>
      </c>
      <c r="L26" s="48"/>
      <c r="M26" s="45">
        <v>1045815</v>
      </c>
      <c r="N26" s="48"/>
      <c r="O26" s="45">
        <v>566283</v>
      </c>
      <c r="P26" s="48"/>
      <c r="Q26" s="45">
        <v>237435</v>
      </c>
      <c r="R26" s="48"/>
      <c r="S26" s="45">
        <v>1846477</v>
      </c>
      <c r="T26" s="48"/>
      <c r="U26" s="45">
        <v>0</v>
      </c>
      <c r="V26" s="48"/>
      <c r="W26" s="48"/>
      <c r="X26" s="35"/>
      <c r="Z26" s="35"/>
      <c r="AA26" s="35"/>
      <c r="AB26" s="45">
        <v>85000</v>
      </c>
      <c r="AC26" s="65"/>
      <c r="AD26" s="45">
        <v>34025</v>
      </c>
      <c r="AE26" s="65"/>
      <c r="AF26" s="44">
        <v>0</v>
      </c>
      <c r="AG26" s="65"/>
      <c r="AH26" s="48">
        <f t="shared" si="1"/>
        <v>10188877</v>
      </c>
      <c r="AI26" s="48"/>
      <c r="AJ26" s="48">
        <v>0</v>
      </c>
      <c r="AK26" s="48"/>
      <c r="AL26" s="45">
        <v>1131186</v>
      </c>
      <c r="AM26" s="45"/>
      <c r="AN26" s="45">
        <v>8763485</v>
      </c>
      <c r="AO26" s="45"/>
      <c r="AP26" s="45">
        <v>0</v>
      </c>
      <c r="AQ26" s="45"/>
      <c r="AR26" s="45">
        <f>+'GVFund Rev'!U26+'GVFund Rev'!W26-'GVFund Exp'!AH26-'GVFund Exp'!AL26+AJ26+AN26+AP26-'GV Fund BS'!S26</f>
        <v>0</v>
      </c>
      <c r="AS26" s="48"/>
    </row>
    <row r="27" spans="1:45" s="44" customFormat="1" ht="12.75" customHeight="1">
      <c r="A27" s="35" t="s">
        <v>37</v>
      </c>
      <c r="C27" s="35" t="s">
        <v>38</v>
      </c>
      <c r="E27" s="45">
        <f>2084656+261824</f>
        <v>2346480</v>
      </c>
      <c r="F27" s="48"/>
      <c r="G27" s="45">
        <v>2578654</v>
      </c>
      <c r="H27" s="48"/>
      <c r="I27" s="45">
        <v>250263</v>
      </c>
      <c r="J27" s="48"/>
      <c r="K27" s="45">
        <v>116075</v>
      </c>
      <c r="L27" s="48"/>
      <c r="M27" s="45">
        <v>1065675</v>
      </c>
      <c r="N27" s="48"/>
      <c r="O27" s="45">
        <v>523700</v>
      </c>
      <c r="P27" s="48"/>
      <c r="Q27" s="45">
        <v>0</v>
      </c>
      <c r="R27" s="48"/>
      <c r="S27" s="45">
        <v>0</v>
      </c>
      <c r="T27" s="48"/>
      <c r="U27" s="45">
        <v>0</v>
      </c>
      <c r="V27" s="48"/>
      <c r="W27" s="48"/>
      <c r="X27" s="35"/>
      <c r="Z27" s="35"/>
      <c r="AA27" s="35"/>
      <c r="AB27" s="45">
        <v>90000</v>
      </c>
      <c r="AC27" s="65"/>
      <c r="AD27" s="45">
        <v>80821</v>
      </c>
      <c r="AE27" s="65"/>
      <c r="AF27" s="45">
        <v>0</v>
      </c>
      <c r="AG27" s="65"/>
      <c r="AH27" s="48">
        <f>SUM(E27:AF27)</f>
        <v>7051668</v>
      </c>
      <c r="AI27" s="48"/>
      <c r="AJ27" s="48">
        <v>0</v>
      </c>
      <c r="AK27" s="48"/>
      <c r="AL27" s="45">
        <v>1520219</v>
      </c>
      <c r="AM27" s="45"/>
      <c r="AN27" s="45">
        <v>5038472</v>
      </c>
      <c r="AO27" s="45"/>
      <c r="AP27" s="45">
        <v>0</v>
      </c>
      <c r="AQ27" s="45"/>
      <c r="AR27" s="45">
        <f>+'GVFund Rev'!U27+'GVFund Rev'!W27-'GVFund Exp'!AH27-'GVFund Exp'!AL27+AJ27+AN27+AP27-'GV Fund BS'!S27</f>
        <v>0</v>
      </c>
      <c r="AS27" s="48"/>
    </row>
    <row r="28" spans="1:45" s="44" customFormat="1" ht="12.75" customHeight="1">
      <c r="A28" s="35" t="s">
        <v>39</v>
      </c>
      <c r="C28" s="35" t="s">
        <v>40</v>
      </c>
      <c r="E28" s="45">
        <v>613932</v>
      </c>
      <c r="F28" s="48"/>
      <c r="G28" s="45">
        <f>969103+161989</f>
        <v>1131092</v>
      </c>
      <c r="H28" s="48"/>
      <c r="I28" s="45">
        <v>220613</v>
      </c>
      <c r="J28" s="48"/>
      <c r="K28" s="45">
        <v>41242</v>
      </c>
      <c r="L28" s="48"/>
      <c r="M28" s="45">
        <v>498625</v>
      </c>
      <c r="N28" s="48"/>
      <c r="O28" s="45">
        <f>35079+82187+67966</f>
        <v>185232</v>
      </c>
      <c r="P28" s="48"/>
      <c r="Q28" s="45">
        <v>0</v>
      </c>
      <c r="R28" s="48"/>
      <c r="S28" s="45">
        <v>233160</v>
      </c>
      <c r="T28" s="48"/>
      <c r="U28" s="45">
        <v>0</v>
      </c>
      <c r="V28" s="48"/>
      <c r="W28" s="48"/>
      <c r="X28" s="35"/>
      <c r="Z28" s="35"/>
      <c r="AA28" s="35"/>
      <c r="AB28" s="45">
        <v>108021</v>
      </c>
      <c r="AC28" s="65"/>
      <c r="AD28" s="45">
        <v>60614</v>
      </c>
      <c r="AE28" s="65"/>
      <c r="AF28" s="45">
        <v>0</v>
      </c>
      <c r="AG28" s="65"/>
      <c r="AH28" s="48">
        <f t="shared" si="1"/>
        <v>3092531</v>
      </c>
      <c r="AI28" s="48"/>
      <c r="AJ28" s="48">
        <v>0</v>
      </c>
      <c r="AK28" s="48"/>
      <c r="AL28" s="45">
        <v>145000</v>
      </c>
      <c r="AM28" s="45"/>
      <c r="AN28" s="45">
        <v>1962734</v>
      </c>
      <c r="AO28" s="45"/>
      <c r="AP28" s="45">
        <v>1834</v>
      </c>
      <c r="AQ28" s="45"/>
      <c r="AR28" s="45">
        <f>+'GVFund Rev'!U28+'GVFund Rev'!W28-'GVFund Exp'!AH28-'GVFund Exp'!AL28+AJ28+AN28+AP28-'GV Fund BS'!S28</f>
        <v>0</v>
      </c>
      <c r="AS28" s="48"/>
    </row>
    <row r="29" spans="1:45" s="44" customFormat="1" ht="12.75" customHeight="1">
      <c r="A29" s="35" t="s">
        <v>41</v>
      </c>
      <c r="C29" s="35" t="s">
        <v>27</v>
      </c>
      <c r="E29" s="45">
        <v>6588316</v>
      </c>
      <c r="F29" s="48"/>
      <c r="G29" s="45">
        <v>6419429</v>
      </c>
      <c r="H29" s="48"/>
      <c r="I29" s="45">
        <v>534163</v>
      </c>
      <c r="J29" s="48"/>
      <c r="K29" s="45">
        <v>122080</v>
      </c>
      <c r="L29" s="48"/>
      <c r="M29" s="45">
        <v>833147</v>
      </c>
      <c r="N29" s="48"/>
      <c r="O29" s="45">
        <v>1625000</v>
      </c>
      <c r="P29" s="48"/>
      <c r="Q29" s="45">
        <v>1236211</v>
      </c>
      <c r="R29" s="48"/>
      <c r="S29" s="45">
        <v>5804880</v>
      </c>
      <c r="T29" s="48"/>
      <c r="U29" s="45">
        <v>0</v>
      </c>
      <c r="V29" s="48"/>
      <c r="W29" s="48"/>
      <c r="X29" s="35"/>
      <c r="Z29" s="35"/>
      <c r="AA29" s="35"/>
      <c r="AB29" s="45">
        <v>1172101</v>
      </c>
      <c r="AC29" s="65"/>
      <c r="AD29" s="45">
        <v>548167</v>
      </c>
      <c r="AE29" s="65"/>
      <c r="AF29" s="45">
        <v>0</v>
      </c>
      <c r="AG29" s="65"/>
      <c r="AH29" s="48">
        <f t="shared" si="1"/>
        <v>24883494</v>
      </c>
      <c r="AI29" s="48"/>
      <c r="AJ29" s="48">
        <v>0</v>
      </c>
      <c r="AK29" s="48"/>
      <c r="AL29" s="45">
        <v>2236000</v>
      </c>
      <c r="AM29" s="45"/>
      <c r="AN29" s="45">
        <v>2912074</v>
      </c>
      <c r="AO29" s="45"/>
      <c r="AP29" s="45">
        <v>0</v>
      </c>
      <c r="AQ29" s="45"/>
      <c r="AR29" s="45">
        <f>+'GVFund Rev'!U29+'GVFund Rev'!W29-'GVFund Exp'!AH29-'GVFund Exp'!AL29+AJ29+AN29+AP29-'GV Fund BS'!S29</f>
        <v>0</v>
      </c>
      <c r="AS29" s="48"/>
    </row>
    <row r="30" spans="1:45" s="44" customFormat="1" ht="12.75" customHeight="1">
      <c r="A30" s="35" t="s">
        <v>42</v>
      </c>
      <c r="C30" s="35" t="s">
        <v>43</v>
      </c>
      <c r="E30" s="45">
        <v>3581365</v>
      </c>
      <c r="F30" s="48"/>
      <c r="G30" s="45">
        <v>5119430</v>
      </c>
      <c r="H30" s="48"/>
      <c r="I30" s="45">
        <v>648051</v>
      </c>
      <c r="J30" s="48"/>
      <c r="K30" s="45">
        <v>79897</v>
      </c>
      <c r="L30" s="48"/>
      <c r="M30" s="45">
        <v>911135</v>
      </c>
      <c r="N30" s="48"/>
      <c r="O30" s="45">
        <v>1524368</v>
      </c>
      <c r="P30" s="48"/>
      <c r="Q30" s="45">
        <v>0</v>
      </c>
      <c r="R30" s="48"/>
      <c r="S30" s="45">
        <v>3480514</v>
      </c>
      <c r="T30" s="48"/>
      <c r="U30" s="45">
        <v>0</v>
      </c>
      <c r="V30" s="48"/>
      <c r="W30" s="48"/>
      <c r="X30" s="35"/>
      <c r="Z30" s="35"/>
      <c r="AA30" s="35"/>
      <c r="AB30" s="45">
        <v>583615</v>
      </c>
      <c r="AC30" s="65"/>
      <c r="AD30" s="45">
        <v>331667</v>
      </c>
      <c r="AE30" s="65"/>
      <c r="AF30" s="45">
        <v>209556</v>
      </c>
      <c r="AG30" s="65"/>
      <c r="AH30" s="48">
        <f t="shared" si="1"/>
        <v>16469598</v>
      </c>
      <c r="AI30" s="48"/>
      <c r="AJ30" s="48">
        <v>0</v>
      </c>
      <c r="AK30" s="48"/>
      <c r="AL30" s="45">
        <v>8300627</v>
      </c>
      <c r="AM30" s="45"/>
      <c r="AN30" s="45">
        <v>6593392</v>
      </c>
      <c r="AO30" s="45"/>
      <c r="AP30" s="45">
        <v>0</v>
      </c>
      <c r="AQ30" s="45"/>
      <c r="AR30" s="45">
        <f>+'GVFund Rev'!U30+'GVFund Rev'!W30-'GVFund Exp'!AH30-'GVFund Exp'!AL30+AJ30+AN30+AP30-'GV Fund BS'!S30</f>
        <v>0</v>
      </c>
      <c r="AS30" s="48"/>
    </row>
    <row r="31" spans="1:45" s="44" customFormat="1" ht="12.75" customHeight="1">
      <c r="A31" s="35" t="s">
        <v>44</v>
      </c>
      <c r="C31" s="35" t="s">
        <v>45</v>
      </c>
      <c r="E31" s="48">
        <v>7613831</v>
      </c>
      <c r="G31" s="45">
        <v>11062474</v>
      </c>
      <c r="H31" s="48"/>
      <c r="I31" s="45">
        <v>910816</v>
      </c>
      <c r="J31" s="48"/>
      <c r="K31" s="45">
        <v>0</v>
      </c>
      <c r="L31" s="48"/>
      <c r="M31" s="45">
        <v>2323589</v>
      </c>
      <c r="N31" s="48"/>
      <c r="O31" s="45">
        <v>4989298</v>
      </c>
      <c r="P31" s="48"/>
      <c r="Q31" s="45">
        <v>1958071</v>
      </c>
      <c r="R31" s="48"/>
      <c r="S31" s="45">
        <v>8864473</v>
      </c>
      <c r="T31" s="48"/>
      <c r="U31" s="45">
        <v>0</v>
      </c>
      <c r="V31" s="48"/>
      <c r="W31" s="48"/>
      <c r="X31" s="35"/>
      <c r="Z31" s="35"/>
      <c r="AA31" s="35"/>
      <c r="AB31" s="45">
        <v>3034334</v>
      </c>
      <c r="AC31" s="65"/>
      <c r="AD31" s="45">
        <v>2303704</v>
      </c>
      <c r="AE31" s="65"/>
      <c r="AF31" s="45">
        <v>0</v>
      </c>
      <c r="AG31" s="65"/>
      <c r="AH31" s="48">
        <f>SUM(E31:AF31)</f>
        <v>43060590</v>
      </c>
      <c r="AI31" s="48"/>
      <c r="AJ31" s="48">
        <v>0</v>
      </c>
      <c r="AK31" s="48"/>
      <c r="AL31" s="45">
        <v>14118625</v>
      </c>
      <c r="AM31" s="45"/>
      <c r="AN31" s="45">
        <v>26042163</v>
      </c>
      <c r="AO31" s="45"/>
      <c r="AP31" s="45">
        <v>-7612</v>
      </c>
      <c r="AQ31" s="45"/>
      <c r="AR31" s="45">
        <f>+'GVFund Rev'!U31+'GVFund Rev'!W31-'GVFund Exp'!AH31-'GVFund Exp'!AL31+AJ31+AN31+AP31-'GV Fund BS'!S31</f>
        <v>0</v>
      </c>
      <c r="AS31" s="48"/>
    </row>
    <row r="32" spans="1:45" s="44" customFormat="1" ht="12.75" customHeight="1">
      <c r="A32" s="35" t="s">
        <v>46</v>
      </c>
      <c r="C32" s="35" t="s">
        <v>47</v>
      </c>
      <c r="E32" s="45">
        <f>1770646+3388368</f>
        <v>5159014</v>
      </c>
      <c r="F32" s="48"/>
      <c r="G32" s="45">
        <f>5419405+5397057+149470</f>
        <v>10965932</v>
      </c>
      <c r="H32" s="48"/>
      <c r="I32" s="45">
        <v>1193883</v>
      </c>
      <c r="J32" s="48"/>
      <c r="K32" s="45">
        <v>77330</v>
      </c>
      <c r="L32" s="48"/>
      <c r="M32" s="45">
        <v>5026294</v>
      </c>
      <c r="N32" s="48"/>
      <c r="O32" s="45">
        <v>1752174</v>
      </c>
      <c r="P32" s="48"/>
      <c r="Q32" s="45">
        <v>930182</v>
      </c>
      <c r="R32" s="48"/>
      <c r="S32" s="45">
        <v>4363032</v>
      </c>
      <c r="T32" s="48"/>
      <c r="U32" s="45">
        <v>0</v>
      </c>
      <c r="V32" s="48"/>
      <c r="W32" s="48"/>
      <c r="X32" s="35"/>
      <c r="Z32" s="35"/>
      <c r="AA32" s="35"/>
      <c r="AB32" s="45">
        <v>1808080</v>
      </c>
      <c r="AC32" s="65"/>
      <c r="AD32" s="45">
        <v>884830</v>
      </c>
      <c r="AE32" s="65"/>
      <c r="AF32" s="45">
        <v>0</v>
      </c>
      <c r="AG32" s="65"/>
      <c r="AH32" s="48">
        <f t="shared" si="1"/>
        <v>32160751</v>
      </c>
      <c r="AI32" s="48"/>
      <c r="AJ32" s="48">
        <v>0</v>
      </c>
      <c r="AK32" s="48"/>
      <c r="AL32" s="45">
        <v>2242540</v>
      </c>
      <c r="AM32" s="45"/>
      <c r="AN32" s="45">
        <v>20633904</v>
      </c>
      <c r="AO32" s="45"/>
      <c r="AP32" s="45">
        <v>0</v>
      </c>
      <c r="AQ32" s="45"/>
      <c r="AR32" s="45">
        <f>+'GVFund Rev'!U32+'GVFund Rev'!W32-'GVFund Exp'!AH32-'GVFund Exp'!AL32+AJ32+AN32+AP32-'GV Fund BS'!S32</f>
        <v>0</v>
      </c>
      <c r="AS32" s="48"/>
    </row>
    <row r="33" spans="1:45" s="44" customFormat="1" ht="12.75" customHeight="1">
      <c r="A33" s="35" t="s">
        <v>48</v>
      </c>
      <c r="C33" s="35" t="s">
        <v>27</v>
      </c>
      <c r="E33" s="45">
        <f>5941778+122934</f>
        <v>6064712</v>
      </c>
      <c r="F33" s="48"/>
      <c r="G33" s="45">
        <f>4217591+2106263</f>
        <v>6323854</v>
      </c>
      <c r="H33" s="48"/>
      <c r="I33" s="45">
        <v>846644</v>
      </c>
      <c r="J33" s="48"/>
      <c r="K33" s="45">
        <v>129648</v>
      </c>
      <c r="L33" s="48"/>
      <c r="M33" s="45">
        <v>3439482</v>
      </c>
      <c r="N33" s="48"/>
      <c r="O33" s="45">
        <v>1598784</v>
      </c>
      <c r="P33" s="48"/>
      <c r="Q33" s="45">
        <v>1925652</v>
      </c>
      <c r="R33" s="48"/>
      <c r="S33" s="45">
        <v>5577837</v>
      </c>
      <c r="T33" s="48"/>
      <c r="U33" s="45">
        <v>0</v>
      </c>
      <c r="V33" s="48"/>
      <c r="W33" s="48"/>
      <c r="X33" s="35"/>
      <c r="Z33" s="35"/>
      <c r="AA33" s="35"/>
      <c r="AB33" s="45">
        <v>1933884</v>
      </c>
      <c r="AC33" s="65"/>
      <c r="AD33" s="45">
        <v>779233</v>
      </c>
      <c r="AE33" s="65"/>
      <c r="AF33" s="45">
        <v>0</v>
      </c>
      <c r="AG33" s="65"/>
      <c r="AH33" s="48">
        <f t="shared" si="1"/>
        <v>28619730</v>
      </c>
      <c r="AI33" s="48"/>
      <c r="AJ33" s="48">
        <v>0</v>
      </c>
      <c r="AK33" s="48"/>
      <c r="AL33" s="45">
        <v>3798793</v>
      </c>
      <c r="AM33" s="45"/>
      <c r="AN33" s="45">
        <v>15356489</v>
      </c>
      <c r="AO33" s="45"/>
      <c r="AP33" s="45">
        <v>0</v>
      </c>
      <c r="AQ33" s="45"/>
      <c r="AR33" s="45">
        <f>+'GVFund Rev'!U33+'GVFund Rev'!W33-'GVFund Exp'!AH33-'GVFund Exp'!AL33+AJ33+AN33+AP33-'GV Fund BS'!S33</f>
        <v>0</v>
      </c>
      <c r="AS33" s="48"/>
    </row>
    <row r="34" spans="1:45" s="44" customFormat="1" ht="12.75" customHeight="1">
      <c r="A34" s="35" t="s">
        <v>49</v>
      </c>
      <c r="C34" s="35" t="s">
        <v>27</v>
      </c>
      <c r="E34" s="45">
        <v>4991364</v>
      </c>
      <c r="F34" s="48"/>
      <c r="G34" s="45">
        <v>6909961</v>
      </c>
      <c r="H34" s="48"/>
      <c r="I34" s="45">
        <v>379182</v>
      </c>
      <c r="J34" s="48"/>
      <c r="K34" s="45">
        <v>380157</v>
      </c>
      <c r="L34" s="48"/>
      <c r="M34" s="45">
        <v>1766716</v>
      </c>
      <c r="O34" s="48">
        <v>1192704</v>
      </c>
      <c r="P34" s="48"/>
      <c r="Q34" s="45">
        <v>889976</v>
      </c>
      <c r="R34" s="48"/>
      <c r="S34" s="45">
        <v>4585908</v>
      </c>
      <c r="T34" s="48"/>
      <c r="U34" s="45">
        <v>0</v>
      </c>
      <c r="V34" s="48"/>
      <c r="W34" s="48"/>
      <c r="X34" s="35"/>
      <c r="Z34" s="35"/>
      <c r="AA34" s="35"/>
      <c r="AB34" s="45">
        <v>1914814</v>
      </c>
      <c r="AC34" s="65"/>
      <c r="AD34" s="45">
        <v>871530</v>
      </c>
      <c r="AE34" s="65"/>
      <c r="AF34" s="45">
        <v>0</v>
      </c>
      <c r="AG34" s="65"/>
      <c r="AH34" s="48">
        <f t="shared" si="1"/>
        <v>23882312</v>
      </c>
      <c r="AI34" s="48"/>
      <c r="AJ34" s="48">
        <v>0</v>
      </c>
      <c r="AK34" s="48"/>
      <c r="AL34" s="45">
        <v>1183566</v>
      </c>
      <c r="AM34" s="45"/>
      <c r="AN34" s="45">
        <v>8201909</v>
      </c>
      <c r="AO34" s="45"/>
      <c r="AP34" s="45">
        <v>0</v>
      </c>
      <c r="AQ34" s="45"/>
      <c r="AR34" s="45">
        <f>+'GVFund Rev'!U34+'GVFund Rev'!W34-'GVFund Exp'!AH34-'GVFund Exp'!AL34+AJ34+AN34+AP34-'GV Fund BS'!S34</f>
        <v>0</v>
      </c>
      <c r="AS34" s="48"/>
    </row>
    <row r="35" spans="1:45" s="44" customFormat="1" ht="12.75" customHeight="1">
      <c r="A35" s="35" t="s">
        <v>50</v>
      </c>
      <c r="C35" s="35" t="s">
        <v>27</v>
      </c>
      <c r="E35" s="45">
        <v>5263908</v>
      </c>
      <c r="F35" s="48"/>
      <c r="G35" s="45">
        <f>6702305+5281857</f>
        <v>11984162</v>
      </c>
      <c r="H35" s="48"/>
      <c r="I35" s="45">
        <v>2710605</v>
      </c>
      <c r="J35" s="48"/>
      <c r="K35" s="45">
        <v>490831</v>
      </c>
      <c r="L35" s="48"/>
      <c r="M35" s="45">
        <v>2014481</v>
      </c>
      <c r="N35" s="48"/>
      <c r="O35" s="45">
        <v>2532652</v>
      </c>
      <c r="P35" s="48"/>
      <c r="Q35" s="45">
        <v>3891294</v>
      </c>
      <c r="R35" s="48"/>
      <c r="S35" s="45">
        <v>10833340</v>
      </c>
      <c r="T35" s="48"/>
      <c r="U35" s="45">
        <v>0</v>
      </c>
      <c r="V35" s="48"/>
      <c r="W35" s="48"/>
      <c r="X35" s="35"/>
      <c r="Z35" s="35"/>
      <c r="AA35" s="35"/>
      <c r="AB35" s="45">
        <v>170000</v>
      </c>
      <c r="AC35" s="65"/>
      <c r="AD35" s="45">
        <v>62625</v>
      </c>
      <c r="AE35" s="65"/>
      <c r="AF35" s="45">
        <v>0</v>
      </c>
      <c r="AG35" s="65"/>
      <c r="AH35" s="48">
        <f t="shared" si="1"/>
        <v>39953898</v>
      </c>
      <c r="AI35" s="48"/>
      <c r="AJ35" s="48">
        <v>0</v>
      </c>
      <c r="AK35" s="48"/>
      <c r="AL35" s="45">
        <v>1209598</v>
      </c>
      <c r="AM35" s="45"/>
      <c r="AN35" s="45">
        <v>25173241</v>
      </c>
      <c r="AO35" s="45"/>
      <c r="AP35" s="45">
        <v>0</v>
      </c>
      <c r="AQ35" s="45"/>
      <c r="AR35" s="45">
        <f>+'GVFund Rev'!U35+'GVFund Rev'!W35-'GVFund Exp'!AH35-'GVFund Exp'!AL35+AJ35+AN35+AP35-'GV Fund BS'!S35</f>
        <v>0</v>
      </c>
      <c r="AS35" s="48"/>
    </row>
    <row r="36" spans="1:45" s="44" customFormat="1" ht="12.75" customHeight="1">
      <c r="A36" s="35" t="s">
        <v>51</v>
      </c>
      <c r="C36" s="35" t="s">
        <v>27</v>
      </c>
      <c r="E36" s="45">
        <v>1928559</v>
      </c>
      <c r="F36" s="48"/>
      <c r="G36" s="45">
        <v>8384591</v>
      </c>
      <c r="H36" s="48"/>
      <c r="I36" s="45">
        <v>1792219</v>
      </c>
      <c r="J36" s="48"/>
      <c r="K36" s="45">
        <v>0</v>
      </c>
      <c r="L36" s="48"/>
      <c r="M36" s="45">
        <v>1050060</v>
      </c>
      <c r="N36" s="48"/>
      <c r="O36" s="45">
        <v>2132472</v>
      </c>
      <c r="P36" s="48"/>
      <c r="Q36" s="45">
        <v>2843801</v>
      </c>
      <c r="R36" s="48"/>
      <c r="S36" s="45">
        <v>894990</v>
      </c>
      <c r="T36" s="48"/>
      <c r="U36" s="45">
        <v>0</v>
      </c>
      <c r="V36" s="48"/>
      <c r="W36" s="48"/>
      <c r="X36" s="35"/>
      <c r="Z36" s="35"/>
      <c r="AA36" s="35"/>
      <c r="AB36" s="45">
        <f>1027789+75000</f>
        <v>1102789</v>
      </c>
      <c r="AC36" s="65"/>
      <c r="AD36" s="45">
        <v>451937</v>
      </c>
      <c r="AE36" s="65"/>
      <c r="AF36" s="45">
        <v>0</v>
      </c>
      <c r="AG36" s="65"/>
      <c r="AH36" s="48">
        <f t="shared" si="1"/>
        <v>20581418</v>
      </c>
      <c r="AI36" s="48"/>
      <c r="AJ36" s="48">
        <v>0</v>
      </c>
      <c r="AK36" s="48"/>
      <c r="AL36" s="45">
        <f>575000+1181245</f>
        <v>1756245</v>
      </c>
      <c r="AM36" s="45"/>
      <c r="AN36" s="45">
        <v>8629334</v>
      </c>
      <c r="AO36" s="45"/>
      <c r="AP36" s="45">
        <v>0</v>
      </c>
      <c r="AQ36" s="45"/>
      <c r="AR36" s="45">
        <f>+'GVFund Rev'!U36+'GVFund Rev'!W36-'GVFund Exp'!AH36-'GVFund Exp'!AL36+AJ36+AN36+AP36-'GV Fund BS'!S36</f>
        <v>0</v>
      </c>
      <c r="AS36" s="48"/>
    </row>
    <row r="37" spans="1:45" s="44" customFormat="1" ht="12.75" customHeight="1">
      <c r="A37" s="35" t="s">
        <v>462</v>
      </c>
      <c r="C37" s="35" t="s">
        <v>66</v>
      </c>
      <c r="E37" s="45">
        <v>887520</v>
      </c>
      <c r="F37" s="48"/>
      <c r="G37" s="45">
        <v>1788282</v>
      </c>
      <c r="H37" s="48"/>
      <c r="I37" s="45">
        <v>0</v>
      </c>
      <c r="J37" s="48"/>
      <c r="K37" s="45">
        <v>0</v>
      </c>
      <c r="L37" s="48"/>
      <c r="M37" s="45">
        <v>626515</v>
      </c>
      <c r="N37" s="48"/>
      <c r="O37" s="45">
        <v>95179</v>
      </c>
      <c r="P37" s="48"/>
      <c r="Q37" s="45">
        <v>75000</v>
      </c>
      <c r="R37" s="48"/>
      <c r="S37" s="45">
        <v>1692446</v>
      </c>
      <c r="T37" s="48"/>
      <c r="U37" s="45">
        <v>0</v>
      </c>
      <c r="V37" s="48"/>
      <c r="W37" s="48"/>
      <c r="X37" s="35"/>
      <c r="Z37" s="35"/>
      <c r="AA37" s="35"/>
      <c r="AB37" s="45">
        <v>2492269</v>
      </c>
      <c r="AC37" s="65"/>
      <c r="AD37" s="45">
        <v>156455</v>
      </c>
      <c r="AE37" s="65"/>
      <c r="AF37" s="45">
        <v>4518</v>
      </c>
      <c r="AG37" s="65"/>
      <c r="AH37" s="48">
        <f t="shared" si="1"/>
        <v>7818184</v>
      </c>
      <c r="AI37" s="48"/>
      <c r="AJ37" s="48">
        <v>0</v>
      </c>
      <c r="AK37" s="48"/>
      <c r="AL37" s="45">
        <v>654000</v>
      </c>
      <c r="AM37" s="45"/>
      <c r="AN37" s="45">
        <v>3973270</v>
      </c>
      <c r="AO37" s="45"/>
      <c r="AP37" s="45">
        <v>0</v>
      </c>
      <c r="AQ37" s="45"/>
      <c r="AR37" s="45">
        <f>+'GVFund Rev'!U37+'GVFund Rev'!W37-'GVFund Exp'!AH37-'GVFund Exp'!AL37+AJ37+AN37+AP37-'GV Fund BS'!S37</f>
        <v>0</v>
      </c>
      <c r="AS37" s="48"/>
    </row>
    <row r="38" spans="1:45" s="44" customFormat="1" ht="12.75" customHeight="1">
      <c r="A38" s="35" t="s">
        <v>52</v>
      </c>
      <c r="C38" s="35" t="s">
        <v>53</v>
      </c>
      <c r="E38" s="45">
        <v>3161332</v>
      </c>
      <c r="F38" s="48"/>
      <c r="G38" s="45">
        <v>9586494</v>
      </c>
      <c r="H38" s="48"/>
      <c r="I38" s="45">
        <v>1337300</v>
      </c>
      <c r="J38" s="48"/>
      <c r="K38" s="45">
        <v>613840</v>
      </c>
      <c r="L38" s="48"/>
      <c r="M38" s="45">
        <v>3136068</v>
      </c>
      <c r="N38" s="48"/>
      <c r="O38" s="45">
        <v>2136214</v>
      </c>
      <c r="P38" s="48"/>
      <c r="Q38" s="45">
        <v>0</v>
      </c>
      <c r="R38" s="48"/>
      <c r="S38" s="45">
        <v>2062790</v>
      </c>
      <c r="T38" s="48"/>
      <c r="U38" s="45">
        <v>0</v>
      </c>
      <c r="V38" s="48"/>
      <c r="W38" s="48"/>
      <c r="X38" s="35"/>
      <c r="Z38" s="35"/>
      <c r="AA38" s="35"/>
      <c r="AB38" s="45">
        <v>6250103</v>
      </c>
      <c r="AC38" s="65"/>
      <c r="AD38" s="45">
        <v>670308</v>
      </c>
      <c r="AE38" s="65"/>
      <c r="AF38" s="45">
        <v>0</v>
      </c>
      <c r="AG38" s="65"/>
      <c r="AH38" s="48">
        <f t="shared" si="1"/>
        <v>28954449</v>
      </c>
      <c r="AI38" s="48"/>
      <c r="AJ38" s="48">
        <v>0</v>
      </c>
      <c r="AK38" s="48"/>
      <c r="AL38" s="45">
        <v>505907</v>
      </c>
      <c r="AM38" s="45"/>
      <c r="AN38" s="45">
        <v>13563798</v>
      </c>
      <c r="AO38" s="45"/>
      <c r="AP38" s="45">
        <v>0</v>
      </c>
      <c r="AQ38" s="45"/>
      <c r="AR38" s="45">
        <f>+'GVFund Rev'!U38+'GVFund Rev'!W38-'GVFund Exp'!AH38-'GVFund Exp'!AL38+AJ38+AN38+AP38-'GV Fund BS'!S38</f>
        <v>0</v>
      </c>
      <c r="AS38" s="48"/>
    </row>
    <row r="39" spans="1:45" s="44" customFormat="1" ht="12.75" customHeight="1">
      <c r="A39" s="35" t="s">
        <v>54</v>
      </c>
      <c r="C39" s="35" t="s">
        <v>55</v>
      </c>
      <c r="E39" s="45">
        <v>3048493</v>
      </c>
      <c r="F39" s="48"/>
      <c r="G39" s="45">
        <v>2924867</v>
      </c>
      <c r="H39" s="48"/>
      <c r="I39" s="45">
        <v>100768</v>
      </c>
      <c r="J39" s="48"/>
      <c r="K39" s="45">
        <v>98661</v>
      </c>
      <c r="L39" s="48"/>
      <c r="M39" s="45">
        <v>888232</v>
      </c>
      <c r="N39" s="48"/>
      <c r="O39" s="45">
        <v>968930</v>
      </c>
      <c r="P39" s="48"/>
      <c r="Q39" s="45">
        <v>0</v>
      </c>
      <c r="R39" s="48"/>
      <c r="S39" s="45">
        <v>2355659</v>
      </c>
      <c r="T39" s="48"/>
      <c r="U39" s="45">
        <v>0</v>
      </c>
      <c r="V39" s="48"/>
      <c r="W39" s="48"/>
      <c r="X39" s="35"/>
      <c r="Z39" s="35"/>
      <c r="AA39" s="35"/>
      <c r="AB39" s="45">
        <v>2711000</v>
      </c>
      <c r="AC39" s="65"/>
      <c r="AD39" s="45">
        <v>103384</v>
      </c>
      <c r="AE39" s="65"/>
      <c r="AF39" s="45">
        <v>0</v>
      </c>
      <c r="AG39" s="65"/>
      <c r="AH39" s="48">
        <f t="shared" si="1"/>
        <v>13199994</v>
      </c>
      <c r="AI39" s="48"/>
      <c r="AJ39" s="48">
        <v>0</v>
      </c>
      <c r="AK39" s="48"/>
      <c r="AL39" s="45">
        <v>5825117</v>
      </c>
      <c r="AM39" s="45"/>
      <c r="AN39" s="45">
        <v>15322867</v>
      </c>
      <c r="AO39" s="45"/>
      <c r="AP39" s="45">
        <v>-6755</v>
      </c>
      <c r="AQ39" s="45"/>
      <c r="AR39" s="45">
        <f>+'GVFund Rev'!U39+'GVFund Rev'!W39-'GVFund Exp'!AH39-'GVFund Exp'!AL39+AJ39+AN39+AP39-'GV Fund BS'!S39</f>
        <v>0</v>
      </c>
      <c r="AS39" s="48"/>
    </row>
    <row r="40" spans="1:45" s="44" customFormat="1" ht="12.75" customHeight="1">
      <c r="A40" s="35" t="s">
        <v>56</v>
      </c>
      <c r="C40" s="35" t="s">
        <v>57</v>
      </c>
      <c r="E40" s="45">
        <v>2170606</v>
      </c>
      <c r="F40" s="48"/>
      <c r="G40" s="45">
        <f>2052127+1440652+131519</f>
        <v>3624298</v>
      </c>
      <c r="H40" s="48"/>
      <c r="I40" s="45">
        <v>188403</v>
      </c>
      <c r="J40" s="48"/>
      <c r="K40" s="45">
        <v>239386</v>
      </c>
      <c r="L40" s="48"/>
      <c r="M40" s="45">
        <v>1957815</v>
      </c>
      <c r="N40" s="48"/>
      <c r="O40" s="45">
        <v>137541</v>
      </c>
      <c r="P40" s="48"/>
      <c r="Q40" s="45">
        <v>0</v>
      </c>
      <c r="R40" s="48"/>
      <c r="S40" s="45">
        <v>0</v>
      </c>
      <c r="T40" s="48"/>
      <c r="U40" s="45">
        <v>0</v>
      </c>
      <c r="V40" s="48"/>
      <c r="W40" s="48"/>
      <c r="X40" s="35"/>
      <c r="Z40" s="35"/>
      <c r="AA40" s="35"/>
      <c r="AB40" s="45">
        <v>51665</v>
      </c>
      <c r="AC40" s="65"/>
      <c r="AD40" s="45">
        <v>29374</v>
      </c>
      <c r="AE40" s="65"/>
      <c r="AF40" s="45">
        <v>0</v>
      </c>
      <c r="AG40" s="65"/>
      <c r="AH40" s="48">
        <f t="shared" si="1"/>
        <v>8399088</v>
      </c>
      <c r="AI40" s="48"/>
      <c r="AJ40" s="48">
        <v>0</v>
      </c>
      <c r="AK40" s="48"/>
      <c r="AL40" s="45">
        <v>311217</v>
      </c>
      <c r="AM40" s="45"/>
      <c r="AN40" s="45">
        <v>4930780</v>
      </c>
      <c r="AO40" s="45"/>
      <c r="AP40" s="45">
        <v>0</v>
      </c>
      <c r="AQ40" s="45"/>
      <c r="AR40" s="45">
        <f>+'GVFund Rev'!U40+'GVFund Rev'!W40-'GVFund Exp'!AH40-'GVFund Exp'!AL40+AJ40+AN40+AP40-'GV Fund BS'!S40</f>
        <v>0</v>
      </c>
      <c r="AS40" s="48"/>
    </row>
    <row r="41" spans="1:45" s="44" customFormat="1" ht="12.75" customHeight="1">
      <c r="A41" s="35" t="s">
        <v>58</v>
      </c>
      <c r="C41" s="35" t="s">
        <v>59</v>
      </c>
      <c r="E41" s="45">
        <v>3015126</v>
      </c>
      <c r="F41" s="48"/>
      <c r="G41" s="45">
        <v>4329333</v>
      </c>
      <c r="H41" s="48"/>
      <c r="I41" s="45">
        <v>650832</v>
      </c>
      <c r="J41" s="48"/>
      <c r="K41" s="45">
        <v>251818</v>
      </c>
      <c r="L41" s="48"/>
      <c r="M41" s="45">
        <v>3456376</v>
      </c>
      <c r="N41" s="48"/>
      <c r="O41" s="45">
        <v>790206</v>
      </c>
      <c r="P41" s="48"/>
      <c r="Q41" s="45">
        <v>0</v>
      </c>
      <c r="R41" s="48"/>
      <c r="S41" s="45">
        <v>1153618</v>
      </c>
      <c r="T41" s="48"/>
      <c r="U41" s="45">
        <v>0</v>
      </c>
      <c r="V41" s="48"/>
      <c r="W41" s="48"/>
      <c r="X41" s="35"/>
      <c r="Z41" s="35"/>
      <c r="AA41" s="35"/>
      <c r="AB41" s="45">
        <v>117688</v>
      </c>
      <c r="AC41" s="65"/>
      <c r="AD41" s="45">
        <v>50991</v>
      </c>
      <c r="AE41" s="65"/>
      <c r="AF41" s="45">
        <v>0</v>
      </c>
      <c r="AG41" s="65"/>
      <c r="AH41" s="48">
        <f t="shared" si="1"/>
        <v>13815988</v>
      </c>
      <c r="AI41" s="48"/>
      <c r="AJ41" s="48">
        <v>0</v>
      </c>
      <c r="AK41" s="48"/>
      <c r="AL41" s="45">
        <v>709263</v>
      </c>
      <c r="AM41" s="45"/>
      <c r="AN41" s="45">
        <v>5490734</v>
      </c>
      <c r="AO41" s="45"/>
      <c r="AP41" s="45">
        <v>0</v>
      </c>
      <c r="AQ41" s="45"/>
      <c r="AR41" s="45">
        <f>+'GVFund Rev'!U41+'GVFund Rev'!W41-'GVFund Exp'!AH41-'GVFund Exp'!AL41+AJ41+AN41+AP41-'GV Fund BS'!S41</f>
        <v>0</v>
      </c>
      <c r="AS41" s="48"/>
    </row>
    <row r="42" spans="1:45" s="44" customFormat="1" ht="12.75" customHeight="1">
      <c r="A42" s="44" t="s">
        <v>476</v>
      </c>
      <c r="C42" s="35" t="s">
        <v>15</v>
      </c>
      <c r="E42" s="45">
        <v>593900</v>
      </c>
      <c r="F42" s="48"/>
      <c r="G42" s="45">
        <v>1277312</v>
      </c>
      <c r="H42" s="48"/>
      <c r="I42" s="45"/>
      <c r="J42" s="48"/>
      <c r="K42" s="45"/>
      <c r="L42" s="48"/>
      <c r="M42" s="45">
        <v>342978</v>
      </c>
      <c r="N42" s="48"/>
      <c r="O42" s="45">
        <v>62259</v>
      </c>
      <c r="P42" s="48"/>
      <c r="Q42" s="45">
        <v>0</v>
      </c>
      <c r="R42" s="48"/>
      <c r="S42" s="45">
        <v>423363</v>
      </c>
      <c r="T42" s="48"/>
      <c r="U42" s="45">
        <v>0</v>
      </c>
      <c r="V42" s="48"/>
      <c r="W42" s="48"/>
      <c r="X42" s="35"/>
      <c r="Z42" s="35"/>
      <c r="AA42" s="35"/>
      <c r="AB42" s="45">
        <v>714610</v>
      </c>
      <c r="AC42" s="65"/>
      <c r="AD42" s="45">
        <v>99649</v>
      </c>
      <c r="AE42" s="65"/>
      <c r="AF42" s="45">
        <v>0</v>
      </c>
      <c r="AG42" s="65"/>
      <c r="AH42" s="48">
        <f t="shared" si="1"/>
        <v>3514071</v>
      </c>
      <c r="AI42" s="48"/>
      <c r="AJ42" s="48">
        <v>0</v>
      </c>
      <c r="AK42" s="48"/>
      <c r="AL42" s="45">
        <v>2148500</v>
      </c>
      <c r="AM42" s="45"/>
      <c r="AN42" s="45">
        <v>1165658</v>
      </c>
      <c r="AO42" s="45"/>
      <c r="AP42" s="45">
        <v>0</v>
      </c>
      <c r="AQ42" s="45"/>
      <c r="AR42" s="45">
        <f>+'GVFund Rev'!U42+'GVFund Rev'!W42-'GVFund Exp'!AH42-'GVFund Exp'!AL42+AJ42+AN42+AP42-'GV Fund BS'!S42</f>
        <v>0</v>
      </c>
      <c r="AS42" s="48"/>
    </row>
    <row r="43" spans="1:45" s="44" customFormat="1" ht="12.75" customHeight="1">
      <c r="A43" s="35" t="s">
        <v>60</v>
      </c>
      <c r="C43" s="35" t="s">
        <v>61</v>
      </c>
      <c r="E43" s="45">
        <v>761051</v>
      </c>
      <c r="F43" s="48"/>
      <c r="G43" s="45">
        <v>2187993</v>
      </c>
      <c r="H43" s="48"/>
      <c r="I43" s="45">
        <v>86290</v>
      </c>
      <c r="J43" s="48"/>
      <c r="K43" s="45">
        <v>52876</v>
      </c>
      <c r="L43" s="48"/>
      <c r="M43" s="45">
        <v>812965</v>
      </c>
      <c r="N43" s="48"/>
      <c r="O43" s="45">
        <v>88747</v>
      </c>
      <c r="P43" s="48"/>
      <c r="Q43" s="45">
        <v>0</v>
      </c>
      <c r="R43" s="48"/>
      <c r="S43" s="45">
        <v>301228</v>
      </c>
      <c r="T43" s="48"/>
      <c r="U43" s="45">
        <v>0</v>
      </c>
      <c r="V43" s="48"/>
      <c r="W43" s="48"/>
      <c r="X43" s="35"/>
      <c r="Z43" s="35"/>
      <c r="AA43" s="35"/>
      <c r="AB43" s="45">
        <v>87419</v>
      </c>
      <c r="AC43" s="65"/>
      <c r="AD43" s="45">
        <v>85570</v>
      </c>
      <c r="AE43" s="65"/>
      <c r="AF43" s="45">
        <v>0</v>
      </c>
      <c r="AG43" s="65"/>
      <c r="AH43" s="48">
        <f t="shared" ref="AH43:AH53" si="2">SUM(E43:AF43)</f>
        <v>4464139</v>
      </c>
      <c r="AI43" s="48"/>
      <c r="AJ43" s="48">
        <v>0</v>
      </c>
      <c r="AK43" s="48"/>
      <c r="AL43" s="45">
        <v>295093</v>
      </c>
      <c r="AM43" s="45"/>
      <c r="AN43" s="45">
        <v>4032122</v>
      </c>
      <c r="AO43" s="45"/>
      <c r="AP43" s="45">
        <v>0</v>
      </c>
      <c r="AQ43" s="45"/>
      <c r="AR43" s="45">
        <f>+'GVFund Rev'!U43+'GVFund Rev'!W43-'GVFund Exp'!AH43-'GVFund Exp'!AL43+AJ43+AN43+AP43-'GV Fund BS'!S43</f>
        <v>0</v>
      </c>
      <c r="AS43" s="48"/>
    </row>
    <row r="44" spans="1:45" s="44" customFormat="1" ht="12.75" customHeight="1">
      <c r="A44" s="44" t="s">
        <v>62</v>
      </c>
      <c r="C44" s="35" t="s">
        <v>15</v>
      </c>
      <c r="E44" s="45">
        <v>18576448</v>
      </c>
      <c r="F44" s="48"/>
      <c r="G44" s="45">
        <v>37208163</v>
      </c>
      <c r="H44" s="48"/>
      <c r="I44" s="45">
        <v>4862896</v>
      </c>
      <c r="J44" s="48"/>
      <c r="K44" s="45">
        <v>6005406</v>
      </c>
      <c r="L44" s="48"/>
      <c r="M44" s="45">
        <v>4170057</v>
      </c>
      <c r="N44" s="48"/>
      <c r="O44" s="45">
        <v>2290022</v>
      </c>
      <c r="P44" s="48"/>
      <c r="Q44" s="45">
        <v>0</v>
      </c>
      <c r="R44" s="48"/>
      <c r="S44" s="45">
        <v>11554194</v>
      </c>
      <c r="T44" s="48"/>
      <c r="U44" s="45">
        <v>0</v>
      </c>
      <c r="V44" s="48"/>
      <c r="W44" s="48"/>
      <c r="X44" s="35"/>
      <c r="Z44" s="35"/>
      <c r="AA44" s="35"/>
      <c r="AB44" s="45">
        <v>3166213</v>
      </c>
      <c r="AC44" s="65"/>
      <c r="AD44" s="45">
        <v>1154014</v>
      </c>
      <c r="AE44" s="65"/>
      <c r="AF44" s="45">
        <v>0</v>
      </c>
      <c r="AG44" s="65"/>
      <c r="AH44" s="48">
        <f t="shared" si="2"/>
        <v>88987413</v>
      </c>
      <c r="AI44" s="48"/>
      <c r="AJ44" s="48">
        <v>0</v>
      </c>
      <c r="AK44" s="48"/>
      <c r="AL44" s="45">
        <v>40000</v>
      </c>
      <c r="AM44" s="45"/>
      <c r="AN44" s="45">
        <v>35883867</v>
      </c>
      <c r="AO44" s="45"/>
      <c r="AP44" s="45">
        <v>-10958</v>
      </c>
      <c r="AQ44" s="45"/>
      <c r="AR44" s="45">
        <f>+'GVFund Rev'!U44+'GVFund Rev'!W44-'GVFund Exp'!AH44-'GVFund Exp'!AL44+AJ44+AN44+AP44-'GV Fund BS'!S44</f>
        <v>0</v>
      </c>
      <c r="AS44" s="48"/>
    </row>
    <row r="45" spans="1:45" s="44" customFormat="1" ht="12.75" customHeight="1">
      <c r="A45" s="35" t="s">
        <v>485</v>
      </c>
      <c r="C45" s="35" t="s">
        <v>111</v>
      </c>
      <c r="E45" s="45">
        <v>801890</v>
      </c>
      <c r="F45" s="48"/>
      <c r="G45" s="45">
        <v>719590</v>
      </c>
      <c r="H45" s="48"/>
      <c r="I45" s="45">
        <v>179595</v>
      </c>
      <c r="J45" s="48"/>
      <c r="K45" s="45">
        <v>0</v>
      </c>
      <c r="L45" s="48"/>
      <c r="M45" s="45">
        <v>337377</v>
      </c>
      <c r="N45" s="48"/>
      <c r="O45" s="45">
        <v>12894</v>
      </c>
      <c r="P45" s="48"/>
      <c r="Q45" s="45">
        <v>0</v>
      </c>
      <c r="R45" s="48"/>
      <c r="S45" s="45">
        <v>315115</v>
      </c>
      <c r="T45" s="48"/>
      <c r="U45" s="45">
        <v>0</v>
      </c>
      <c r="V45" s="48"/>
      <c r="W45" s="48"/>
      <c r="X45" s="35"/>
      <c r="Z45" s="35"/>
      <c r="AA45" s="35"/>
      <c r="AB45" s="45">
        <v>42218</v>
      </c>
      <c r="AC45" s="65"/>
      <c r="AD45" s="45">
        <v>122316</v>
      </c>
      <c r="AE45" s="65"/>
      <c r="AF45" s="45">
        <v>0</v>
      </c>
      <c r="AG45" s="65"/>
      <c r="AH45" s="48">
        <f>SUM(E45:AF45)</f>
        <v>2530995</v>
      </c>
      <c r="AI45" s="48"/>
      <c r="AJ45" s="48">
        <v>0</v>
      </c>
      <c r="AK45" s="48"/>
      <c r="AL45" s="45">
        <v>124000</v>
      </c>
      <c r="AM45" s="45"/>
      <c r="AN45" s="45">
        <v>-529734</v>
      </c>
      <c r="AO45" s="45"/>
      <c r="AP45" s="45">
        <v>0</v>
      </c>
      <c r="AQ45" s="45"/>
      <c r="AR45" s="45">
        <f>+'GVFund Rev'!U45+'GVFund Rev'!W45-'GVFund Exp'!AH45-'GVFund Exp'!AL45+AJ45+AN45+AP45-'GV Fund BS'!S45</f>
        <v>0</v>
      </c>
      <c r="AS45" s="48"/>
    </row>
    <row r="46" spans="1:45" s="44" customFormat="1" ht="12.75" customHeight="1">
      <c r="A46" s="35" t="s">
        <v>63</v>
      </c>
      <c r="C46" s="35" t="s">
        <v>64</v>
      </c>
      <c r="E46" s="45">
        <v>1824809</v>
      </c>
      <c r="F46" s="48"/>
      <c r="G46" s="45">
        <v>3185027</v>
      </c>
      <c r="H46" s="48"/>
      <c r="I46" s="45">
        <v>54437</v>
      </c>
      <c r="J46" s="48"/>
      <c r="K46" s="45">
        <v>74268</v>
      </c>
      <c r="L46" s="48"/>
      <c r="M46" s="45">
        <v>1517596</v>
      </c>
      <c r="N46" s="48"/>
      <c r="O46" s="45">
        <v>737202</v>
      </c>
      <c r="P46" s="48"/>
      <c r="Q46" s="45">
        <v>257156</v>
      </c>
      <c r="R46" s="48"/>
      <c r="S46" s="45">
        <v>0</v>
      </c>
      <c r="T46" s="48"/>
      <c r="U46" s="45">
        <v>0</v>
      </c>
      <c r="V46" s="48"/>
      <c r="W46" s="48"/>
      <c r="X46" s="35"/>
      <c r="Z46" s="35"/>
      <c r="AA46" s="35"/>
      <c r="AB46" s="45">
        <v>1303609</v>
      </c>
      <c r="AC46" s="65"/>
      <c r="AD46" s="45">
        <v>127480</v>
      </c>
      <c r="AE46" s="65"/>
      <c r="AF46" s="45">
        <v>0</v>
      </c>
      <c r="AG46" s="65"/>
      <c r="AH46" s="48">
        <f t="shared" si="2"/>
        <v>9081584</v>
      </c>
      <c r="AI46" s="48"/>
      <c r="AJ46" s="48">
        <v>0</v>
      </c>
      <c r="AK46" s="48"/>
      <c r="AL46" s="45">
        <v>1266976</v>
      </c>
      <c r="AM46" s="45"/>
      <c r="AN46" s="45">
        <v>494527</v>
      </c>
      <c r="AO46" s="45"/>
      <c r="AP46" s="45">
        <v>0</v>
      </c>
      <c r="AQ46" s="45"/>
      <c r="AR46" s="45">
        <f>+'GVFund Rev'!U46+'GVFund Rev'!W46-'GVFund Exp'!AH46-'GVFund Exp'!AL46+AJ46+AN46+AP46-'GV Fund BS'!S46</f>
        <v>0</v>
      </c>
      <c r="AS46" s="48"/>
    </row>
    <row r="47" spans="1:45" s="44" customFormat="1" ht="12.75" customHeight="1">
      <c r="A47" s="35" t="s">
        <v>65</v>
      </c>
      <c r="C47" s="35" t="s">
        <v>66</v>
      </c>
      <c r="E47" s="45">
        <v>4828726</v>
      </c>
      <c r="F47" s="48"/>
      <c r="G47" s="45">
        <v>6294673</v>
      </c>
      <c r="H47" s="48"/>
      <c r="I47" s="45">
        <v>275363</v>
      </c>
      <c r="J47" s="48"/>
      <c r="K47" s="45">
        <v>0</v>
      </c>
      <c r="L47" s="48"/>
      <c r="M47" s="45">
        <v>2174233</v>
      </c>
      <c r="N47" s="48"/>
      <c r="O47" s="45">
        <v>284971</v>
      </c>
      <c r="P47" s="48"/>
      <c r="Q47" s="45">
        <v>0</v>
      </c>
      <c r="R47" s="48"/>
      <c r="S47" s="45">
        <v>3691297</v>
      </c>
      <c r="T47" s="48"/>
      <c r="U47" s="45">
        <v>0</v>
      </c>
      <c r="V47" s="48"/>
      <c r="W47" s="48"/>
      <c r="X47" s="35"/>
      <c r="Z47" s="35"/>
      <c r="AA47" s="35"/>
      <c r="AB47" s="45">
        <v>1010299</v>
      </c>
      <c r="AC47" s="65"/>
      <c r="AD47" s="45">
        <v>1111923</v>
      </c>
      <c r="AE47" s="65"/>
      <c r="AF47" s="45">
        <v>0</v>
      </c>
      <c r="AG47" s="65"/>
      <c r="AH47" s="48">
        <f t="shared" si="2"/>
        <v>19671485</v>
      </c>
      <c r="AI47" s="48"/>
      <c r="AJ47" s="48">
        <v>0</v>
      </c>
      <c r="AK47" s="48"/>
      <c r="AL47" s="45">
        <v>2797500</v>
      </c>
      <c r="AM47" s="45"/>
      <c r="AN47" s="45">
        <v>21926153</v>
      </c>
      <c r="AO47" s="45"/>
      <c r="AP47" s="45">
        <v>7249</v>
      </c>
      <c r="AQ47" s="45"/>
      <c r="AR47" s="45">
        <f>+'GVFund Rev'!U47+'GVFund Rev'!W47-'GVFund Exp'!AH47-'GVFund Exp'!AL47+AJ47+AN47+AP47-'GV Fund BS'!S47</f>
        <v>0</v>
      </c>
      <c r="AS47" s="48"/>
    </row>
    <row r="48" spans="1:45" s="44" customFormat="1" ht="12.75" customHeight="1">
      <c r="A48" s="35" t="s">
        <v>67</v>
      </c>
      <c r="C48" s="35" t="s">
        <v>375</v>
      </c>
      <c r="E48" s="45">
        <v>3057113</v>
      </c>
      <c r="F48" s="48"/>
      <c r="G48" s="45">
        <v>2557730</v>
      </c>
      <c r="H48" s="48"/>
      <c r="I48" s="45">
        <v>229092</v>
      </c>
      <c r="J48" s="48"/>
      <c r="K48" s="45">
        <v>70297</v>
      </c>
      <c r="L48" s="48"/>
      <c r="M48" s="45">
        <v>1987720</v>
      </c>
      <c r="N48" s="48"/>
      <c r="O48" s="45">
        <v>251808</v>
      </c>
      <c r="P48" s="48"/>
      <c r="Q48" s="45">
        <v>15304</v>
      </c>
      <c r="R48" s="48"/>
      <c r="S48" s="45">
        <v>54742</v>
      </c>
      <c r="T48" s="48"/>
      <c r="U48" s="45">
        <v>0</v>
      </c>
      <c r="V48" s="48"/>
      <c r="W48" s="48"/>
      <c r="X48" s="35"/>
      <c r="Z48" s="35"/>
      <c r="AA48" s="35"/>
      <c r="AB48" s="45">
        <v>300612</v>
      </c>
      <c r="AC48" s="65"/>
      <c r="AD48" s="45">
        <v>54611</v>
      </c>
      <c r="AE48" s="65"/>
      <c r="AF48" s="45">
        <v>0</v>
      </c>
      <c r="AG48" s="65"/>
      <c r="AH48" s="48">
        <f t="shared" si="2"/>
        <v>8579029</v>
      </c>
      <c r="AI48" s="48"/>
      <c r="AJ48" s="48">
        <v>0</v>
      </c>
      <c r="AK48" s="48"/>
      <c r="AL48" s="45">
        <v>1554470</v>
      </c>
      <c r="AM48" s="45"/>
      <c r="AN48" s="45">
        <v>4704503</v>
      </c>
      <c r="AO48" s="45"/>
      <c r="AP48" s="45">
        <v>0</v>
      </c>
      <c r="AQ48" s="45"/>
      <c r="AR48" s="45">
        <f>+'GVFund Rev'!U48+'GVFund Rev'!W48-'GVFund Exp'!AH48-'GVFund Exp'!AL48+AJ48+AN48+AP48-'GV Fund BS'!S48</f>
        <v>0</v>
      </c>
      <c r="AS48" s="48"/>
    </row>
    <row r="49" spans="1:45" s="44" customFormat="1" ht="12.75" customHeight="1">
      <c r="A49" s="35" t="s">
        <v>68</v>
      </c>
      <c r="C49" s="35" t="s">
        <v>45</v>
      </c>
      <c r="E49" s="45">
        <v>1345837</v>
      </c>
      <c r="F49" s="48"/>
      <c r="G49" s="45">
        <v>1996579</v>
      </c>
      <c r="H49" s="48"/>
      <c r="I49" s="45">
        <v>58580</v>
      </c>
      <c r="J49" s="48"/>
      <c r="K49" s="45">
        <v>21142</v>
      </c>
      <c r="L49" s="48"/>
      <c r="M49" s="45">
        <v>516955</v>
      </c>
      <c r="N49" s="48"/>
      <c r="O49" s="45">
        <v>89845</v>
      </c>
      <c r="P49" s="48"/>
      <c r="Q49" s="45">
        <v>426836</v>
      </c>
      <c r="R49" s="48"/>
      <c r="S49" s="45">
        <v>476863</v>
      </c>
      <c r="T49" s="48"/>
      <c r="U49" s="45">
        <v>0</v>
      </c>
      <c r="V49" s="48"/>
      <c r="W49" s="48"/>
      <c r="X49" s="35"/>
      <c r="Z49" s="35"/>
      <c r="AA49" s="35"/>
      <c r="AB49" s="45">
        <v>39403</v>
      </c>
      <c r="AC49" s="65"/>
      <c r="AD49" s="45">
        <v>6243</v>
      </c>
      <c r="AE49" s="65"/>
      <c r="AF49" s="45">
        <v>0</v>
      </c>
      <c r="AG49" s="65"/>
      <c r="AH49" s="48">
        <f t="shared" si="2"/>
        <v>4978283</v>
      </c>
      <c r="AI49" s="48"/>
      <c r="AJ49" s="48">
        <v>0</v>
      </c>
      <c r="AK49" s="48"/>
      <c r="AL49" s="45">
        <v>122833</v>
      </c>
      <c r="AM49" s="45"/>
      <c r="AN49" s="45">
        <v>1257524</v>
      </c>
      <c r="AO49" s="45"/>
      <c r="AP49" s="45">
        <v>-4822</v>
      </c>
      <c r="AQ49" s="45"/>
      <c r="AR49" s="45">
        <f>+'GVFund Rev'!U49+'GVFund Rev'!W49-'GVFund Exp'!AH49-'GVFund Exp'!AL49+AJ49+AN49+AP49-'GV Fund BS'!S49</f>
        <v>0</v>
      </c>
      <c r="AS49" s="48"/>
    </row>
    <row r="50" spans="1:45" s="44" customFormat="1" ht="12.75" customHeight="1">
      <c r="A50" s="35" t="s">
        <v>69</v>
      </c>
      <c r="C50" s="35" t="s">
        <v>70</v>
      </c>
      <c r="E50" s="45">
        <v>5149587</v>
      </c>
      <c r="F50" s="48"/>
      <c r="G50" s="45">
        <f>5198129+4687957</f>
        <v>9886086</v>
      </c>
      <c r="H50" s="48"/>
      <c r="I50" s="45">
        <v>352345</v>
      </c>
      <c r="J50" s="48"/>
      <c r="K50" s="45">
        <v>0</v>
      </c>
      <c r="L50" s="48"/>
      <c r="M50" s="45">
        <v>4688758</v>
      </c>
      <c r="N50" s="48"/>
      <c r="O50" s="45">
        <v>866912</v>
      </c>
      <c r="P50" s="48"/>
      <c r="Q50" s="45">
        <v>946803</v>
      </c>
      <c r="R50" s="48"/>
      <c r="S50" s="45">
        <v>356415</v>
      </c>
      <c r="T50" s="48"/>
      <c r="U50" s="45">
        <v>0</v>
      </c>
      <c r="V50" s="48"/>
      <c r="W50" s="48"/>
      <c r="X50" s="35"/>
      <c r="Z50" s="35"/>
      <c r="AA50" s="35"/>
      <c r="AB50" s="45">
        <v>726220</v>
      </c>
      <c r="AC50" s="65"/>
      <c r="AD50" s="45">
        <v>126952</v>
      </c>
      <c r="AE50" s="65"/>
      <c r="AF50" s="45">
        <v>0</v>
      </c>
      <c r="AG50" s="65"/>
      <c r="AH50" s="48">
        <f t="shared" si="2"/>
        <v>23100078</v>
      </c>
      <c r="AI50" s="48"/>
      <c r="AJ50" s="48">
        <v>0</v>
      </c>
      <c r="AK50" s="48"/>
      <c r="AL50" s="45">
        <v>2839582</v>
      </c>
      <c r="AM50" s="45"/>
      <c r="AN50" s="45">
        <v>6220007</v>
      </c>
      <c r="AO50" s="45"/>
      <c r="AP50" s="45">
        <v>0</v>
      </c>
      <c r="AQ50" s="45"/>
      <c r="AR50" s="45">
        <f>+'GVFund Rev'!U50+'GVFund Rev'!W50-'GVFund Exp'!AH50-'GVFund Exp'!AL50+AJ50+AN50+AP50-'GV Fund BS'!S50</f>
        <v>0</v>
      </c>
      <c r="AS50" s="48"/>
    </row>
    <row r="51" spans="1:45" s="44" customFormat="1" ht="12.75" customHeight="1">
      <c r="A51" s="35" t="s">
        <v>71</v>
      </c>
      <c r="C51" s="35" t="s">
        <v>45</v>
      </c>
      <c r="E51" s="45">
        <v>52933</v>
      </c>
      <c r="F51" s="48"/>
      <c r="G51" s="45">
        <v>180424</v>
      </c>
      <c r="H51" s="48"/>
      <c r="I51" s="45">
        <v>12958</v>
      </c>
      <c r="J51" s="48"/>
      <c r="K51" s="45">
        <v>32235</v>
      </c>
      <c r="L51" s="48"/>
      <c r="M51" s="45">
        <f>7194+45389</f>
        <v>52583</v>
      </c>
      <c r="N51" s="48"/>
      <c r="O51" s="45">
        <v>30037</v>
      </c>
      <c r="P51" s="48"/>
      <c r="Q51" s="45">
        <f>81588+39754</f>
        <v>121342</v>
      </c>
      <c r="R51" s="48"/>
      <c r="S51" s="45">
        <v>117642</v>
      </c>
      <c r="T51" s="48"/>
      <c r="U51" s="45">
        <v>0</v>
      </c>
      <c r="V51" s="48"/>
      <c r="W51" s="48"/>
      <c r="X51" s="35"/>
      <c r="Z51" s="35"/>
      <c r="AA51" s="35"/>
      <c r="AB51" s="45">
        <v>34368</v>
      </c>
      <c r="AC51" s="65"/>
      <c r="AD51" s="45">
        <v>23037</v>
      </c>
      <c r="AE51" s="65"/>
      <c r="AF51" s="45">
        <v>1403</v>
      </c>
      <c r="AG51" s="65"/>
      <c r="AH51" s="48">
        <f t="shared" si="2"/>
        <v>658962</v>
      </c>
      <c r="AI51" s="48"/>
      <c r="AJ51" s="48">
        <v>0</v>
      </c>
      <c r="AK51" s="48"/>
      <c r="AL51" s="45">
        <f>554+127701</f>
        <v>128255</v>
      </c>
      <c r="AM51" s="45"/>
      <c r="AN51" s="45">
        <f>383169+976</f>
        <v>384145</v>
      </c>
      <c r="AO51" s="45"/>
      <c r="AP51" s="45">
        <v>0</v>
      </c>
      <c r="AQ51" s="45"/>
      <c r="AR51" s="45">
        <f>+'GVFund Rev'!U51+'GVFund Rev'!W51-'GVFund Exp'!AH51-'GVFund Exp'!AL51+AJ51+AN51+AP51-'GV Fund BS'!S51</f>
        <v>0</v>
      </c>
      <c r="AS51" s="48"/>
    </row>
    <row r="52" spans="1:45" s="44" customFormat="1" ht="12.75" customHeight="1">
      <c r="A52" s="44" t="s">
        <v>463</v>
      </c>
      <c r="C52" s="44" t="s">
        <v>464</v>
      </c>
      <c r="E52" s="45">
        <v>2411808</v>
      </c>
      <c r="F52" s="48"/>
      <c r="G52" s="45">
        <f>2663463+1738866+145232</f>
        <v>4547561</v>
      </c>
      <c r="H52" s="48"/>
      <c r="I52" s="45">
        <f>329933+169436</f>
        <v>499369</v>
      </c>
      <c r="J52" s="48"/>
      <c r="K52" s="45">
        <v>171750</v>
      </c>
      <c r="L52" s="48"/>
      <c r="M52" s="45">
        <v>1220573</v>
      </c>
      <c r="N52" s="48"/>
      <c r="O52" s="45">
        <f>122437+35540+27173</f>
        <v>185150</v>
      </c>
      <c r="P52" s="48"/>
      <c r="Q52" s="45">
        <v>3100</v>
      </c>
      <c r="R52" s="48"/>
      <c r="S52" s="45">
        <v>1778386</v>
      </c>
      <c r="T52" s="48"/>
      <c r="U52" s="45">
        <v>0</v>
      </c>
      <c r="V52" s="48"/>
      <c r="W52" s="48"/>
      <c r="X52" s="35"/>
      <c r="Z52" s="35"/>
      <c r="AA52" s="35"/>
      <c r="AB52" s="45">
        <v>325371</v>
      </c>
      <c r="AC52" s="65"/>
      <c r="AD52" s="45">
        <v>305051</v>
      </c>
      <c r="AE52" s="65"/>
      <c r="AF52" s="45">
        <v>11613</v>
      </c>
      <c r="AG52" s="65"/>
      <c r="AH52" s="48">
        <f t="shared" si="2"/>
        <v>11459732</v>
      </c>
      <c r="AI52" s="48"/>
      <c r="AJ52" s="48">
        <v>0</v>
      </c>
      <c r="AK52" s="48"/>
      <c r="AL52" s="45">
        <v>165819</v>
      </c>
      <c r="AM52" s="45"/>
      <c r="AN52" s="45">
        <v>5186636</v>
      </c>
      <c r="AO52" s="45"/>
      <c r="AP52" s="45">
        <v>0</v>
      </c>
      <c r="AQ52" s="45"/>
      <c r="AR52" s="45">
        <f>+'GVFund Rev'!U52+'GVFund Rev'!W52-'GVFund Exp'!AH52-'GVFund Exp'!AL52+AJ52+AN52+AP52-'GV Fund BS'!S52</f>
        <v>0</v>
      </c>
      <c r="AS52" s="48"/>
    </row>
    <row r="53" spans="1:45" s="44" customFormat="1" ht="12.75" customHeight="1">
      <c r="A53" s="35" t="s">
        <v>72</v>
      </c>
      <c r="C53" s="35" t="s">
        <v>66</v>
      </c>
      <c r="E53" s="45">
        <v>3018325</v>
      </c>
      <c r="F53" s="48"/>
      <c r="G53" s="45">
        <v>2996332</v>
      </c>
      <c r="H53" s="48"/>
      <c r="I53" s="45">
        <v>0</v>
      </c>
      <c r="J53" s="48"/>
      <c r="K53" s="45">
        <v>4591</v>
      </c>
      <c r="L53" s="48"/>
      <c r="M53" s="45">
        <v>1035123</v>
      </c>
      <c r="N53" s="48"/>
      <c r="O53" s="45">
        <v>0</v>
      </c>
      <c r="P53" s="48"/>
      <c r="Q53" s="45">
        <v>0</v>
      </c>
      <c r="R53" s="48"/>
      <c r="S53" s="45">
        <v>0</v>
      </c>
      <c r="T53" s="48"/>
      <c r="U53" s="45">
        <v>44342</v>
      </c>
      <c r="V53" s="48"/>
      <c r="W53" s="48"/>
      <c r="X53" s="35"/>
      <c r="Z53" s="35"/>
      <c r="AA53" s="35"/>
      <c r="AB53" s="45">
        <v>389680</v>
      </c>
      <c r="AC53" s="65"/>
      <c r="AD53" s="45">
        <v>218504</v>
      </c>
      <c r="AE53" s="65"/>
      <c r="AF53" s="45">
        <v>0</v>
      </c>
      <c r="AG53" s="65"/>
      <c r="AH53" s="48">
        <f t="shared" si="2"/>
        <v>7706897</v>
      </c>
      <c r="AI53" s="48"/>
      <c r="AJ53" s="48">
        <v>0</v>
      </c>
      <c r="AK53" s="48"/>
      <c r="AL53" s="45">
        <v>1425729</v>
      </c>
      <c r="AM53" s="45"/>
      <c r="AN53" s="45">
        <v>3541866</v>
      </c>
      <c r="AO53" s="45"/>
      <c r="AP53" s="45">
        <v>0</v>
      </c>
      <c r="AQ53" s="45"/>
      <c r="AR53" s="45">
        <f>+'GVFund Rev'!U53+'GVFund Rev'!W53-'GVFund Exp'!AH53-'GVFund Exp'!AL53+AJ53+AN53+AP53-'GV Fund BS'!S53</f>
        <v>0</v>
      </c>
      <c r="AS53" s="48"/>
    </row>
    <row r="54" spans="1:45" s="44" customFormat="1" ht="12.75" customHeight="1">
      <c r="A54" s="35" t="s">
        <v>342</v>
      </c>
      <c r="C54" s="35" t="s">
        <v>27</v>
      </c>
      <c r="E54" s="45">
        <v>91664000</v>
      </c>
      <c r="F54" s="48"/>
      <c r="G54" s="45">
        <f>60105000+318339000</f>
        <v>378444000</v>
      </c>
      <c r="H54" s="48"/>
      <c r="I54" s="45">
        <f>43677000+51921000</f>
        <v>95598000</v>
      </c>
      <c r="J54" s="48"/>
      <c r="K54" s="45">
        <v>19724000</v>
      </c>
      <c r="L54" s="48"/>
      <c r="M54" s="45">
        <v>0</v>
      </c>
      <c r="N54" s="48"/>
      <c r="O54" s="45">
        <v>42593000</v>
      </c>
      <c r="P54" s="48"/>
      <c r="Q54" s="45">
        <f>15961000+10627000-270000</f>
        <v>26318000</v>
      </c>
      <c r="R54" s="48"/>
      <c r="S54" s="45">
        <v>60513000</v>
      </c>
      <c r="T54" s="48"/>
      <c r="U54" s="45">
        <v>0</v>
      </c>
      <c r="V54" s="48"/>
      <c r="W54" s="48"/>
      <c r="X54" s="35"/>
      <c r="Z54" s="35"/>
      <c r="AA54" s="35"/>
      <c r="AB54" s="45">
        <v>51566000</v>
      </c>
      <c r="AC54" s="65"/>
      <c r="AD54" s="45">
        <v>34318000</v>
      </c>
      <c r="AE54" s="65"/>
      <c r="AF54" s="45">
        <f>5394000+1868000</f>
        <v>7262000</v>
      </c>
      <c r="AG54" s="65"/>
      <c r="AH54" s="48">
        <f t="shared" ref="AH54:AH72" si="3">SUM(E54:AF54)</f>
        <v>808000000</v>
      </c>
      <c r="AI54" s="48"/>
      <c r="AJ54" s="48">
        <v>0</v>
      </c>
      <c r="AK54" s="48"/>
      <c r="AL54" s="45">
        <f>58243000+192675000+386000</f>
        <v>251304000</v>
      </c>
      <c r="AM54" s="45"/>
      <c r="AN54" s="45">
        <v>417882000</v>
      </c>
      <c r="AO54" s="45"/>
      <c r="AP54" s="45">
        <v>0</v>
      </c>
      <c r="AQ54" s="45"/>
      <c r="AR54" s="45">
        <f>+'GVFund Rev'!U54+'GVFund Rev'!W54-'GVFund Exp'!AH54-'GVFund Exp'!AL54+AJ54+AN54+AP54-'GV Fund BS'!S54</f>
        <v>0</v>
      </c>
      <c r="AS54" s="48"/>
    </row>
    <row r="55" spans="1:45" s="44" customFormat="1" ht="12.75" hidden="1" customHeight="1">
      <c r="A55" s="35" t="s">
        <v>74</v>
      </c>
      <c r="C55" s="35" t="s">
        <v>27</v>
      </c>
      <c r="E55" s="45"/>
      <c r="F55" s="48"/>
      <c r="G55" s="45"/>
      <c r="H55" s="48"/>
      <c r="I55" s="45"/>
      <c r="J55" s="48"/>
      <c r="K55" s="45"/>
      <c r="L55" s="48"/>
      <c r="M55" s="45"/>
      <c r="N55" s="48"/>
      <c r="O55" s="45"/>
      <c r="P55" s="48"/>
      <c r="Q55" s="45"/>
      <c r="R55" s="48"/>
      <c r="S55" s="45"/>
      <c r="T55" s="48"/>
      <c r="U55" s="45"/>
      <c r="V55" s="48"/>
      <c r="W55" s="48"/>
      <c r="X55" s="35"/>
      <c r="Z55" s="35"/>
      <c r="AA55" s="35"/>
      <c r="AB55" s="45"/>
      <c r="AC55" s="65"/>
      <c r="AD55" s="45"/>
      <c r="AE55" s="65"/>
      <c r="AF55" s="45"/>
      <c r="AG55" s="65"/>
      <c r="AH55" s="48">
        <f t="shared" si="3"/>
        <v>0</v>
      </c>
      <c r="AI55" s="48"/>
      <c r="AJ55" s="48">
        <v>0</v>
      </c>
      <c r="AK55" s="48"/>
      <c r="AL55" s="45"/>
      <c r="AM55" s="45"/>
      <c r="AN55" s="45"/>
      <c r="AO55" s="45"/>
      <c r="AP55" s="45"/>
      <c r="AQ55" s="45"/>
      <c r="AR55" s="45">
        <f>+'GVFund Rev'!U55+'GVFund Rev'!W55-'GVFund Exp'!AH55-'GVFund Exp'!AL55+AJ55+AN55+AP55-'GV Fund BS'!S55</f>
        <v>0</v>
      </c>
      <c r="AS55" s="48"/>
    </row>
    <row r="56" spans="1:45" s="46" customFormat="1" ht="12.75" customHeight="1">
      <c r="A56" s="35" t="s">
        <v>75</v>
      </c>
      <c r="B56" s="44"/>
      <c r="C56" s="35" t="s">
        <v>76</v>
      </c>
      <c r="D56" s="44"/>
      <c r="E56" s="45">
        <v>1060650</v>
      </c>
      <c r="F56" s="48"/>
      <c r="G56" s="45">
        <v>2212770</v>
      </c>
      <c r="H56" s="48"/>
      <c r="I56" s="45">
        <v>586725</v>
      </c>
      <c r="J56" s="48"/>
      <c r="K56" s="45">
        <v>529727</v>
      </c>
      <c r="L56" s="48"/>
      <c r="M56" s="45">
        <v>271946</v>
      </c>
      <c r="N56" s="48"/>
      <c r="O56" s="45">
        <v>249649</v>
      </c>
      <c r="P56" s="48"/>
      <c r="Q56" s="45">
        <v>0</v>
      </c>
      <c r="R56" s="48"/>
      <c r="S56" s="45">
        <v>2888546</v>
      </c>
      <c r="T56" s="48"/>
      <c r="U56" s="45">
        <v>0</v>
      </c>
      <c r="V56" s="48"/>
      <c r="W56" s="48"/>
      <c r="X56" s="35"/>
      <c r="Y56" s="44"/>
      <c r="Z56" s="35"/>
      <c r="AA56" s="35"/>
      <c r="AB56" s="45">
        <v>413218</v>
      </c>
      <c r="AC56" s="65"/>
      <c r="AD56" s="45">
        <v>221920</v>
      </c>
      <c r="AE56" s="65"/>
      <c r="AF56" s="45">
        <v>0</v>
      </c>
      <c r="AG56" s="65"/>
      <c r="AH56" s="48">
        <f t="shared" si="3"/>
        <v>8435151</v>
      </c>
      <c r="AI56" s="48"/>
      <c r="AJ56" s="48">
        <v>0</v>
      </c>
      <c r="AK56" s="48"/>
      <c r="AL56" s="45">
        <v>962608</v>
      </c>
      <c r="AM56" s="45"/>
      <c r="AN56" s="45">
        <v>2519462</v>
      </c>
      <c r="AO56" s="45"/>
      <c r="AP56" s="45">
        <v>0</v>
      </c>
      <c r="AQ56" s="45"/>
      <c r="AR56" s="45">
        <f>+'GVFund Rev'!U56+'GVFund Rev'!W56-'GVFund Exp'!AH56-'GVFund Exp'!AL56+AJ56+AN56+AP56-'GV Fund BS'!S56</f>
        <v>0</v>
      </c>
      <c r="AS56" s="48"/>
    </row>
    <row r="57" spans="1:45" s="44" customFormat="1" ht="12.75" customHeight="1">
      <c r="A57" s="35" t="s">
        <v>77</v>
      </c>
      <c r="C57" s="35" t="s">
        <v>43</v>
      </c>
      <c r="E57" s="45">
        <v>116315000</v>
      </c>
      <c r="F57" s="48"/>
      <c r="G57" s="45">
        <f>107643000+476365000</f>
        <v>584008000</v>
      </c>
      <c r="H57" s="48"/>
      <c r="I57" s="45">
        <v>71253000</v>
      </c>
      <c r="J57" s="48"/>
      <c r="K57" s="45">
        <v>44783000</v>
      </c>
      <c r="L57" s="48"/>
      <c r="M57" s="45">
        <v>0</v>
      </c>
      <c r="N57" s="48"/>
      <c r="O57" s="45">
        <v>99291000</v>
      </c>
      <c r="P57" s="48"/>
      <c r="Q57" s="45">
        <v>0</v>
      </c>
      <c r="R57" s="48"/>
      <c r="S57" s="45">
        <v>183336000</v>
      </c>
      <c r="T57" s="48"/>
      <c r="U57" s="45">
        <v>0</v>
      </c>
      <c r="V57" s="48"/>
      <c r="W57" s="48"/>
      <c r="X57" s="35"/>
      <c r="Z57" s="35"/>
      <c r="AA57" s="35"/>
      <c r="AB57" s="45">
        <v>90112000</v>
      </c>
      <c r="AC57" s="65"/>
      <c r="AD57" s="45">
        <v>44060000</v>
      </c>
      <c r="AE57" s="65"/>
      <c r="AF57" s="45">
        <v>0</v>
      </c>
      <c r="AG57" s="65"/>
      <c r="AH57" s="48">
        <f t="shared" si="3"/>
        <v>1233158000</v>
      </c>
      <c r="AI57" s="48"/>
      <c r="AJ57" s="48">
        <v>0</v>
      </c>
      <c r="AK57" s="48"/>
      <c r="AL57" s="45">
        <f>107181000+1900000</f>
        <v>109081000</v>
      </c>
      <c r="AM57" s="45"/>
      <c r="AN57" s="45">
        <v>597125000</v>
      </c>
      <c r="AO57" s="45"/>
      <c r="AP57" s="45">
        <v>0</v>
      </c>
      <c r="AQ57" s="45"/>
      <c r="AR57" s="45">
        <f>+'GVFund Rev'!U57+'GVFund Rev'!W57-'GVFund Exp'!AH57-'GVFund Exp'!AL57+AJ57+AN57+AP57-'GV Fund BS'!S57</f>
        <v>0</v>
      </c>
      <c r="AS57" s="48"/>
    </row>
    <row r="58" spans="1:45" s="44" customFormat="1" ht="12.75" customHeight="1">
      <c r="A58" s="35" t="s">
        <v>94</v>
      </c>
      <c r="C58" s="35" t="s">
        <v>94</v>
      </c>
      <c r="E58" s="45">
        <v>590186</v>
      </c>
      <c r="F58" s="48"/>
      <c r="G58" s="45">
        <v>1493085</v>
      </c>
      <c r="H58" s="48"/>
      <c r="I58" s="45">
        <v>0</v>
      </c>
      <c r="J58" s="48"/>
      <c r="K58" s="45">
        <v>182794</v>
      </c>
      <c r="L58" s="48"/>
      <c r="M58" s="45">
        <v>322145</v>
      </c>
      <c r="N58" s="48"/>
      <c r="O58" s="45">
        <v>412804</v>
      </c>
      <c r="P58" s="48"/>
      <c r="Q58" s="45">
        <v>0</v>
      </c>
      <c r="R58" s="48"/>
      <c r="S58" s="45">
        <v>2412006</v>
      </c>
      <c r="T58" s="48"/>
      <c r="U58" s="45">
        <v>0</v>
      </c>
      <c r="V58" s="48"/>
      <c r="W58" s="48"/>
      <c r="X58" s="35"/>
      <c r="Z58" s="35"/>
      <c r="AA58" s="35"/>
      <c r="AB58" s="45">
        <v>0</v>
      </c>
      <c r="AC58" s="65"/>
      <c r="AD58" s="45">
        <v>11099</v>
      </c>
      <c r="AE58" s="65"/>
      <c r="AF58" s="45">
        <v>0</v>
      </c>
      <c r="AG58" s="65"/>
      <c r="AH58" s="48">
        <f>SUM(E58:AF58)</f>
        <v>5424119</v>
      </c>
      <c r="AI58" s="48"/>
      <c r="AJ58" s="48">
        <v>0</v>
      </c>
      <c r="AK58" s="48"/>
      <c r="AL58" s="45">
        <v>2146460</v>
      </c>
      <c r="AM58" s="45"/>
      <c r="AN58" s="45">
        <v>2158546</v>
      </c>
      <c r="AO58" s="45"/>
      <c r="AP58" s="45">
        <v>14360</v>
      </c>
      <c r="AQ58" s="45"/>
      <c r="AR58" s="45">
        <f>+'GVFund Rev'!U58+'GVFund Rev'!W58-'GVFund Exp'!AH58-'GVFund Exp'!AL58+AJ58+AN58+AP58-'GV Fund BS'!S58</f>
        <v>0</v>
      </c>
      <c r="AS58" s="48"/>
    </row>
    <row r="59" spans="1:45" s="44" customFormat="1" ht="12.75" customHeight="1">
      <c r="A59" s="35" t="s">
        <v>78</v>
      </c>
      <c r="C59" s="35" t="s">
        <v>19</v>
      </c>
      <c r="E59" s="45">
        <v>1189657</v>
      </c>
      <c r="F59" s="48"/>
      <c r="G59" s="45">
        <v>3679873</v>
      </c>
      <c r="H59" s="48"/>
      <c r="I59" s="45">
        <v>485474</v>
      </c>
      <c r="J59" s="48"/>
      <c r="K59" s="45">
        <v>334167</v>
      </c>
      <c r="L59" s="48"/>
      <c r="M59" s="45">
        <v>1543137</v>
      </c>
      <c r="N59" s="48"/>
      <c r="O59" s="45">
        <v>95067</v>
      </c>
      <c r="P59" s="48"/>
      <c r="Q59" s="45">
        <v>43877</v>
      </c>
      <c r="R59" s="48"/>
      <c r="S59" s="45">
        <v>482922</v>
      </c>
      <c r="T59" s="48"/>
      <c r="U59" s="45">
        <v>0</v>
      </c>
      <c r="V59" s="48"/>
      <c r="W59" s="48"/>
      <c r="X59" s="35"/>
      <c r="Z59" s="35"/>
      <c r="AA59" s="35"/>
      <c r="AB59" s="45">
        <f>447015+87000</f>
        <v>534015</v>
      </c>
      <c r="AC59" s="65"/>
      <c r="AD59" s="45">
        <v>167254</v>
      </c>
      <c r="AE59" s="65"/>
      <c r="AF59" s="45">
        <v>0</v>
      </c>
      <c r="AG59" s="65"/>
      <c r="AH59" s="48">
        <f t="shared" si="3"/>
        <v>8555443</v>
      </c>
      <c r="AI59" s="48"/>
      <c r="AJ59" s="48">
        <v>0</v>
      </c>
      <c r="AK59" s="48"/>
      <c r="AL59" s="45">
        <f>135000+100350</f>
        <v>235350</v>
      </c>
      <c r="AM59" s="45"/>
      <c r="AN59" s="45">
        <v>2867287</v>
      </c>
      <c r="AO59" s="45"/>
      <c r="AP59" s="45">
        <v>0</v>
      </c>
      <c r="AQ59" s="45"/>
      <c r="AR59" s="45">
        <f>+'GVFund Rev'!U59+'GVFund Rev'!W59-'GVFund Exp'!AH59-'GVFund Exp'!AL59+AJ59+AN59+AP59-'GV Fund BS'!S59</f>
        <v>0</v>
      </c>
      <c r="AS59" s="48"/>
    </row>
    <row r="60" spans="1:45" s="44" customFormat="1" ht="12.75" customHeight="1">
      <c r="A60" s="35" t="s">
        <v>79</v>
      </c>
      <c r="C60" s="35" t="s">
        <v>80</v>
      </c>
      <c r="E60" s="45">
        <v>708636</v>
      </c>
      <c r="F60" s="48"/>
      <c r="G60" s="45">
        <v>2289352</v>
      </c>
      <c r="H60" s="48"/>
      <c r="I60" s="45">
        <v>54127</v>
      </c>
      <c r="J60" s="48"/>
      <c r="K60" s="45">
        <v>12338</v>
      </c>
      <c r="L60" s="48"/>
      <c r="M60" s="45">
        <v>1370290</v>
      </c>
      <c r="N60" s="48"/>
      <c r="O60" s="45">
        <v>31304</v>
      </c>
      <c r="P60" s="48"/>
      <c r="Q60" s="45">
        <v>125226</v>
      </c>
      <c r="R60" s="48"/>
      <c r="S60" s="45">
        <v>120782</v>
      </c>
      <c r="T60" s="48"/>
      <c r="U60" s="45">
        <v>0</v>
      </c>
      <c r="V60" s="48"/>
      <c r="W60" s="48"/>
      <c r="X60" s="35"/>
      <c r="Z60" s="35"/>
      <c r="AA60" s="35"/>
      <c r="AB60" s="45">
        <v>0</v>
      </c>
      <c r="AC60" s="65"/>
      <c r="AD60" s="45">
        <v>0</v>
      </c>
      <c r="AE60" s="65"/>
      <c r="AF60" s="45">
        <v>0</v>
      </c>
      <c r="AG60" s="65"/>
      <c r="AH60" s="48">
        <f t="shared" si="3"/>
        <v>4712055</v>
      </c>
      <c r="AI60" s="48"/>
      <c r="AJ60" s="48">
        <v>0</v>
      </c>
      <c r="AK60" s="48"/>
      <c r="AL60" s="45">
        <v>80000</v>
      </c>
      <c r="AM60" s="45"/>
      <c r="AN60" s="45">
        <v>1373034</v>
      </c>
      <c r="AO60" s="45"/>
      <c r="AP60" s="45">
        <v>0</v>
      </c>
      <c r="AQ60" s="45"/>
      <c r="AR60" s="45">
        <f>+'GVFund Rev'!U60+'GVFund Rev'!W60-'GVFund Exp'!AH60-'GVFund Exp'!AL60+AJ60+AN60+AP60-'GV Fund BS'!S60</f>
        <v>0</v>
      </c>
      <c r="AS60" s="48"/>
    </row>
    <row r="61" spans="1:45" s="44" customFormat="1" ht="12.75" customHeight="1">
      <c r="A61" s="35" t="s">
        <v>81</v>
      </c>
      <c r="C61" s="35" t="s">
        <v>81</v>
      </c>
      <c r="E61" s="45">
        <v>2549976</v>
      </c>
      <c r="F61" s="48"/>
      <c r="G61" s="45">
        <v>3541654</v>
      </c>
      <c r="H61" s="48"/>
      <c r="I61" s="45">
        <f>16303+229674</f>
        <v>245977</v>
      </c>
      <c r="J61" s="48"/>
      <c r="K61" s="45">
        <v>1130761</v>
      </c>
      <c r="L61" s="48"/>
      <c r="M61" s="45">
        <v>804357</v>
      </c>
      <c r="N61" s="48"/>
      <c r="O61" s="45">
        <v>198211</v>
      </c>
      <c r="P61" s="48"/>
      <c r="Q61" s="45">
        <v>0</v>
      </c>
      <c r="R61" s="48"/>
      <c r="S61" s="45">
        <v>1304287</v>
      </c>
      <c r="T61" s="48"/>
      <c r="U61" s="45">
        <v>0</v>
      </c>
      <c r="V61" s="48"/>
      <c r="W61" s="48"/>
      <c r="X61" s="35"/>
      <c r="Z61" s="35"/>
      <c r="AA61" s="35"/>
      <c r="AB61" s="45">
        <v>230069</v>
      </c>
      <c r="AC61" s="65"/>
      <c r="AD61" s="45">
        <v>24598</v>
      </c>
      <c r="AE61" s="65"/>
      <c r="AF61" s="45">
        <v>0</v>
      </c>
      <c r="AG61" s="65"/>
      <c r="AH61" s="48">
        <f t="shared" si="3"/>
        <v>10029890</v>
      </c>
      <c r="AI61" s="48"/>
      <c r="AJ61" s="48">
        <v>0</v>
      </c>
      <c r="AK61" s="48"/>
      <c r="AL61" s="45">
        <v>0</v>
      </c>
      <c r="AM61" s="45"/>
      <c r="AN61" s="45">
        <v>2011231</v>
      </c>
      <c r="AO61" s="45"/>
      <c r="AP61" s="45">
        <v>0</v>
      </c>
      <c r="AQ61" s="45"/>
      <c r="AR61" s="45">
        <f>+'GVFund Rev'!U61+'GVFund Rev'!W61-'GVFund Exp'!AH61-'GVFund Exp'!AL61+AJ61+AN61+AP61-'GV Fund BS'!S61</f>
        <v>0</v>
      </c>
      <c r="AS61" s="48"/>
    </row>
    <row r="62" spans="1:45" s="44" customFormat="1" ht="12.75" customHeight="1">
      <c r="A62" s="47" t="s">
        <v>465</v>
      </c>
      <c r="B62" s="47"/>
      <c r="C62" s="47" t="s">
        <v>57</v>
      </c>
      <c r="E62" s="45">
        <v>321954</v>
      </c>
      <c r="F62" s="48"/>
      <c r="G62" s="45">
        <v>1140515</v>
      </c>
      <c r="H62" s="48"/>
      <c r="I62" s="45">
        <v>115503</v>
      </c>
      <c r="J62" s="48"/>
      <c r="K62" s="45">
        <v>0</v>
      </c>
      <c r="L62" s="48"/>
      <c r="M62" s="45">
        <v>622548</v>
      </c>
      <c r="N62" s="48"/>
      <c r="O62" s="45">
        <v>145749</v>
      </c>
      <c r="P62" s="48"/>
      <c r="Q62" s="45">
        <v>0</v>
      </c>
      <c r="R62" s="48"/>
      <c r="S62" s="45">
        <v>262242</v>
      </c>
      <c r="T62" s="48"/>
      <c r="U62" s="45">
        <v>0</v>
      </c>
      <c r="V62" s="48"/>
      <c r="W62" s="48"/>
      <c r="X62" s="35"/>
      <c r="Z62" s="35"/>
      <c r="AA62" s="35"/>
      <c r="AB62" s="45">
        <v>67138</v>
      </c>
      <c r="AC62" s="65"/>
      <c r="AD62" s="45">
        <v>13772</v>
      </c>
      <c r="AE62" s="65"/>
      <c r="AF62" s="45">
        <v>0</v>
      </c>
      <c r="AG62" s="65"/>
      <c r="AH62" s="48">
        <f t="shared" si="3"/>
        <v>2689421</v>
      </c>
      <c r="AI62" s="48"/>
      <c r="AJ62" s="48">
        <v>0</v>
      </c>
      <c r="AK62" s="48"/>
      <c r="AL62" s="45">
        <v>0</v>
      </c>
      <c r="AM62" s="45"/>
      <c r="AN62" s="45">
        <v>1092579</v>
      </c>
      <c r="AO62" s="45"/>
      <c r="AP62" s="45">
        <v>0</v>
      </c>
      <c r="AQ62" s="45"/>
      <c r="AR62" s="45">
        <f>+'GVFund Rev'!U62+'GVFund Rev'!W62-'GVFund Exp'!AH62-'GVFund Exp'!AL62+AJ62+AN62+AP62-'GV Fund BS'!S62</f>
        <v>0</v>
      </c>
      <c r="AS62" s="48"/>
    </row>
    <row r="63" spans="1:45" s="46" customFormat="1" ht="12.75" customHeight="1">
      <c r="A63" s="35" t="s">
        <v>82</v>
      </c>
      <c r="B63" s="44"/>
      <c r="C63" s="35" t="s">
        <v>13</v>
      </c>
      <c r="D63" s="44"/>
      <c r="E63" s="45">
        <v>10950142</v>
      </c>
      <c r="F63" s="48"/>
      <c r="G63" s="45">
        <v>20770690</v>
      </c>
      <c r="H63" s="48"/>
      <c r="I63" s="45">
        <v>1888483</v>
      </c>
      <c r="J63" s="48"/>
      <c r="K63" s="45">
        <v>0</v>
      </c>
      <c r="L63" s="48"/>
      <c r="M63" s="45">
        <v>4128506</v>
      </c>
      <c r="N63" s="48"/>
      <c r="O63" s="45">
        <v>2253973</v>
      </c>
      <c r="P63" s="48"/>
      <c r="Q63" s="45">
        <v>0</v>
      </c>
      <c r="R63" s="48"/>
      <c r="S63" s="45">
        <v>6127721</v>
      </c>
      <c r="T63" s="48"/>
      <c r="U63" s="45">
        <v>0</v>
      </c>
      <c r="V63" s="48"/>
      <c r="W63" s="48"/>
      <c r="X63" s="35"/>
      <c r="Y63" s="44"/>
      <c r="Z63" s="35"/>
      <c r="AA63" s="35"/>
      <c r="AB63" s="45">
        <v>1533985</v>
      </c>
      <c r="AC63" s="65"/>
      <c r="AD63" s="45">
        <v>670189</v>
      </c>
      <c r="AE63" s="65"/>
      <c r="AF63" s="45">
        <v>0</v>
      </c>
      <c r="AG63" s="65"/>
      <c r="AH63" s="48">
        <f t="shared" si="3"/>
        <v>48323689</v>
      </c>
      <c r="AI63" s="48"/>
      <c r="AJ63" s="48">
        <v>0</v>
      </c>
      <c r="AK63" s="48"/>
      <c r="AL63" s="45">
        <v>24223202</v>
      </c>
      <c r="AM63" s="45"/>
      <c r="AN63" s="45">
        <v>15872360</v>
      </c>
      <c r="AO63" s="45"/>
      <c r="AP63" s="45">
        <f>-93865-5244</f>
        <v>-99109</v>
      </c>
      <c r="AQ63" s="45"/>
      <c r="AR63" s="45">
        <f>+'GVFund Rev'!U63+'GVFund Rev'!W63-'GVFund Exp'!AH63-'GVFund Exp'!AL63+AJ63+AN63+AP63-'GV Fund BS'!S63</f>
        <v>0</v>
      </c>
      <c r="AS63" s="48"/>
    </row>
    <row r="64" spans="1:45" s="46" customFormat="1" ht="12.75" customHeight="1">
      <c r="A64" s="35" t="s">
        <v>83</v>
      </c>
      <c r="B64" s="44"/>
      <c r="C64" s="35" t="s">
        <v>66</v>
      </c>
      <c r="D64" s="44"/>
      <c r="E64" s="45">
        <v>4604197</v>
      </c>
      <c r="F64" s="48"/>
      <c r="G64" s="45">
        <v>100009551</v>
      </c>
      <c r="H64" s="48"/>
      <c r="I64" s="45">
        <f>11191284+20981602</f>
        <v>32172886</v>
      </c>
      <c r="J64" s="48"/>
      <c r="K64" s="45">
        <v>0</v>
      </c>
      <c r="L64" s="48"/>
      <c r="M64" s="45">
        <v>0</v>
      </c>
      <c r="N64" s="48"/>
      <c r="O64" s="45">
        <v>41676303</v>
      </c>
      <c r="P64" s="48"/>
      <c r="Q64" s="45">
        <f>2581447+16401770+685888</f>
        <v>19669105</v>
      </c>
      <c r="R64" s="48"/>
      <c r="S64" s="45">
        <v>23598157</v>
      </c>
      <c r="T64" s="48"/>
      <c r="U64" s="45">
        <v>0</v>
      </c>
      <c r="V64" s="48"/>
      <c r="W64" s="48"/>
      <c r="X64" s="35"/>
      <c r="Y64" s="44"/>
      <c r="Z64" s="35"/>
      <c r="AA64" s="35"/>
      <c r="AB64" s="45">
        <f>6652464+4707848</f>
        <v>11360312</v>
      </c>
      <c r="AC64" s="65"/>
      <c r="AD64" s="45">
        <v>598836</v>
      </c>
      <c r="AE64" s="65"/>
      <c r="AF64" s="45">
        <v>0</v>
      </c>
      <c r="AG64" s="65"/>
      <c r="AH64" s="48">
        <f t="shared" si="3"/>
        <v>233689347</v>
      </c>
      <c r="AI64" s="48"/>
      <c r="AJ64" s="48">
        <v>0</v>
      </c>
      <c r="AK64" s="48"/>
      <c r="AL64" s="45">
        <f>348901+9556407</f>
        <v>9905308</v>
      </c>
      <c r="AM64" s="45"/>
      <c r="AN64" s="45">
        <v>102733530</v>
      </c>
      <c r="AO64" s="45"/>
      <c r="AP64" s="45">
        <v>0</v>
      </c>
      <c r="AQ64" s="45"/>
      <c r="AR64" s="45">
        <f>+'GVFund Rev'!U64+'GVFund Rev'!W64-'GVFund Exp'!AH64-'GVFund Exp'!AL64+AJ64+AN64+AP64-'GV Fund BS'!S64</f>
        <v>0</v>
      </c>
      <c r="AS64" s="48"/>
    </row>
    <row r="65" spans="1:46" s="44" customFormat="1" ht="12.75" customHeight="1">
      <c r="A65" s="35" t="s">
        <v>84</v>
      </c>
      <c r="C65" s="35" t="s">
        <v>45</v>
      </c>
      <c r="E65" s="45">
        <v>1016304</v>
      </c>
      <c r="F65" s="48"/>
      <c r="G65" s="45">
        <v>1098904</v>
      </c>
      <c r="H65" s="48"/>
      <c r="I65" s="45">
        <v>35817</v>
      </c>
      <c r="J65" s="48"/>
      <c r="K65" s="45">
        <v>0</v>
      </c>
      <c r="L65" s="48"/>
      <c r="M65" s="45">
        <v>432074</v>
      </c>
      <c r="N65" s="48"/>
      <c r="O65" s="45">
        <v>65318</v>
      </c>
      <c r="P65" s="48"/>
      <c r="Q65" s="45">
        <v>0</v>
      </c>
      <c r="R65" s="48"/>
      <c r="S65" s="45">
        <v>554745</v>
      </c>
      <c r="T65" s="48"/>
      <c r="U65" s="45">
        <v>0</v>
      </c>
      <c r="V65" s="48"/>
      <c r="W65" s="48"/>
      <c r="X65" s="35"/>
      <c r="Z65" s="35"/>
      <c r="AA65" s="35"/>
      <c r="AB65" s="45">
        <v>75000</v>
      </c>
      <c r="AC65" s="65"/>
      <c r="AD65" s="45">
        <v>119313</v>
      </c>
      <c r="AE65" s="65"/>
      <c r="AF65" s="45">
        <v>0</v>
      </c>
      <c r="AG65" s="65"/>
      <c r="AH65" s="48">
        <f t="shared" si="3"/>
        <v>3397475</v>
      </c>
      <c r="AI65" s="48"/>
      <c r="AJ65" s="48">
        <v>0</v>
      </c>
      <c r="AK65" s="48"/>
      <c r="AL65" s="45">
        <v>194313</v>
      </c>
      <c r="AM65" s="45"/>
      <c r="AN65" s="45">
        <v>1260595</v>
      </c>
      <c r="AO65" s="45"/>
      <c r="AP65" s="45">
        <v>0</v>
      </c>
      <c r="AQ65" s="45"/>
      <c r="AR65" s="45">
        <f>+'GVFund Rev'!U65+'GVFund Rev'!W65-'GVFund Exp'!AH65-'GVFund Exp'!AL65+AJ65+AN65+AP65-'GV Fund BS'!S65</f>
        <v>0</v>
      </c>
      <c r="AS65" s="48"/>
    </row>
    <row r="66" spans="1:46" s="44" customFormat="1" ht="12.75" customHeight="1">
      <c r="A66" s="35" t="s">
        <v>85</v>
      </c>
      <c r="C66" s="35" t="s">
        <v>85</v>
      </c>
      <c r="E66" s="45">
        <v>2608253</v>
      </c>
      <c r="F66" s="48"/>
      <c r="G66" s="45">
        <v>5565046</v>
      </c>
      <c r="H66" s="48"/>
      <c r="I66" s="45">
        <v>577079</v>
      </c>
      <c r="J66" s="48"/>
      <c r="K66" s="45">
        <v>256613</v>
      </c>
      <c r="L66" s="48"/>
      <c r="M66" s="45">
        <v>924908</v>
      </c>
      <c r="N66" s="48"/>
      <c r="O66" s="45">
        <v>744411</v>
      </c>
      <c r="P66" s="48"/>
      <c r="Q66" s="45">
        <v>84009</v>
      </c>
      <c r="R66" s="48"/>
      <c r="S66" s="45">
        <v>2363794</v>
      </c>
      <c r="T66" s="48"/>
      <c r="U66" s="45">
        <v>0</v>
      </c>
      <c r="V66" s="48"/>
      <c r="W66" s="48"/>
      <c r="X66" s="35"/>
      <c r="Z66" s="35"/>
      <c r="AA66" s="35"/>
      <c r="AB66" s="45">
        <v>132368</v>
      </c>
      <c r="AC66" s="65"/>
      <c r="AD66" s="45">
        <v>30026</v>
      </c>
      <c r="AE66" s="65"/>
      <c r="AF66" s="45">
        <v>4913</v>
      </c>
      <c r="AG66" s="65"/>
      <c r="AH66" s="48">
        <f t="shared" si="3"/>
        <v>13291420</v>
      </c>
      <c r="AI66" s="48"/>
      <c r="AJ66" s="48">
        <v>0</v>
      </c>
      <c r="AK66" s="48"/>
      <c r="AL66" s="45">
        <v>1114350</v>
      </c>
      <c r="AM66" s="45"/>
      <c r="AN66" s="45">
        <v>9899734</v>
      </c>
      <c r="AO66" s="45"/>
      <c r="AP66" s="45">
        <v>0</v>
      </c>
      <c r="AQ66" s="45"/>
      <c r="AR66" s="45">
        <f>+'GVFund Rev'!U66+'GVFund Rev'!W66-'GVFund Exp'!AH66-'GVFund Exp'!AL66+AJ66+AN66+AP66-'GV Fund BS'!S66</f>
        <v>0</v>
      </c>
      <c r="AS66" s="48"/>
    </row>
    <row r="67" spans="1:46" s="44" customFormat="1" ht="12.75" customHeight="1">
      <c r="A67" s="35" t="s">
        <v>86</v>
      </c>
      <c r="C67" s="35" t="s">
        <v>86</v>
      </c>
      <c r="E67" s="45">
        <v>5385890</v>
      </c>
      <c r="F67" s="48"/>
      <c r="G67" s="45">
        <f>6082182+4827021+2541708+555251</f>
        <v>14006162</v>
      </c>
      <c r="H67" s="48"/>
      <c r="I67" s="45">
        <v>449766</v>
      </c>
      <c r="J67" s="48"/>
      <c r="K67" s="45">
        <v>0</v>
      </c>
      <c r="L67" s="48"/>
      <c r="M67" s="45">
        <v>836495</v>
      </c>
      <c r="N67" s="48"/>
      <c r="O67" s="45">
        <v>1476899</v>
      </c>
      <c r="P67" s="48"/>
      <c r="Q67" s="45">
        <v>3220221</v>
      </c>
      <c r="R67" s="48"/>
      <c r="S67" s="45">
        <v>3919563</v>
      </c>
      <c r="T67" s="48"/>
      <c r="U67" s="45">
        <v>0</v>
      </c>
      <c r="V67" s="48"/>
      <c r="W67" s="48"/>
      <c r="X67" s="35"/>
      <c r="Z67" s="35"/>
      <c r="AA67" s="35"/>
      <c r="AB67" s="45">
        <v>540976</v>
      </c>
      <c r="AC67" s="65"/>
      <c r="AD67" s="45">
        <v>984232</v>
      </c>
      <c r="AE67" s="65"/>
      <c r="AF67" s="45">
        <v>0</v>
      </c>
      <c r="AG67" s="65"/>
      <c r="AH67" s="48">
        <f t="shared" si="3"/>
        <v>30820204</v>
      </c>
      <c r="AI67" s="48"/>
      <c r="AJ67" s="48">
        <v>0</v>
      </c>
      <c r="AK67" s="48"/>
      <c r="AL67" s="45">
        <v>5671567</v>
      </c>
      <c r="AM67" s="45"/>
      <c r="AN67" s="45">
        <v>3927419</v>
      </c>
      <c r="AO67" s="45"/>
      <c r="AP67" s="45">
        <v>0</v>
      </c>
      <c r="AQ67" s="45"/>
      <c r="AR67" s="45">
        <f>+'GVFund Rev'!U67+'GVFund Rev'!W67-'GVFund Exp'!AH67-'GVFund Exp'!AL67+AJ67+AN67+AP67-'GV Fund BS'!S67</f>
        <v>0</v>
      </c>
      <c r="AS67" s="48"/>
    </row>
    <row r="68" spans="1:46" s="44" customFormat="1" ht="12.75" customHeight="1">
      <c r="A68" s="64" t="s">
        <v>87</v>
      </c>
      <c r="B68" s="46"/>
      <c r="C68" s="64" t="s">
        <v>88</v>
      </c>
      <c r="D68" s="46"/>
      <c r="E68" s="45">
        <v>279793</v>
      </c>
      <c r="F68" s="48"/>
      <c r="G68" s="45">
        <v>2508521</v>
      </c>
      <c r="H68" s="48"/>
      <c r="I68" s="45">
        <v>134808</v>
      </c>
      <c r="J68" s="48"/>
      <c r="K68" s="45">
        <v>158545</v>
      </c>
      <c r="L68" s="48"/>
      <c r="M68" s="45">
        <v>438129</v>
      </c>
      <c r="N68" s="48"/>
      <c r="O68" s="45">
        <v>440232</v>
      </c>
      <c r="P68" s="48"/>
      <c r="Q68" s="45">
        <v>0</v>
      </c>
      <c r="R68" s="48"/>
      <c r="S68" s="45">
        <v>580179</v>
      </c>
      <c r="T68" s="48"/>
      <c r="U68" s="45">
        <v>0</v>
      </c>
      <c r="V68" s="48"/>
      <c r="W68" s="48"/>
      <c r="X68" s="35"/>
      <c r="Z68" s="35"/>
      <c r="AA68" s="35"/>
      <c r="AB68" s="45">
        <v>0</v>
      </c>
      <c r="AC68" s="65"/>
      <c r="AD68" s="45">
        <v>0</v>
      </c>
      <c r="AE68" s="65"/>
      <c r="AF68" s="45">
        <v>0</v>
      </c>
      <c r="AG68" s="65"/>
      <c r="AH68" s="48">
        <f t="shared" si="3"/>
        <v>4540207</v>
      </c>
      <c r="AI68" s="48"/>
      <c r="AJ68" s="45">
        <v>0</v>
      </c>
      <c r="AK68" s="48"/>
      <c r="AL68" s="45">
        <v>618453</v>
      </c>
      <c r="AM68" s="45"/>
      <c r="AN68" s="45">
        <v>1229193</v>
      </c>
      <c r="AO68" s="45"/>
      <c r="AP68" s="45">
        <v>0</v>
      </c>
      <c r="AQ68" s="45"/>
      <c r="AR68" s="45">
        <f>+'GVFund Rev'!U68+'GVFund Rev'!W68-'GVFund Exp'!AH68-'GVFund Exp'!AL68+AJ68+AN68+AP68-'GV Fund BS'!S68</f>
        <v>0</v>
      </c>
      <c r="AS68" s="48"/>
    </row>
    <row r="69" spans="1:46" s="44" customFormat="1" ht="12.75" customHeight="1">
      <c r="A69" s="64"/>
      <c r="B69" s="46"/>
      <c r="C69" s="64"/>
      <c r="D69" s="46"/>
      <c r="E69" s="45"/>
      <c r="F69" s="48"/>
      <c r="G69" s="45"/>
      <c r="H69" s="48"/>
      <c r="I69" s="45"/>
      <c r="J69" s="48"/>
      <c r="K69" s="45"/>
      <c r="L69" s="48"/>
      <c r="M69" s="45"/>
      <c r="N69" s="48"/>
      <c r="O69" s="45"/>
      <c r="P69" s="48"/>
      <c r="Q69" s="45"/>
      <c r="R69" s="48"/>
      <c r="S69" s="45"/>
      <c r="T69" s="48"/>
      <c r="U69" s="45"/>
      <c r="V69" s="48"/>
      <c r="W69" s="48"/>
      <c r="X69" s="35"/>
      <c r="Z69" s="35"/>
      <c r="AA69" s="35"/>
      <c r="AB69" s="45"/>
      <c r="AC69" s="65"/>
      <c r="AD69" s="45"/>
      <c r="AE69" s="65"/>
      <c r="AF69" s="45"/>
      <c r="AG69" s="65"/>
      <c r="AH69" s="48"/>
      <c r="AI69" s="48"/>
      <c r="AJ69" s="45"/>
      <c r="AK69" s="48"/>
      <c r="AL69" s="48" t="s">
        <v>484</v>
      </c>
      <c r="AM69" s="45"/>
      <c r="AN69" s="45"/>
      <c r="AO69" s="45"/>
      <c r="AP69" s="45"/>
      <c r="AQ69" s="45"/>
      <c r="AR69" s="45"/>
      <c r="AS69" s="48"/>
    </row>
    <row r="70" spans="1:46" s="44" customFormat="1" ht="12.75" customHeight="1">
      <c r="A70" s="35" t="s">
        <v>394</v>
      </c>
      <c r="C70" s="35" t="s">
        <v>89</v>
      </c>
      <c r="E70" s="94">
        <v>1197585</v>
      </c>
      <c r="F70" s="68"/>
      <c r="G70" s="94">
        <v>3990259</v>
      </c>
      <c r="H70" s="68"/>
      <c r="I70" s="94">
        <v>182588</v>
      </c>
      <c r="J70" s="68"/>
      <c r="K70" s="94">
        <v>631723</v>
      </c>
      <c r="L70" s="68"/>
      <c r="M70" s="94">
        <v>1234454</v>
      </c>
      <c r="N70" s="68"/>
      <c r="O70" s="94">
        <v>872576</v>
      </c>
      <c r="P70" s="68"/>
      <c r="Q70" s="94">
        <v>463671</v>
      </c>
      <c r="R70" s="68"/>
      <c r="S70" s="94">
        <v>2412778</v>
      </c>
      <c r="T70" s="68"/>
      <c r="U70" s="94">
        <v>0</v>
      </c>
      <c r="V70" s="68"/>
      <c r="W70" s="68"/>
      <c r="X70" s="64"/>
      <c r="Y70" s="46"/>
      <c r="Z70" s="64"/>
      <c r="AA70" s="64"/>
      <c r="AB70" s="94">
        <v>275747</v>
      </c>
      <c r="AC70" s="66"/>
      <c r="AD70" s="94">
        <v>70064</v>
      </c>
      <c r="AE70" s="66"/>
      <c r="AF70" s="94">
        <v>0</v>
      </c>
      <c r="AG70" s="66"/>
      <c r="AH70" s="68">
        <f t="shared" si="3"/>
        <v>11331445</v>
      </c>
      <c r="AI70" s="68"/>
      <c r="AJ70" s="68">
        <v>0</v>
      </c>
      <c r="AK70" s="68"/>
      <c r="AL70" s="94">
        <v>2100000</v>
      </c>
      <c r="AM70" s="94"/>
      <c r="AN70" s="94">
        <v>3626157</v>
      </c>
      <c r="AO70" s="94"/>
      <c r="AP70" s="94">
        <v>0</v>
      </c>
      <c r="AQ70" s="94"/>
      <c r="AR70" s="94">
        <f>+'GVFund Rev'!U70+'GVFund Rev'!W70-'GVFund Exp'!AH70-'GVFund Exp'!AL70+AJ70+AN70+AP70-'GV Fund BS'!S70</f>
        <v>0</v>
      </c>
      <c r="AS70" s="68"/>
      <c r="AT70" s="46"/>
    </row>
    <row r="71" spans="1:46" s="46" customFormat="1" ht="12.75" customHeight="1">
      <c r="A71" s="35" t="s">
        <v>90</v>
      </c>
      <c r="B71" s="44"/>
      <c r="C71" s="35" t="s">
        <v>43</v>
      </c>
      <c r="D71" s="44"/>
      <c r="E71" s="45">
        <v>22222701</v>
      </c>
      <c r="F71" s="48"/>
      <c r="G71" s="45">
        <v>10139276</v>
      </c>
      <c r="H71" s="48"/>
      <c r="I71" s="45">
        <v>6585052</v>
      </c>
      <c r="J71" s="48"/>
      <c r="K71" s="45">
        <v>324601</v>
      </c>
      <c r="L71" s="48"/>
      <c r="M71" s="45">
        <v>3739373</v>
      </c>
      <c r="N71" s="48"/>
      <c r="O71" s="45">
        <v>15840060</v>
      </c>
      <c r="P71" s="48"/>
      <c r="Q71" s="45">
        <v>2883882</v>
      </c>
      <c r="R71" s="48"/>
      <c r="S71" s="45">
        <v>34408348</v>
      </c>
      <c r="T71" s="48"/>
      <c r="U71" s="45">
        <v>0</v>
      </c>
      <c r="V71" s="48"/>
      <c r="W71" s="48"/>
      <c r="X71" s="35"/>
      <c r="Y71" s="44"/>
      <c r="Z71" s="35"/>
      <c r="AA71" s="35"/>
      <c r="AB71" s="45">
        <v>6217685</v>
      </c>
      <c r="AC71" s="107"/>
      <c r="AD71" s="45">
        <v>2446883</v>
      </c>
      <c r="AE71" s="107"/>
      <c r="AF71" s="45">
        <v>0</v>
      </c>
      <c r="AG71" s="107"/>
      <c r="AH71" s="48">
        <f t="shared" si="3"/>
        <v>104807861</v>
      </c>
      <c r="AI71" s="48"/>
      <c r="AJ71" s="48">
        <v>0</v>
      </c>
      <c r="AK71" s="48"/>
      <c r="AL71" s="45">
        <v>32232145</v>
      </c>
      <c r="AM71" s="45"/>
      <c r="AN71" s="45">
        <v>61109620</v>
      </c>
      <c r="AO71" s="45"/>
      <c r="AP71" s="45">
        <v>0</v>
      </c>
      <c r="AQ71" s="45"/>
      <c r="AR71" s="45">
        <f>+'GVFund Rev'!U71+'GVFund Rev'!W71-'GVFund Exp'!AH71-'GVFund Exp'!AL71+AJ71+AN71+AP71-'GV Fund BS'!S71</f>
        <v>0</v>
      </c>
      <c r="AS71" s="48"/>
    </row>
    <row r="72" spans="1:46" s="44" customFormat="1" ht="12.75" customHeight="1">
      <c r="A72" s="35" t="s">
        <v>93</v>
      </c>
      <c r="C72" s="35" t="s">
        <v>94</v>
      </c>
      <c r="E72" s="45">
        <v>1350161</v>
      </c>
      <c r="F72" s="48"/>
      <c r="G72" s="45">
        <v>3206753</v>
      </c>
      <c r="H72" s="48"/>
      <c r="I72" s="45">
        <v>370527</v>
      </c>
      <c r="J72" s="48"/>
      <c r="K72" s="45">
        <v>175747</v>
      </c>
      <c r="L72" s="48"/>
      <c r="M72" s="45">
        <v>793711</v>
      </c>
      <c r="N72" s="48"/>
      <c r="O72" s="45">
        <v>113539</v>
      </c>
      <c r="P72" s="48"/>
      <c r="Q72" s="45">
        <v>0</v>
      </c>
      <c r="R72" s="48"/>
      <c r="S72" s="45">
        <v>1350169</v>
      </c>
      <c r="T72" s="48"/>
      <c r="U72" s="45">
        <v>0</v>
      </c>
      <c r="V72" s="48"/>
      <c r="W72" s="48"/>
      <c r="X72" s="35"/>
      <c r="Z72" s="35"/>
      <c r="AA72" s="35"/>
      <c r="AB72" s="45">
        <v>529719</v>
      </c>
      <c r="AC72" s="65"/>
      <c r="AD72" s="45">
        <v>85319</v>
      </c>
      <c r="AE72" s="65"/>
      <c r="AF72" s="45">
        <v>0</v>
      </c>
      <c r="AG72" s="65"/>
      <c r="AH72" s="48">
        <f t="shared" si="3"/>
        <v>7975645</v>
      </c>
      <c r="AI72" s="48"/>
      <c r="AJ72" s="48">
        <v>0</v>
      </c>
      <c r="AK72" s="48"/>
      <c r="AL72" s="45">
        <v>2622878</v>
      </c>
      <c r="AM72" s="45"/>
      <c r="AN72" s="45">
        <v>1536720</v>
      </c>
      <c r="AO72" s="45"/>
      <c r="AP72" s="45">
        <v>0</v>
      </c>
      <c r="AQ72" s="45"/>
      <c r="AR72" s="45">
        <f>+'GVFund Rev'!U72+'GVFund Rev'!W72-'GVFund Exp'!AH72-'GVFund Exp'!AL72+AJ72+AN72+AP72-'GV Fund BS'!S72</f>
        <v>0</v>
      </c>
      <c r="AS72" s="48"/>
    </row>
    <row r="73" spans="1:46" s="44" customFormat="1" ht="12.75" customHeight="1">
      <c r="A73" s="35" t="s">
        <v>488</v>
      </c>
      <c r="C73" s="35" t="s">
        <v>27</v>
      </c>
      <c r="E73" s="45">
        <v>6501145</v>
      </c>
      <c r="F73" s="48"/>
      <c r="G73" s="45">
        <v>9910252</v>
      </c>
      <c r="H73" s="48"/>
      <c r="I73" s="45">
        <v>2121079</v>
      </c>
      <c r="J73" s="48"/>
      <c r="K73" s="45">
        <v>0</v>
      </c>
      <c r="L73" s="48"/>
      <c r="M73" s="45">
        <v>1300697</v>
      </c>
      <c r="N73" s="48"/>
      <c r="O73" s="45">
        <v>228058</v>
      </c>
      <c r="P73" s="48"/>
      <c r="Q73" s="45">
        <v>1008008</v>
      </c>
      <c r="R73" s="48"/>
      <c r="S73" s="45">
        <v>908975</v>
      </c>
      <c r="T73" s="48"/>
      <c r="U73" s="45">
        <v>0</v>
      </c>
      <c r="V73" s="48"/>
      <c r="W73" s="48"/>
      <c r="X73" s="35"/>
      <c r="Z73" s="35"/>
      <c r="AA73" s="35"/>
      <c r="AB73" s="45">
        <v>208718</v>
      </c>
      <c r="AC73" s="65"/>
      <c r="AD73" s="45">
        <v>130250</v>
      </c>
      <c r="AE73" s="65"/>
      <c r="AF73" s="45">
        <v>0</v>
      </c>
      <c r="AG73" s="65"/>
      <c r="AH73" s="48">
        <f>SUM(E73:AF73)</f>
        <v>22317182</v>
      </c>
      <c r="AI73" s="48"/>
      <c r="AJ73" s="48">
        <v>0</v>
      </c>
      <c r="AK73" s="48"/>
      <c r="AL73" s="45">
        <v>1445131</v>
      </c>
      <c r="AM73" s="45"/>
      <c r="AN73" s="45">
        <v>4422983</v>
      </c>
      <c r="AO73" s="45"/>
      <c r="AP73" s="45">
        <v>0</v>
      </c>
      <c r="AQ73" s="45"/>
      <c r="AR73" s="45">
        <f>+'GVFund Rev'!U73+'GVFund Rev'!W73-'GVFund Exp'!AH73-'GVFund Exp'!AL73+AJ73+AN73+AP73-'GV Fund BS'!S73</f>
        <v>0</v>
      </c>
      <c r="AS73" s="48"/>
    </row>
    <row r="74" spans="1:46" s="46" customFormat="1" ht="12.75" customHeight="1">
      <c r="A74" s="64" t="s">
        <v>95</v>
      </c>
      <c r="C74" s="64" t="s">
        <v>94</v>
      </c>
      <c r="E74" s="45">
        <v>538645</v>
      </c>
      <c r="F74" s="48"/>
      <c r="G74" s="45">
        <v>1050508</v>
      </c>
      <c r="H74" s="48"/>
      <c r="I74" s="45">
        <v>225378</v>
      </c>
      <c r="J74" s="48"/>
      <c r="K74" s="45">
        <v>91609</v>
      </c>
      <c r="L74" s="48"/>
      <c r="M74" s="45">
        <v>302667</v>
      </c>
      <c r="N74" s="48"/>
      <c r="O74" s="45">
        <v>217366</v>
      </c>
      <c r="P74" s="48"/>
      <c r="Q74" s="45">
        <v>0</v>
      </c>
      <c r="R74" s="48"/>
      <c r="S74" s="45">
        <v>382689</v>
      </c>
      <c r="T74" s="48"/>
      <c r="U74" s="45">
        <v>0</v>
      </c>
      <c r="V74" s="48"/>
      <c r="W74" s="48"/>
      <c r="X74" s="35"/>
      <c r="Y74" s="44"/>
      <c r="Z74" s="35"/>
      <c r="AA74" s="35"/>
      <c r="AB74" s="45">
        <v>75673</v>
      </c>
      <c r="AC74" s="65"/>
      <c r="AD74" s="45">
        <v>22371</v>
      </c>
      <c r="AE74" s="65"/>
      <c r="AF74" s="45">
        <v>0</v>
      </c>
      <c r="AG74" s="65"/>
      <c r="AH74" s="48">
        <f t="shared" ref="AH74:AH80" si="4">SUM(E74:AF74)</f>
        <v>2906906</v>
      </c>
      <c r="AI74" s="48"/>
      <c r="AJ74" s="48">
        <v>0</v>
      </c>
      <c r="AK74" s="48"/>
      <c r="AL74" s="45">
        <v>206656</v>
      </c>
      <c r="AM74" s="45"/>
      <c r="AN74" s="45">
        <v>475061</v>
      </c>
      <c r="AO74" s="45"/>
      <c r="AP74" s="45">
        <v>-180</v>
      </c>
      <c r="AQ74" s="45"/>
      <c r="AR74" s="45">
        <f>+'GVFund Rev'!U74+'GVFund Rev'!W74-'GVFund Exp'!AH74-'GVFund Exp'!AL74+AJ74+AN74+AP74-'GV Fund BS'!S74</f>
        <v>0</v>
      </c>
      <c r="AS74" s="68"/>
    </row>
    <row r="75" spans="1:46" s="46" customFormat="1" ht="12.75" customHeight="1">
      <c r="A75" s="35" t="s">
        <v>91</v>
      </c>
      <c r="B75" s="44"/>
      <c r="C75" s="35" t="s">
        <v>92</v>
      </c>
      <c r="D75" s="44"/>
      <c r="E75" s="45">
        <v>3671419</v>
      </c>
      <c r="F75" s="48"/>
      <c r="G75" s="45">
        <v>7403512</v>
      </c>
      <c r="H75" s="48"/>
      <c r="I75" s="45">
        <v>311027</v>
      </c>
      <c r="J75" s="48"/>
      <c r="K75" s="45">
        <v>194637</v>
      </c>
      <c r="L75" s="48"/>
      <c r="M75" s="45">
        <v>2033485</v>
      </c>
      <c r="N75" s="48"/>
      <c r="O75" s="45">
        <v>754739</v>
      </c>
      <c r="P75" s="48"/>
      <c r="Q75" s="45">
        <v>977173</v>
      </c>
      <c r="R75" s="48"/>
      <c r="S75" s="45">
        <v>1485899</v>
      </c>
      <c r="T75" s="48"/>
      <c r="U75" s="45">
        <v>0</v>
      </c>
      <c r="V75" s="48"/>
      <c r="W75" s="48"/>
      <c r="X75" s="35"/>
      <c r="Y75" s="44"/>
      <c r="Z75" s="35"/>
      <c r="AA75" s="35"/>
      <c r="AB75" s="45">
        <v>795824</v>
      </c>
      <c r="AC75" s="65"/>
      <c r="AD75" s="45">
        <v>1369581</v>
      </c>
      <c r="AE75" s="65"/>
      <c r="AF75" s="45">
        <v>0</v>
      </c>
      <c r="AG75" s="65"/>
      <c r="AH75" s="48">
        <f t="shared" si="4"/>
        <v>18997296</v>
      </c>
      <c r="AI75" s="48"/>
      <c r="AJ75" s="48">
        <v>0</v>
      </c>
      <c r="AK75" s="48"/>
      <c r="AL75" s="45">
        <v>2367501</v>
      </c>
      <c r="AM75" s="45"/>
      <c r="AN75" s="45">
        <v>10880098</v>
      </c>
      <c r="AO75" s="45"/>
      <c r="AP75" s="45">
        <v>0</v>
      </c>
      <c r="AQ75" s="45"/>
      <c r="AR75" s="45">
        <f>+'GVFund Rev'!U75+'GVFund Rev'!W75-'GVFund Exp'!AH75-'GVFund Exp'!AL75+AJ75+AN75+AP75-'GV Fund BS'!S75</f>
        <v>0</v>
      </c>
      <c r="AS75" s="68"/>
    </row>
    <row r="76" spans="1:46" s="44" customFormat="1" ht="12.75" customHeight="1">
      <c r="A76" s="35" t="s">
        <v>96</v>
      </c>
      <c r="C76" s="35" t="s">
        <v>97</v>
      </c>
      <c r="E76" s="45">
        <v>1884405</v>
      </c>
      <c r="F76" s="48"/>
      <c r="G76" s="45">
        <v>2597045</v>
      </c>
      <c r="H76" s="48"/>
      <c r="I76" s="45">
        <v>208361</v>
      </c>
      <c r="J76" s="48"/>
      <c r="K76" s="45">
        <v>277929</v>
      </c>
      <c r="L76" s="48"/>
      <c r="M76" s="45">
        <v>1313280</v>
      </c>
      <c r="N76" s="48"/>
      <c r="O76" s="45">
        <v>101737</v>
      </c>
      <c r="P76" s="48"/>
      <c r="Q76" s="45">
        <v>0</v>
      </c>
      <c r="R76" s="48"/>
      <c r="S76" s="45">
        <v>2088793</v>
      </c>
      <c r="T76" s="48"/>
      <c r="U76" s="45">
        <v>0</v>
      </c>
      <c r="V76" s="48"/>
      <c r="W76" s="48"/>
      <c r="X76" s="35"/>
      <c r="Z76" s="35"/>
      <c r="AA76" s="35"/>
      <c r="AB76" s="45">
        <v>181377</v>
      </c>
      <c r="AC76" s="65"/>
      <c r="AD76" s="45">
        <v>64402</v>
      </c>
      <c r="AE76" s="65"/>
      <c r="AF76" s="45">
        <v>0</v>
      </c>
      <c r="AG76" s="65"/>
      <c r="AH76" s="48">
        <f t="shared" si="4"/>
        <v>8717329</v>
      </c>
      <c r="AI76" s="48"/>
      <c r="AJ76" s="48">
        <v>0</v>
      </c>
      <c r="AK76" s="48"/>
      <c r="AL76" s="45">
        <v>659194</v>
      </c>
      <c r="AM76" s="45"/>
      <c r="AN76" s="45">
        <v>6521375</v>
      </c>
      <c r="AO76" s="45"/>
      <c r="AP76" s="45">
        <v>0</v>
      </c>
      <c r="AQ76" s="45"/>
      <c r="AR76" s="45">
        <f>+'GVFund Rev'!U76+'GVFund Rev'!W76-'GVFund Exp'!AH76-'GVFund Exp'!AL76+AJ76+AN76+AP76-'GV Fund BS'!S76</f>
        <v>0</v>
      </c>
      <c r="AS76" s="48"/>
    </row>
    <row r="77" spans="1:46" s="44" customFormat="1" ht="12.75" customHeight="1">
      <c r="A77" s="35" t="s">
        <v>98</v>
      </c>
      <c r="C77" s="35" t="s">
        <v>17</v>
      </c>
      <c r="E77" s="45">
        <v>7827802</v>
      </c>
      <c r="F77" s="48"/>
      <c r="G77" s="45">
        <v>22265064</v>
      </c>
      <c r="H77" s="48"/>
      <c r="I77" s="45">
        <v>1816212</v>
      </c>
      <c r="J77" s="48"/>
      <c r="K77" s="45">
        <v>2468764</v>
      </c>
      <c r="L77" s="48"/>
      <c r="M77" s="45">
        <v>1818997</v>
      </c>
      <c r="N77" s="48"/>
      <c r="O77" s="45">
        <v>2351151</v>
      </c>
      <c r="P77" s="48"/>
      <c r="Q77" s="45">
        <v>0</v>
      </c>
      <c r="R77" s="48"/>
      <c r="S77" s="45">
        <v>16097240</v>
      </c>
      <c r="T77" s="48"/>
      <c r="U77" s="45">
        <v>0</v>
      </c>
      <c r="V77" s="48"/>
      <c r="W77" s="48"/>
      <c r="X77" s="35"/>
      <c r="Z77" s="35"/>
      <c r="AA77" s="35"/>
      <c r="AB77" s="45">
        <v>1554183</v>
      </c>
      <c r="AC77" s="65"/>
      <c r="AD77" s="45">
        <v>1817666</v>
      </c>
      <c r="AE77" s="65"/>
      <c r="AF77" s="45">
        <v>0</v>
      </c>
      <c r="AG77" s="65"/>
      <c r="AH77" s="48">
        <f t="shared" si="4"/>
        <v>58017079</v>
      </c>
      <c r="AI77" s="48"/>
      <c r="AJ77" s="48">
        <v>0</v>
      </c>
      <c r="AK77" s="48"/>
      <c r="AL77" s="45">
        <v>803909</v>
      </c>
      <c r="AM77" s="45"/>
      <c r="AN77" s="45">
        <v>9707296</v>
      </c>
      <c r="AO77" s="45"/>
      <c r="AP77" s="45">
        <v>0</v>
      </c>
      <c r="AQ77" s="45"/>
      <c r="AR77" s="45">
        <f>+'GVFund Rev'!U77+'GVFund Rev'!W77-'GVFund Exp'!AH77-'GVFund Exp'!AL77+AJ77+AN77+AP77-'GV Fund BS'!S77</f>
        <v>0</v>
      </c>
      <c r="AS77" s="48"/>
    </row>
    <row r="78" spans="1:46" s="44" customFormat="1" ht="12.75" customHeight="1">
      <c r="A78" s="35" t="s">
        <v>99</v>
      </c>
      <c r="C78" s="35" t="s">
        <v>66</v>
      </c>
      <c r="E78" s="45">
        <v>1738149</v>
      </c>
      <c r="F78" s="48"/>
      <c r="G78" s="45">
        <v>4284772</v>
      </c>
      <c r="H78" s="48"/>
      <c r="I78" s="45">
        <v>684292</v>
      </c>
      <c r="J78" s="48"/>
      <c r="K78" s="45">
        <v>7790</v>
      </c>
      <c r="L78" s="48"/>
      <c r="M78" s="45">
        <v>2491694</v>
      </c>
      <c r="N78" s="48"/>
      <c r="O78" s="45">
        <v>142164</v>
      </c>
      <c r="P78" s="48"/>
      <c r="Q78" s="45">
        <v>0</v>
      </c>
      <c r="R78" s="48"/>
      <c r="S78" s="45">
        <v>1906142</v>
      </c>
      <c r="T78" s="48"/>
      <c r="U78" s="45">
        <v>0</v>
      </c>
      <c r="V78" s="48"/>
      <c r="W78" s="48"/>
      <c r="X78" s="35"/>
      <c r="Z78" s="35"/>
      <c r="AA78" s="35"/>
      <c r="AB78" s="45">
        <v>0</v>
      </c>
      <c r="AC78" s="65"/>
      <c r="AD78" s="45">
        <v>0</v>
      </c>
      <c r="AE78" s="65"/>
      <c r="AF78" s="45">
        <v>0</v>
      </c>
      <c r="AG78" s="65"/>
      <c r="AH78" s="48">
        <f t="shared" si="4"/>
        <v>11255003</v>
      </c>
      <c r="AI78" s="48"/>
      <c r="AJ78" s="48">
        <v>0</v>
      </c>
      <c r="AK78" s="48"/>
      <c r="AL78" s="45">
        <v>5394105</v>
      </c>
      <c r="AM78" s="45"/>
      <c r="AN78" s="45">
        <v>9797788</v>
      </c>
      <c r="AO78" s="45"/>
      <c r="AP78" s="45">
        <v>-23284</v>
      </c>
      <c r="AQ78" s="45"/>
      <c r="AR78" s="45">
        <f>+'GVFund Rev'!U78+'GVFund Rev'!W78-'GVFund Exp'!AH78-'GVFund Exp'!AL78+AJ78+AN78+AP78-'GV Fund BS'!S78</f>
        <v>0</v>
      </c>
      <c r="AS78" s="48"/>
    </row>
    <row r="79" spans="1:46" s="44" customFormat="1" ht="12.75" customHeight="1">
      <c r="A79" s="35" t="s">
        <v>100</v>
      </c>
      <c r="C79" s="35" t="s">
        <v>27</v>
      </c>
      <c r="E79" s="45">
        <v>13255819</v>
      </c>
      <c r="F79" s="48"/>
      <c r="G79" s="45">
        <v>22509419</v>
      </c>
      <c r="H79" s="48"/>
      <c r="I79" s="45">
        <v>3086159</v>
      </c>
      <c r="J79" s="48"/>
      <c r="K79" s="45">
        <v>260044</v>
      </c>
      <c r="L79" s="48"/>
      <c r="M79" s="45">
        <v>2585989</v>
      </c>
      <c r="N79" s="48"/>
      <c r="O79" s="45">
        <v>2143532</v>
      </c>
      <c r="P79" s="48"/>
      <c r="Q79" s="45">
        <v>2506683</v>
      </c>
      <c r="R79" s="48"/>
      <c r="S79" s="45">
        <v>5376523</v>
      </c>
      <c r="T79" s="48"/>
      <c r="U79" s="45">
        <v>0</v>
      </c>
      <c r="V79" s="48"/>
      <c r="W79" s="48"/>
      <c r="X79" s="35"/>
      <c r="Z79" s="35"/>
      <c r="AA79" s="35"/>
      <c r="AB79" s="45">
        <v>9590395</v>
      </c>
      <c r="AC79" s="65"/>
      <c r="AD79" s="45">
        <f>1492737+275697</f>
        <v>1768434</v>
      </c>
      <c r="AE79" s="65"/>
      <c r="AF79" s="45">
        <v>0</v>
      </c>
      <c r="AG79" s="65"/>
      <c r="AH79" s="48">
        <f t="shared" si="4"/>
        <v>63082997</v>
      </c>
      <c r="AI79" s="48"/>
      <c r="AJ79" s="48">
        <v>0</v>
      </c>
      <c r="AK79" s="48"/>
      <c r="AL79" s="45">
        <f>528000+3489389</f>
        <v>4017389</v>
      </c>
      <c r="AM79" s="45"/>
      <c r="AN79" s="45">
        <v>18832263</v>
      </c>
      <c r="AO79" s="45"/>
      <c r="AP79" s="45">
        <v>0</v>
      </c>
      <c r="AQ79" s="45"/>
      <c r="AR79" s="45">
        <f>+'GVFund Rev'!U79+'GVFund Rev'!W79-'GVFund Exp'!AH79-'GVFund Exp'!AL79+AJ79+AN79+AP79-'GV Fund BS'!S79</f>
        <v>0</v>
      </c>
      <c r="AS79" s="48"/>
    </row>
    <row r="80" spans="1:46" s="44" customFormat="1" ht="12.75" customHeight="1">
      <c r="A80" s="35" t="s">
        <v>101</v>
      </c>
      <c r="C80" s="35" t="s">
        <v>30</v>
      </c>
      <c r="E80" s="45">
        <v>6975727</v>
      </c>
      <c r="F80" s="48"/>
      <c r="G80" s="45">
        <v>12519358</v>
      </c>
      <c r="H80" s="48"/>
      <c r="I80" s="45">
        <v>915623</v>
      </c>
      <c r="J80" s="48"/>
      <c r="K80" s="45">
        <v>79775</v>
      </c>
      <c r="L80" s="48"/>
      <c r="M80" s="45">
        <v>1123628</v>
      </c>
      <c r="N80" s="48"/>
      <c r="O80" s="45">
        <v>206165</v>
      </c>
      <c r="P80" s="48"/>
      <c r="Q80" s="45">
        <v>0</v>
      </c>
      <c r="R80" s="48"/>
      <c r="S80" s="45">
        <v>4545832</v>
      </c>
      <c r="T80" s="48"/>
      <c r="U80" s="45">
        <v>0</v>
      </c>
      <c r="V80" s="48"/>
      <c r="W80" s="48"/>
      <c r="X80" s="35"/>
      <c r="Z80" s="35"/>
      <c r="AA80" s="35"/>
      <c r="AB80" s="45">
        <v>1540702</v>
      </c>
      <c r="AC80" s="65"/>
      <c r="AD80" s="45">
        <v>625846</v>
      </c>
      <c r="AE80" s="65"/>
      <c r="AF80" s="45">
        <v>0</v>
      </c>
      <c r="AG80" s="65"/>
      <c r="AH80" s="48">
        <f t="shared" si="4"/>
        <v>28532656</v>
      </c>
      <c r="AI80" s="48"/>
      <c r="AJ80" s="48">
        <v>0</v>
      </c>
      <c r="AK80" s="48"/>
      <c r="AL80" s="45">
        <v>4839170</v>
      </c>
      <c r="AM80" s="45"/>
      <c r="AN80" s="45">
        <v>8271442</v>
      </c>
      <c r="AO80" s="45"/>
      <c r="AP80" s="45">
        <v>0</v>
      </c>
      <c r="AQ80" s="45"/>
      <c r="AR80" s="45">
        <f>+'GVFund Rev'!U80+'GVFund Rev'!W80-'GVFund Exp'!AH80-'GVFund Exp'!AL80+AJ80+AN80+AP80-'GV Fund BS'!S80</f>
        <v>0</v>
      </c>
      <c r="AS80" s="48"/>
    </row>
    <row r="81" spans="1:45" s="44" customFormat="1" ht="12.75" customHeight="1">
      <c r="A81" s="35" t="s">
        <v>102</v>
      </c>
      <c r="C81" s="35" t="s">
        <v>103</v>
      </c>
      <c r="E81" s="45">
        <v>7302449</v>
      </c>
      <c r="F81" s="48"/>
      <c r="G81" s="45">
        <v>14932090</v>
      </c>
      <c r="H81" s="48"/>
      <c r="I81" s="45">
        <v>1588348</v>
      </c>
      <c r="J81" s="48"/>
      <c r="K81" s="45">
        <v>23457</v>
      </c>
      <c r="L81" s="48"/>
      <c r="M81" s="45">
        <v>8260640</v>
      </c>
      <c r="N81" s="48"/>
      <c r="O81" s="45">
        <v>2449825</v>
      </c>
      <c r="P81" s="48"/>
      <c r="Q81" s="45">
        <v>453750</v>
      </c>
      <c r="R81" s="48"/>
      <c r="S81" s="45">
        <v>2368797</v>
      </c>
      <c r="T81" s="48"/>
      <c r="U81" s="45">
        <v>0</v>
      </c>
      <c r="V81" s="48"/>
      <c r="W81" s="48"/>
      <c r="X81" s="35"/>
      <c r="Z81" s="35"/>
      <c r="AA81" s="35"/>
      <c r="AB81" s="45">
        <v>870000</v>
      </c>
      <c r="AC81" s="65"/>
      <c r="AD81" s="45">
        <v>855696</v>
      </c>
      <c r="AE81" s="65"/>
      <c r="AF81" s="45">
        <v>0</v>
      </c>
      <c r="AG81" s="65"/>
      <c r="AH81" s="48">
        <f t="shared" ref="AH81:AH97" si="5">SUM(E81:AF81)</f>
        <v>39105052</v>
      </c>
      <c r="AI81" s="48"/>
      <c r="AJ81" s="48">
        <v>0</v>
      </c>
      <c r="AK81" s="48"/>
      <c r="AL81" s="45">
        <v>7402490</v>
      </c>
      <c r="AM81" s="45"/>
      <c r="AN81" s="45">
        <v>21297397</v>
      </c>
      <c r="AO81" s="45"/>
      <c r="AP81" s="45">
        <v>0</v>
      </c>
      <c r="AQ81" s="45"/>
      <c r="AR81" s="45">
        <f>+'GVFund Rev'!U81+'GVFund Rev'!W81-'GVFund Exp'!AH81-'GVFund Exp'!AL81+AJ81+AN81+AP81-'GV Fund BS'!S81</f>
        <v>0</v>
      </c>
      <c r="AS81" s="48"/>
    </row>
    <row r="82" spans="1:45" s="44" customFormat="1" ht="12.75" customHeight="1">
      <c r="A82" s="35" t="s">
        <v>104</v>
      </c>
      <c r="C82" s="35" t="s">
        <v>13</v>
      </c>
      <c r="E82" s="45">
        <v>2738208</v>
      </c>
      <c r="F82" s="48"/>
      <c r="G82" s="45">
        <v>6291609</v>
      </c>
      <c r="H82" s="48"/>
      <c r="I82" s="45">
        <v>61304</v>
      </c>
      <c r="J82" s="48"/>
      <c r="K82" s="45">
        <v>113303</v>
      </c>
      <c r="L82" s="48"/>
      <c r="M82" s="45">
        <v>2152725</v>
      </c>
      <c r="N82" s="48"/>
      <c r="O82" s="45">
        <v>346078</v>
      </c>
      <c r="P82" s="48"/>
      <c r="Q82" s="45">
        <v>297824</v>
      </c>
      <c r="R82" s="48"/>
      <c r="S82" s="45">
        <v>2265918</v>
      </c>
      <c r="T82" s="48"/>
      <c r="U82" s="45">
        <v>0</v>
      </c>
      <c r="V82" s="48"/>
      <c r="W82" s="48"/>
      <c r="X82" s="35"/>
      <c r="Z82" s="35"/>
      <c r="AA82" s="35"/>
      <c r="AB82" s="45">
        <v>785864</v>
      </c>
      <c r="AC82" s="65"/>
      <c r="AD82" s="45">
        <v>428878</v>
      </c>
      <c r="AE82" s="65"/>
      <c r="AF82" s="45">
        <v>0</v>
      </c>
      <c r="AG82" s="65"/>
      <c r="AH82" s="48">
        <f t="shared" si="5"/>
        <v>15481711</v>
      </c>
      <c r="AI82" s="48"/>
      <c r="AJ82" s="48">
        <v>0</v>
      </c>
      <c r="AK82" s="48"/>
      <c r="AL82" s="45">
        <v>301340</v>
      </c>
      <c r="AM82" s="45"/>
      <c r="AN82" s="45">
        <v>13045219</v>
      </c>
      <c r="AO82" s="45"/>
      <c r="AP82" s="45">
        <v>70110</v>
      </c>
      <c r="AQ82" s="45"/>
      <c r="AR82" s="45">
        <f>+'GVFund Rev'!U82+'GVFund Rev'!W82-'GVFund Exp'!AH82-'GVFund Exp'!AL82+AJ82+AN82+AP82-'GV Fund BS'!S82</f>
        <v>0</v>
      </c>
      <c r="AS82" s="48"/>
    </row>
    <row r="83" spans="1:45" s="44" customFormat="1" ht="12.75" customHeight="1">
      <c r="A83" s="35" t="s">
        <v>105</v>
      </c>
      <c r="C83" s="35" t="s">
        <v>27</v>
      </c>
      <c r="E83" s="45">
        <v>1601797</v>
      </c>
      <c r="F83" s="48"/>
      <c r="G83" s="45">
        <v>7204896</v>
      </c>
      <c r="H83" s="48"/>
      <c r="I83" s="45">
        <v>292079</v>
      </c>
      <c r="J83" s="48"/>
      <c r="K83" s="45">
        <v>2785</v>
      </c>
      <c r="L83" s="48"/>
      <c r="M83" s="45">
        <v>1266940</v>
      </c>
      <c r="N83" s="48"/>
      <c r="O83" s="45">
        <v>3236875</v>
      </c>
      <c r="P83" s="48"/>
      <c r="Q83" s="45">
        <v>1104354</v>
      </c>
      <c r="R83" s="48"/>
      <c r="S83" s="45">
        <v>4578231</v>
      </c>
      <c r="T83" s="48"/>
      <c r="U83" s="45">
        <v>0</v>
      </c>
      <c r="V83" s="48"/>
      <c r="W83" s="48"/>
      <c r="X83" s="35"/>
      <c r="Z83" s="35"/>
      <c r="AA83" s="35"/>
      <c r="AB83" s="45">
        <v>718981</v>
      </c>
      <c r="AC83" s="65"/>
      <c r="AD83" s="45">
        <v>1186756</v>
      </c>
      <c r="AE83" s="65"/>
      <c r="AF83" s="45">
        <v>0</v>
      </c>
      <c r="AG83" s="65"/>
      <c r="AH83" s="48">
        <f t="shared" si="5"/>
        <v>21193694</v>
      </c>
      <c r="AI83" s="48"/>
      <c r="AJ83" s="48">
        <v>0</v>
      </c>
      <c r="AK83" s="48"/>
      <c r="AL83" s="45">
        <v>1064923</v>
      </c>
      <c r="AM83" s="45"/>
      <c r="AN83" s="45">
        <v>10363253</v>
      </c>
      <c r="AO83" s="45"/>
      <c r="AP83" s="45">
        <v>0</v>
      </c>
      <c r="AQ83" s="45"/>
      <c r="AR83" s="45">
        <f>+'GVFund Rev'!U83+'GVFund Rev'!W83-'GVFund Exp'!AH83-'GVFund Exp'!AL83+AJ83+AN83+AP83-'GV Fund BS'!S83</f>
        <v>0</v>
      </c>
      <c r="AS83" s="48"/>
    </row>
    <row r="84" spans="1:45" s="44" customFormat="1" ht="12.75" customHeight="1">
      <c r="A84" s="35" t="s">
        <v>106</v>
      </c>
      <c r="C84" s="35" t="s">
        <v>107</v>
      </c>
      <c r="E84" s="45">
        <v>7383581</v>
      </c>
      <c r="F84" s="48"/>
      <c r="G84" s="45">
        <v>14470422</v>
      </c>
      <c r="H84" s="48"/>
      <c r="I84" s="45">
        <v>0</v>
      </c>
      <c r="J84" s="48"/>
      <c r="K84" s="45">
        <v>1674062</v>
      </c>
      <c r="L84" s="48"/>
      <c r="M84" s="45">
        <v>2791562</v>
      </c>
      <c r="N84" s="48"/>
      <c r="O84" s="45">
        <v>1871879</v>
      </c>
      <c r="P84" s="48"/>
      <c r="Q84" s="45">
        <v>587</v>
      </c>
      <c r="R84" s="48"/>
      <c r="S84" s="45">
        <v>6909430</v>
      </c>
      <c r="T84" s="48"/>
      <c r="U84" s="45">
        <v>0</v>
      </c>
      <c r="V84" s="48"/>
      <c r="W84" s="48"/>
      <c r="X84" s="35"/>
      <c r="Z84" s="35"/>
      <c r="AA84" s="35"/>
      <c r="AB84" s="45">
        <v>428703</v>
      </c>
      <c r="AC84" s="65"/>
      <c r="AD84" s="45">
        <f>363261+123063+11168</f>
        <v>497492</v>
      </c>
      <c r="AE84" s="65"/>
      <c r="AF84" s="45">
        <v>0</v>
      </c>
      <c r="AG84" s="65"/>
      <c r="AH84" s="48">
        <f t="shared" si="5"/>
        <v>36027718</v>
      </c>
      <c r="AI84" s="48"/>
      <c r="AJ84" s="48">
        <v>0</v>
      </c>
      <c r="AK84" s="48"/>
      <c r="AL84" s="45">
        <f>46937+18964172</f>
        <v>19011109</v>
      </c>
      <c r="AM84" s="45"/>
      <c r="AN84" s="45">
        <v>11367642</v>
      </c>
      <c r="AO84" s="45"/>
      <c r="AP84" s="45">
        <f>114983+1044</f>
        <v>116027</v>
      </c>
      <c r="AQ84" s="45"/>
      <c r="AR84" s="45">
        <f>+'GVFund Rev'!U84+'GVFund Rev'!W84-'GVFund Exp'!AH84-'GVFund Exp'!AL84+AJ84+AN84+AP84-'GV Fund BS'!S84</f>
        <v>0</v>
      </c>
      <c r="AS84" s="48"/>
    </row>
    <row r="85" spans="1:45" s="44" customFormat="1" ht="12.75" customHeight="1">
      <c r="A85" s="35" t="s">
        <v>108</v>
      </c>
      <c r="C85" s="35" t="s">
        <v>45</v>
      </c>
      <c r="E85" s="45">
        <v>3600285</v>
      </c>
      <c r="F85" s="48"/>
      <c r="G85" s="45">
        <v>8943639</v>
      </c>
      <c r="H85" s="48"/>
      <c r="I85" s="45">
        <v>928147</v>
      </c>
      <c r="J85" s="48"/>
      <c r="K85" s="45">
        <v>21775</v>
      </c>
      <c r="L85" s="48"/>
      <c r="M85" s="45">
        <v>0</v>
      </c>
      <c r="N85" s="48"/>
      <c r="O85" s="45">
        <v>374455</v>
      </c>
      <c r="P85" s="48"/>
      <c r="Q85" s="45">
        <v>2494290</v>
      </c>
      <c r="R85" s="48"/>
      <c r="S85" s="45">
        <v>882847</v>
      </c>
      <c r="T85" s="48"/>
      <c r="U85" s="45">
        <v>0</v>
      </c>
      <c r="V85" s="48"/>
      <c r="W85" s="48"/>
      <c r="X85" s="35"/>
      <c r="Z85" s="35"/>
      <c r="AA85" s="35"/>
      <c r="AB85" s="45">
        <v>408365</v>
      </c>
      <c r="AC85" s="65"/>
      <c r="AD85" s="45">
        <v>261660</v>
      </c>
      <c r="AE85" s="65"/>
      <c r="AF85" s="45">
        <v>0</v>
      </c>
      <c r="AG85" s="65"/>
      <c r="AH85" s="48">
        <f t="shared" si="5"/>
        <v>17915463</v>
      </c>
      <c r="AI85" s="48"/>
      <c r="AJ85" s="48">
        <v>0</v>
      </c>
      <c r="AK85" s="48"/>
      <c r="AL85" s="45">
        <v>846697</v>
      </c>
      <c r="AM85" s="45"/>
      <c r="AN85" s="45">
        <v>7537965</v>
      </c>
      <c r="AO85" s="45"/>
      <c r="AP85" s="45">
        <v>0</v>
      </c>
      <c r="AQ85" s="45"/>
      <c r="AR85" s="45">
        <f>+'GVFund Rev'!U85+'GVFund Rev'!W85-'GVFund Exp'!AH85-'GVFund Exp'!AL85+AJ85+AN85+AP85-'GV Fund BS'!S85</f>
        <v>0</v>
      </c>
      <c r="AS85" s="48"/>
    </row>
    <row r="86" spans="1:45" s="44" customFormat="1" ht="12.75" customHeight="1">
      <c r="A86" s="35" t="s">
        <v>109</v>
      </c>
      <c r="C86" s="35" t="s">
        <v>110</v>
      </c>
      <c r="E86" s="45">
        <v>1913371</v>
      </c>
      <c r="F86" s="48"/>
      <c r="G86" s="45">
        <v>5512002</v>
      </c>
      <c r="H86" s="48"/>
      <c r="I86" s="45">
        <v>456620</v>
      </c>
      <c r="J86" s="48"/>
      <c r="K86" s="45">
        <v>311466</v>
      </c>
      <c r="L86" s="48"/>
      <c r="M86" s="45">
        <v>1339881</v>
      </c>
      <c r="N86" s="48"/>
      <c r="O86" s="45">
        <v>203995</v>
      </c>
      <c r="P86" s="48"/>
      <c r="Q86" s="45">
        <v>320</v>
      </c>
      <c r="R86" s="48"/>
      <c r="S86" s="45">
        <v>1194528</v>
      </c>
      <c r="T86" s="48"/>
      <c r="U86" s="45">
        <v>0</v>
      </c>
      <c r="V86" s="48"/>
      <c r="W86" s="48"/>
      <c r="X86" s="35"/>
      <c r="Z86" s="35"/>
      <c r="AA86" s="35"/>
      <c r="AB86" s="45">
        <v>222172</v>
      </c>
      <c r="AC86" s="65"/>
      <c r="AD86" s="45">
        <v>37420</v>
      </c>
      <c r="AE86" s="65"/>
      <c r="AF86" s="45">
        <v>0</v>
      </c>
      <c r="AG86" s="65"/>
      <c r="AH86" s="48">
        <f t="shared" si="5"/>
        <v>11191775</v>
      </c>
      <c r="AI86" s="48"/>
      <c r="AJ86" s="48">
        <v>0</v>
      </c>
      <c r="AK86" s="48"/>
      <c r="AL86" s="45">
        <v>1085423</v>
      </c>
      <c r="AM86" s="45"/>
      <c r="AN86" s="45">
        <v>5865614</v>
      </c>
      <c r="AO86" s="45"/>
      <c r="AP86" s="45">
        <v>0</v>
      </c>
      <c r="AQ86" s="45"/>
      <c r="AR86" s="45">
        <f>+'GVFund Rev'!U86+'GVFund Rev'!W86-'GVFund Exp'!AH86-'GVFund Exp'!AL86+AJ86+AN86+AP86-'GV Fund BS'!S86</f>
        <v>0</v>
      </c>
      <c r="AS86" s="48"/>
    </row>
    <row r="87" spans="1:45" s="44" customFormat="1" ht="12.75" customHeight="1">
      <c r="A87" s="35" t="s">
        <v>43</v>
      </c>
      <c r="C87" s="35" t="s">
        <v>111</v>
      </c>
      <c r="E87" s="45">
        <v>2361988</v>
      </c>
      <c r="F87" s="48"/>
      <c r="G87" s="45">
        <f>3239455+1468150+139889+102802</f>
        <v>4950296</v>
      </c>
      <c r="H87" s="48"/>
      <c r="I87" s="45">
        <v>84517</v>
      </c>
      <c r="J87" s="48"/>
      <c r="K87" s="45">
        <v>59846</v>
      </c>
      <c r="L87" s="48"/>
      <c r="M87" s="45">
        <v>894171</v>
      </c>
      <c r="N87" s="48"/>
      <c r="O87" s="45">
        <v>299801</v>
      </c>
      <c r="P87" s="48"/>
      <c r="Q87" s="45">
        <v>0</v>
      </c>
      <c r="R87" s="48"/>
      <c r="S87" s="45">
        <v>2115784</v>
      </c>
      <c r="T87" s="48"/>
      <c r="U87" s="45">
        <v>0</v>
      </c>
      <c r="V87" s="48"/>
      <c r="W87" s="48"/>
      <c r="X87" s="35"/>
      <c r="Z87" s="35"/>
      <c r="AA87" s="35"/>
      <c r="AB87" s="45">
        <v>631369</v>
      </c>
      <c r="AC87" s="65"/>
      <c r="AD87" s="45">
        <f>548796+65000</f>
        <v>613796</v>
      </c>
      <c r="AE87" s="65"/>
      <c r="AF87" s="45">
        <v>0</v>
      </c>
      <c r="AG87" s="65"/>
      <c r="AH87" s="48">
        <f t="shared" si="5"/>
        <v>12011568</v>
      </c>
      <c r="AI87" s="48"/>
      <c r="AJ87" s="48">
        <v>0</v>
      </c>
      <c r="AK87" s="48"/>
      <c r="AL87" s="45">
        <f>710000+2299182</f>
        <v>3009182</v>
      </c>
      <c r="AM87" s="45"/>
      <c r="AN87" s="45">
        <v>3953273</v>
      </c>
      <c r="AO87" s="45"/>
      <c r="AP87" s="45">
        <v>0</v>
      </c>
      <c r="AQ87" s="45"/>
      <c r="AR87" s="45">
        <f>+'GVFund Rev'!U87+'GVFund Rev'!W87-'GVFund Exp'!AH87-'GVFund Exp'!AL87+AJ87+AN87+AP87-'GV Fund BS'!S87</f>
        <v>0</v>
      </c>
      <c r="AS87" s="48"/>
    </row>
    <row r="88" spans="1:45" s="44" customFormat="1" ht="12.75" customHeight="1">
      <c r="A88" s="35" t="s">
        <v>112</v>
      </c>
      <c r="C88" s="35" t="s">
        <v>76</v>
      </c>
      <c r="E88" s="45">
        <v>2285444</v>
      </c>
      <c r="F88" s="48"/>
      <c r="G88" s="45">
        <v>5788953</v>
      </c>
      <c r="H88" s="48"/>
      <c r="I88" s="45">
        <f>408060+409364</f>
        <v>817424</v>
      </c>
      <c r="J88" s="48"/>
      <c r="K88" s="45">
        <v>15114</v>
      </c>
      <c r="L88" s="48"/>
      <c r="M88" s="45">
        <v>799955</v>
      </c>
      <c r="N88" s="48"/>
      <c r="O88" s="45">
        <v>1748915</v>
      </c>
      <c r="P88" s="48"/>
      <c r="Q88" s="45">
        <v>1060</v>
      </c>
      <c r="R88" s="48"/>
      <c r="S88" s="45">
        <v>2150582</v>
      </c>
      <c r="T88" s="48"/>
      <c r="U88" s="45">
        <v>0</v>
      </c>
      <c r="V88" s="48"/>
      <c r="W88" s="48"/>
      <c r="X88" s="35"/>
      <c r="Z88" s="35"/>
      <c r="AA88" s="35"/>
      <c r="AB88" s="45">
        <v>230626</v>
      </c>
      <c r="AC88" s="65"/>
      <c r="AD88" s="45">
        <v>192220</v>
      </c>
      <c r="AE88" s="65"/>
      <c r="AF88" s="45">
        <v>0</v>
      </c>
      <c r="AG88" s="65"/>
      <c r="AH88" s="48">
        <f t="shared" si="5"/>
        <v>14030293</v>
      </c>
      <c r="AI88" s="48"/>
      <c r="AJ88" s="48">
        <v>0</v>
      </c>
      <c r="AK88" s="48"/>
      <c r="AL88" s="45">
        <v>7925000</v>
      </c>
      <c r="AM88" s="45"/>
      <c r="AN88" s="45">
        <v>13513792</v>
      </c>
      <c r="AO88" s="45"/>
      <c r="AP88" s="45">
        <v>0</v>
      </c>
      <c r="AQ88" s="45"/>
      <c r="AR88" s="45">
        <f>+'GVFund Rev'!U88+'GVFund Rev'!W88-'GVFund Exp'!AH88-'GVFund Exp'!AL88+AJ88+AN88+AP88-'GV Fund BS'!S88</f>
        <v>0</v>
      </c>
      <c r="AS88" s="48"/>
    </row>
    <row r="89" spans="1:45" s="44" customFormat="1" ht="12.75" customHeight="1">
      <c r="A89" s="35" t="s">
        <v>113</v>
      </c>
      <c r="C89" s="35" t="s">
        <v>43</v>
      </c>
      <c r="E89" s="45">
        <v>3859207</v>
      </c>
      <c r="F89" s="45"/>
      <c r="G89" s="45">
        <v>8384841</v>
      </c>
      <c r="H89" s="45"/>
      <c r="I89" s="45">
        <v>3928308</v>
      </c>
      <c r="J89" s="45"/>
      <c r="K89" s="45">
        <v>181060</v>
      </c>
      <c r="L89" s="45"/>
      <c r="M89" s="45">
        <v>2405665</v>
      </c>
      <c r="N89" s="45"/>
      <c r="O89" s="45">
        <v>2691317</v>
      </c>
      <c r="P89" s="45"/>
      <c r="Q89" s="45">
        <v>1691119</v>
      </c>
      <c r="R89" s="45"/>
      <c r="S89" s="45">
        <v>12524845</v>
      </c>
      <c r="T89" s="45"/>
      <c r="U89" s="45">
        <v>0</v>
      </c>
      <c r="V89" s="45"/>
      <c r="W89" s="45"/>
      <c r="X89" s="45"/>
      <c r="Y89" s="45"/>
      <c r="AB89" s="45">
        <v>1222926</v>
      </c>
      <c r="AC89" s="65"/>
      <c r="AD89" s="45">
        <v>982484</v>
      </c>
      <c r="AE89" s="65"/>
      <c r="AF89" s="45">
        <v>0</v>
      </c>
      <c r="AG89" s="65"/>
      <c r="AH89" s="48">
        <f t="shared" si="5"/>
        <v>37871772</v>
      </c>
      <c r="AI89" s="48"/>
      <c r="AJ89" s="48">
        <v>0</v>
      </c>
      <c r="AK89" s="48"/>
      <c r="AL89" s="45">
        <v>3399331</v>
      </c>
      <c r="AM89" s="45"/>
      <c r="AN89" s="45">
        <v>43842333</v>
      </c>
      <c r="AO89" s="45"/>
      <c r="AP89" s="45">
        <v>0</v>
      </c>
      <c r="AQ89" s="45"/>
      <c r="AR89" s="45">
        <f>+'GVFund Rev'!U89+'GVFund Rev'!W89-'GVFund Exp'!AH89-'GVFund Exp'!AL89+AJ89+AN89+AP89-'GV Fund BS'!S89</f>
        <v>0</v>
      </c>
      <c r="AS89" s="48"/>
    </row>
    <row r="90" spans="1:45" s="44" customFormat="1" ht="12.75" customHeight="1">
      <c r="A90" s="35" t="s">
        <v>489</v>
      </c>
      <c r="C90" s="35" t="s">
        <v>57</v>
      </c>
      <c r="E90" s="45">
        <v>1512276</v>
      </c>
      <c r="F90" s="48"/>
      <c r="G90" s="45">
        <f>1738814+1640590</f>
        <v>3379404</v>
      </c>
      <c r="H90" s="48"/>
      <c r="I90" s="45">
        <v>257184</v>
      </c>
      <c r="J90" s="48"/>
      <c r="K90" s="45">
        <v>419421</v>
      </c>
      <c r="L90" s="48"/>
      <c r="M90" s="45">
        <v>2620273</v>
      </c>
      <c r="N90" s="48"/>
      <c r="O90" s="45">
        <v>393626</v>
      </c>
      <c r="P90" s="48"/>
      <c r="Q90" s="45">
        <v>0</v>
      </c>
      <c r="R90" s="48"/>
      <c r="S90" s="45">
        <v>0</v>
      </c>
      <c r="T90" s="48"/>
      <c r="U90" s="45">
        <v>0</v>
      </c>
      <c r="V90" s="48"/>
      <c r="W90" s="48"/>
      <c r="X90" s="35"/>
      <c r="Z90" s="35"/>
      <c r="AA90" s="35"/>
      <c r="AB90" s="45">
        <v>466240</v>
      </c>
      <c r="AC90" s="65"/>
      <c r="AD90" s="45">
        <v>189885</v>
      </c>
      <c r="AE90" s="65"/>
      <c r="AF90" s="45">
        <v>0</v>
      </c>
      <c r="AG90" s="65"/>
      <c r="AH90" s="48">
        <f>SUM(E90:AF90)</f>
        <v>9238309</v>
      </c>
      <c r="AI90" s="48"/>
      <c r="AJ90" s="48">
        <v>0</v>
      </c>
      <c r="AK90" s="48"/>
      <c r="AL90" s="45">
        <v>1078801</v>
      </c>
      <c r="AM90" s="45"/>
      <c r="AN90" s="45">
        <v>3069440</v>
      </c>
      <c r="AO90" s="45"/>
      <c r="AP90" s="45">
        <v>0</v>
      </c>
      <c r="AQ90" s="45"/>
      <c r="AR90" s="45">
        <f>+'GVFund Rev'!U90+'GVFund Rev'!W90-'GVFund Exp'!AH90-'GVFund Exp'!AL90+AJ90+AN90+AP90-'GV Fund BS'!S90</f>
        <v>0</v>
      </c>
      <c r="AS90" s="48"/>
    </row>
    <row r="91" spans="1:45" s="44" customFormat="1" ht="12.75" customHeight="1">
      <c r="A91" s="35" t="s">
        <v>114</v>
      </c>
      <c r="C91" s="35" t="s">
        <v>27</v>
      </c>
      <c r="E91" s="45">
        <v>8323247</v>
      </c>
      <c r="F91" s="48"/>
      <c r="G91" s="45">
        <v>11719680</v>
      </c>
      <c r="H91" s="48"/>
      <c r="I91" s="45">
        <v>164295</v>
      </c>
      <c r="J91" s="48"/>
      <c r="K91" s="45">
        <v>765416</v>
      </c>
      <c r="L91" s="48"/>
      <c r="M91" s="45">
        <v>1959972</v>
      </c>
      <c r="N91" s="48"/>
      <c r="O91" s="45">
        <v>1057799</v>
      </c>
      <c r="P91" s="48"/>
      <c r="Q91" s="45">
        <v>2191055</v>
      </c>
      <c r="R91" s="48"/>
      <c r="S91" s="45">
        <v>2869892</v>
      </c>
      <c r="T91" s="48"/>
      <c r="U91" s="45">
        <v>0</v>
      </c>
      <c r="V91" s="48"/>
      <c r="W91" s="48"/>
      <c r="X91" s="35"/>
      <c r="Z91" s="35"/>
      <c r="AA91" s="35"/>
      <c r="AB91" s="45">
        <v>7415771</v>
      </c>
      <c r="AC91" s="65"/>
      <c r="AD91" s="45">
        <v>1608604</v>
      </c>
      <c r="AE91" s="65"/>
      <c r="AF91" s="45">
        <v>0</v>
      </c>
      <c r="AG91" s="65"/>
      <c r="AH91" s="48">
        <f>SUM(E91:AF91)</f>
        <v>38075731</v>
      </c>
      <c r="AI91" s="48"/>
      <c r="AJ91" s="48">
        <v>0</v>
      </c>
      <c r="AK91" s="48"/>
      <c r="AL91" s="45">
        <v>2700590</v>
      </c>
      <c r="AM91" s="45"/>
      <c r="AN91" s="45">
        <v>-2544535</v>
      </c>
      <c r="AO91" s="45"/>
      <c r="AP91" s="45">
        <v>0</v>
      </c>
      <c r="AQ91" s="45"/>
      <c r="AR91" s="45">
        <f>+'GVFund Rev'!U91+'GVFund Rev'!W91-'GVFund Exp'!AH91-'GVFund Exp'!AL91+AJ91+AN91+AP91-'GV Fund BS'!S91</f>
        <v>0</v>
      </c>
      <c r="AS91" s="48"/>
    </row>
    <row r="92" spans="1:45" s="44" customFormat="1" ht="12.75" customHeight="1">
      <c r="A92" s="35" t="s">
        <v>115</v>
      </c>
      <c r="C92" s="35" t="s">
        <v>19</v>
      </c>
      <c r="E92" s="45">
        <v>747620</v>
      </c>
      <c r="F92" s="48"/>
      <c r="G92" s="45">
        <v>2068287</v>
      </c>
      <c r="H92" s="48"/>
      <c r="I92" s="45">
        <v>512910</v>
      </c>
      <c r="J92" s="48"/>
      <c r="K92" s="45">
        <v>0</v>
      </c>
      <c r="L92" s="48"/>
      <c r="M92" s="45">
        <v>695219</v>
      </c>
      <c r="N92" s="48"/>
      <c r="O92" s="45">
        <v>162464</v>
      </c>
      <c r="P92" s="48"/>
      <c r="Q92" s="45">
        <v>0</v>
      </c>
      <c r="R92" s="48"/>
      <c r="S92" s="45">
        <v>579917</v>
      </c>
      <c r="T92" s="48"/>
      <c r="U92" s="45">
        <v>0</v>
      </c>
      <c r="V92" s="48"/>
      <c r="W92" s="48"/>
      <c r="X92" s="35"/>
      <c r="Z92" s="35"/>
      <c r="AA92" s="35"/>
      <c r="AB92" s="45">
        <v>398454</v>
      </c>
      <c r="AC92" s="65"/>
      <c r="AD92" s="45">
        <v>127655</v>
      </c>
      <c r="AE92" s="65"/>
      <c r="AF92" s="45">
        <v>0</v>
      </c>
      <c r="AG92" s="65"/>
      <c r="AH92" s="48">
        <f t="shared" si="5"/>
        <v>5292526</v>
      </c>
      <c r="AI92" s="48"/>
      <c r="AJ92" s="48">
        <v>0</v>
      </c>
      <c r="AK92" s="48"/>
      <c r="AL92" s="45">
        <v>1418319</v>
      </c>
      <c r="AM92" s="45"/>
      <c r="AN92" s="45">
        <v>1911556</v>
      </c>
      <c r="AO92" s="45"/>
      <c r="AP92" s="45">
        <v>0</v>
      </c>
      <c r="AQ92" s="45"/>
      <c r="AR92" s="45">
        <f>+'GVFund Rev'!U92+'GVFund Rev'!W92-'GVFund Exp'!AH92-'GVFund Exp'!AL92+AJ92+AN92+AP92-'GV Fund BS'!S92</f>
        <v>0</v>
      </c>
      <c r="AS92" s="48"/>
    </row>
    <row r="93" spans="1:45" s="44" customFormat="1" ht="12.75" customHeight="1">
      <c r="A93" s="35" t="s">
        <v>116</v>
      </c>
      <c r="C93" s="35" t="s">
        <v>80</v>
      </c>
      <c r="E93" s="45">
        <v>3005115</v>
      </c>
      <c r="F93" s="48"/>
      <c r="G93" s="45">
        <v>2991695</v>
      </c>
      <c r="H93" s="48"/>
      <c r="I93" s="45">
        <v>421441</v>
      </c>
      <c r="J93" s="48"/>
      <c r="K93" s="45">
        <v>153716</v>
      </c>
      <c r="L93" s="48"/>
      <c r="M93" s="45">
        <v>1243576</v>
      </c>
      <c r="N93" s="48"/>
      <c r="O93" s="45">
        <v>279551</v>
      </c>
      <c r="P93" s="48"/>
      <c r="Q93" s="45">
        <v>454602</v>
      </c>
      <c r="R93" s="48"/>
      <c r="S93" s="45">
        <v>542146</v>
      </c>
      <c r="T93" s="48"/>
      <c r="U93" s="45">
        <v>0</v>
      </c>
      <c r="V93" s="48"/>
      <c r="W93" s="48"/>
      <c r="X93" s="35"/>
      <c r="Z93" s="35"/>
      <c r="AA93" s="35"/>
      <c r="AB93" s="45">
        <v>304682</v>
      </c>
      <c r="AC93" s="65"/>
      <c r="AD93" s="45">
        <v>228775</v>
      </c>
      <c r="AE93" s="65"/>
      <c r="AF93" s="45">
        <v>0</v>
      </c>
      <c r="AG93" s="65"/>
      <c r="AH93" s="48">
        <f t="shared" si="5"/>
        <v>9625299</v>
      </c>
      <c r="AI93" s="48"/>
      <c r="AJ93" s="48">
        <v>0</v>
      </c>
      <c r="AK93" s="48"/>
      <c r="AL93" s="45">
        <v>344628</v>
      </c>
      <c r="AM93" s="45"/>
      <c r="AN93" s="45">
        <v>1996996</v>
      </c>
      <c r="AO93" s="45"/>
      <c r="AP93" s="45">
        <v>0</v>
      </c>
      <c r="AQ93" s="45"/>
      <c r="AR93" s="45">
        <f>+'GVFund Rev'!U93+'GVFund Rev'!W93-'GVFund Exp'!AH93-'GVFund Exp'!AL93+AJ93+AN93+AP93-'GV Fund BS'!S93</f>
        <v>0</v>
      </c>
      <c r="AS93" s="48"/>
    </row>
    <row r="94" spans="1:45" s="44" customFormat="1" ht="12.75" customHeight="1">
      <c r="A94" s="44" t="s">
        <v>117</v>
      </c>
      <c r="C94" s="35" t="s">
        <v>43</v>
      </c>
      <c r="E94" s="45">
        <v>2161482</v>
      </c>
      <c r="F94" s="48"/>
      <c r="G94" s="45">
        <v>4146435</v>
      </c>
      <c r="H94" s="48"/>
      <c r="I94" s="45">
        <v>0</v>
      </c>
      <c r="J94" s="48"/>
      <c r="K94" s="45">
        <v>36822</v>
      </c>
      <c r="L94" s="48"/>
      <c r="M94" s="45">
        <v>1290263</v>
      </c>
      <c r="N94" s="48"/>
      <c r="O94" s="45">
        <v>685713</v>
      </c>
      <c r="P94" s="48"/>
      <c r="Q94" s="45">
        <v>107706</v>
      </c>
      <c r="R94" s="48"/>
      <c r="S94" s="45">
        <v>1248791</v>
      </c>
      <c r="T94" s="48"/>
      <c r="U94" s="45">
        <v>0</v>
      </c>
      <c r="V94" s="48"/>
      <c r="W94" s="48"/>
      <c r="X94" s="35"/>
      <c r="Z94" s="35"/>
      <c r="AA94" s="35"/>
      <c r="AB94" s="45">
        <v>124588</v>
      </c>
      <c r="AC94" s="65"/>
      <c r="AD94" s="45">
        <v>23601</v>
      </c>
      <c r="AE94" s="65"/>
      <c r="AF94" s="45">
        <v>0</v>
      </c>
      <c r="AG94" s="65"/>
      <c r="AH94" s="48">
        <f t="shared" si="5"/>
        <v>9825401</v>
      </c>
      <c r="AI94" s="48"/>
      <c r="AJ94" s="48">
        <v>0</v>
      </c>
      <c r="AK94" s="48"/>
      <c r="AL94" s="45">
        <v>556121</v>
      </c>
      <c r="AM94" s="45"/>
      <c r="AN94" s="45">
        <v>4264823</v>
      </c>
      <c r="AO94" s="45"/>
      <c r="AP94" s="45">
        <v>0</v>
      </c>
      <c r="AQ94" s="45"/>
      <c r="AR94" s="45">
        <f>+'GVFund Rev'!U94+'GVFund Rev'!W94-'GVFund Exp'!AH94-'GVFund Exp'!AL94+AJ94+AN94+AP94-'GV Fund BS'!S94</f>
        <v>0</v>
      </c>
      <c r="AS94" s="48"/>
    </row>
    <row r="95" spans="1:45" s="44" customFormat="1" ht="12.75" customHeight="1">
      <c r="A95" s="64" t="s">
        <v>118</v>
      </c>
      <c r="B95" s="46"/>
      <c r="C95" s="64" t="s">
        <v>13</v>
      </c>
      <c r="D95" s="46"/>
      <c r="E95" s="45">
        <v>7967027</v>
      </c>
      <c r="F95" s="48"/>
      <c r="G95" s="45">
        <v>7919897</v>
      </c>
      <c r="H95" s="48"/>
      <c r="I95" s="45">
        <v>668532</v>
      </c>
      <c r="J95" s="48"/>
      <c r="K95" s="45">
        <v>243643</v>
      </c>
      <c r="L95" s="48"/>
      <c r="M95" s="45">
        <v>6854987</v>
      </c>
      <c r="N95" s="48"/>
      <c r="O95" s="45">
        <v>726313</v>
      </c>
      <c r="P95" s="48"/>
      <c r="Q95" s="45">
        <v>0</v>
      </c>
      <c r="R95" s="48"/>
      <c r="S95" s="45">
        <v>8591064</v>
      </c>
      <c r="T95" s="48"/>
      <c r="U95" s="45">
        <v>0</v>
      </c>
      <c r="V95" s="48"/>
      <c r="W95" s="48"/>
      <c r="X95" s="35"/>
      <c r="Z95" s="35"/>
      <c r="AA95" s="35"/>
      <c r="AB95" s="45">
        <v>15137000</v>
      </c>
      <c r="AC95" s="65"/>
      <c r="AD95" s="45">
        <v>2165668</v>
      </c>
      <c r="AE95" s="65"/>
      <c r="AF95" s="45">
        <v>0</v>
      </c>
      <c r="AG95" s="65"/>
      <c r="AH95" s="48">
        <f t="shared" si="5"/>
        <v>50274131</v>
      </c>
      <c r="AI95" s="48"/>
      <c r="AJ95" s="48">
        <v>0</v>
      </c>
      <c r="AK95" s="48"/>
      <c r="AL95" s="45">
        <v>8896500</v>
      </c>
      <c r="AM95" s="45"/>
      <c r="AN95" s="45">
        <v>37831463</v>
      </c>
      <c r="AO95" s="45"/>
      <c r="AP95" s="45">
        <v>0</v>
      </c>
      <c r="AQ95" s="45"/>
      <c r="AR95" s="45">
        <f>+'GVFund Rev'!U95+'GVFund Rev'!W95-'GVFund Exp'!AH95-'GVFund Exp'!AL95+AJ95+AN95+AP95-'GV Fund BS'!S95</f>
        <v>0</v>
      </c>
      <c r="AS95" s="48"/>
    </row>
    <row r="96" spans="1:45" s="44" customFormat="1" ht="12.75" customHeight="1">
      <c r="A96" s="35" t="s">
        <v>120</v>
      </c>
      <c r="C96" s="35" t="s">
        <v>121</v>
      </c>
      <c r="E96" s="45">
        <v>2210837</v>
      </c>
      <c r="F96" s="48"/>
      <c r="G96" s="45">
        <v>4530947</v>
      </c>
      <c r="H96" s="48"/>
      <c r="I96" s="45">
        <v>1645856</v>
      </c>
      <c r="J96" s="48"/>
      <c r="K96" s="45">
        <v>74322</v>
      </c>
      <c r="L96" s="48"/>
      <c r="M96" s="45">
        <v>2057368</v>
      </c>
      <c r="N96" s="48"/>
      <c r="O96" s="45">
        <v>578178</v>
      </c>
      <c r="P96" s="48"/>
      <c r="Q96" s="45">
        <v>249121</v>
      </c>
      <c r="R96" s="48"/>
      <c r="S96" s="45">
        <v>1317489</v>
      </c>
      <c r="T96" s="48"/>
      <c r="U96" s="45">
        <v>0</v>
      </c>
      <c r="V96" s="48"/>
      <c r="W96" s="48"/>
      <c r="X96" s="35"/>
      <c r="Z96" s="35"/>
      <c r="AA96" s="35"/>
      <c r="AB96" s="45">
        <v>358936</v>
      </c>
      <c r="AC96" s="65"/>
      <c r="AD96" s="45">
        <v>162727</v>
      </c>
      <c r="AE96" s="65"/>
      <c r="AF96" s="45">
        <v>0</v>
      </c>
      <c r="AG96" s="65"/>
      <c r="AH96" s="48">
        <f t="shared" si="5"/>
        <v>13185781</v>
      </c>
      <c r="AI96" s="48"/>
      <c r="AJ96" s="48">
        <v>0</v>
      </c>
      <c r="AK96" s="48"/>
      <c r="AL96" s="45">
        <v>1906962</v>
      </c>
      <c r="AM96" s="45"/>
      <c r="AN96" s="45">
        <v>7342403</v>
      </c>
      <c r="AO96" s="45"/>
      <c r="AP96" s="45">
        <v>0</v>
      </c>
      <c r="AQ96" s="45"/>
      <c r="AR96" s="45">
        <f>+'GVFund Rev'!U96+'GVFund Rev'!W96-'GVFund Exp'!AH96-'GVFund Exp'!AL96+AJ96+AN96+AP96-'GV Fund BS'!S96</f>
        <v>0</v>
      </c>
      <c r="AS96" s="48"/>
    </row>
    <row r="97" spans="1:45" s="44" customFormat="1" ht="12.75" customHeight="1">
      <c r="A97" s="35" t="s">
        <v>122</v>
      </c>
      <c r="C97" s="35" t="s">
        <v>43</v>
      </c>
      <c r="E97" s="45">
        <f>6566892+163529</f>
        <v>6730421</v>
      </c>
      <c r="F97" s="48"/>
      <c r="G97" s="45">
        <v>9017015</v>
      </c>
      <c r="H97" s="48"/>
      <c r="I97" s="45">
        <v>1181787</v>
      </c>
      <c r="J97" s="48"/>
      <c r="K97" s="45">
        <v>267967</v>
      </c>
      <c r="L97" s="48"/>
      <c r="M97" s="45">
        <v>1375437</v>
      </c>
      <c r="N97" s="48"/>
      <c r="O97" s="45">
        <v>1965631</v>
      </c>
      <c r="P97" s="48"/>
      <c r="Q97" s="45">
        <v>0</v>
      </c>
      <c r="R97" s="48"/>
      <c r="S97" s="45">
        <v>7961859</v>
      </c>
      <c r="T97" s="48"/>
      <c r="U97" s="45">
        <v>0</v>
      </c>
      <c r="V97" s="48"/>
      <c r="W97" s="48"/>
      <c r="X97" s="35"/>
      <c r="Z97" s="35"/>
      <c r="AA97" s="35"/>
      <c r="AB97" s="45">
        <v>1369052</v>
      </c>
      <c r="AC97" s="65"/>
      <c r="AD97" s="45">
        <f>3727693+1945240</f>
        <v>5672933</v>
      </c>
      <c r="AE97" s="65"/>
      <c r="AF97" s="45">
        <v>0</v>
      </c>
      <c r="AG97" s="65"/>
      <c r="AH97" s="48">
        <f t="shared" si="5"/>
        <v>35542102</v>
      </c>
      <c r="AI97" s="48"/>
      <c r="AJ97" s="48">
        <v>0</v>
      </c>
      <c r="AK97" s="48"/>
      <c r="AL97" s="45">
        <f>7585000+6075666</f>
        <v>13660666</v>
      </c>
      <c r="AM97" s="45"/>
      <c r="AN97" s="45">
        <v>39903634</v>
      </c>
      <c r="AO97" s="45"/>
      <c r="AP97" s="45">
        <v>0</v>
      </c>
      <c r="AQ97" s="45"/>
      <c r="AR97" s="45">
        <f>+'GVFund Rev'!U97+'GVFund Rev'!W97-'GVFund Exp'!AH97-'GVFund Exp'!AL97+AJ97+AN97+AP97-'GV Fund BS'!S97</f>
        <v>0</v>
      </c>
      <c r="AS97" s="48"/>
    </row>
    <row r="98" spans="1:45" s="44" customFormat="1" ht="12.75" customHeight="1">
      <c r="A98" s="44" t="s">
        <v>45</v>
      </c>
      <c r="C98" s="35" t="s">
        <v>103</v>
      </c>
      <c r="E98" s="45">
        <v>7448102</v>
      </c>
      <c r="F98" s="48"/>
      <c r="G98" s="45">
        <v>32092050</v>
      </c>
      <c r="H98" s="48"/>
      <c r="I98" s="45">
        <v>4185051</v>
      </c>
      <c r="J98" s="48"/>
      <c r="K98" s="45">
        <v>1755859</v>
      </c>
      <c r="L98" s="48"/>
      <c r="M98" s="45">
        <v>2900974</v>
      </c>
      <c r="N98" s="48"/>
      <c r="O98" s="45">
        <v>2369005</v>
      </c>
      <c r="P98" s="48"/>
      <c r="Q98" s="45">
        <v>5761957</v>
      </c>
      <c r="R98" s="48"/>
      <c r="S98" s="45">
        <v>6392174</v>
      </c>
      <c r="T98" s="48"/>
      <c r="U98" s="45">
        <v>0</v>
      </c>
      <c r="V98" s="48"/>
      <c r="W98" s="48"/>
      <c r="X98" s="35"/>
      <c r="Z98" s="35"/>
      <c r="AA98" s="35"/>
      <c r="AB98" s="45">
        <v>1997000</v>
      </c>
      <c r="AC98" s="65"/>
      <c r="AD98" s="45">
        <v>1791973</v>
      </c>
      <c r="AE98" s="65"/>
      <c r="AF98" s="45">
        <v>0</v>
      </c>
      <c r="AG98" s="65"/>
      <c r="AH98" s="48">
        <f t="shared" ref="AH98:AH132" si="6">SUM(E98:AF98)</f>
        <v>66694145</v>
      </c>
      <c r="AI98" s="48"/>
      <c r="AJ98" s="48">
        <v>0</v>
      </c>
      <c r="AK98" s="48"/>
      <c r="AL98" s="45">
        <v>6833332</v>
      </c>
      <c r="AM98" s="45"/>
      <c r="AN98" s="45">
        <v>11532812</v>
      </c>
      <c r="AO98" s="45"/>
      <c r="AP98" s="45">
        <v>16484</v>
      </c>
      <c r="AQ98" s="45"/>
      <c r="AR98" s="45">
        <f>+'GVFund Rev'!U98+'GVFund Rev'!W98-'GVFund Exp'!AH98-'GVFund Exp'!AL98+AJ98+AN98+AP98-'GV Fund BS'!S98</f>
        <v>0</v>
      </c>
      <c r="AS98" s="48"/>
    </row>
    <row r="99" spans="1:45" s="44" customFormat="1" ht="12.75" customHeight="1">
      <c r="A99" s="46" t="s">
        <v>123</v>
      </c>
      <c r="B99" s="46"/>
      <c r="C99" s="64" t="s">
        <v>45</v>
      </c>
      <c r="D99" s="46"/>
      <c r="E99" s="45">
        <v>1002167</v>
      </c>
      <c r="F99" s="48"/>
      <c r="G99" s="45">
        <v>4725957</v>
      </c>
      <c r="H99" s="48"/>
      <c r="I99" s="45">
        <v>109590</v>
      </c>
      <c r="J99" s="48"/>
      <c r="K99" s="45">
        <v>307502</v>
      </c>
      <c r="L99" s="48"/>
      <c r="M99" s="45">
        <v>579366</v>
      </c>
      <c r="N99" s="48"/>
      <c r="O99" s="45">
        <v>275595</v>
      </c>
      <c r="P99" s="48"/>
      <c r="Q99" s="45">
        <v>0</v>
      </c>
      <c r="R99" s="48"/>
      <c r="S99" s="45">
        <v>1105557</v>
      </c>
      <c r="T99" s="48"/>
      <c r="U99" s="45">
        <v>0</v>
      </c>
      <c r="V99" s="48"/>
      <c r="W99" s="48"/>
      <c r="X99" s="35"/>
      <c r="Z99" s="35"/>
      <c r="AA99" s="35"/>
      <c r="AB99" s="45">
        <v>395220</v>
      </c>
      <c r="AC99" s="65"/>
      <c r="AD99" s="45">
        <v>185481</v>
      </c>
      <c r="AE99" s="65"/>
      <c r="AF99" s="45">
        <v>2493</v>
      </c>
      <c r="AG99" s="65"/>
      <c r="AH99" s="48">
        <f t="shared" si="6"/>
        <v>8688928</v>
      </c>
      <c r="AI99" s="48"/>
      <c r="AJ99" s="48">
        <v>0</v>
      </c>
      <c r="AK99" s="48"/>
      <c r="AL99" s="45">
        <v>1674370</v>
      </c>
      <c r="AM99" s="45"/>
      <c r="AN99" s="45">
        <v>5088717</v>
      </c>
      <c r="AO99" s="45"/>
      <c r="AP99" s="45">
        <v>0</v>
      </c>
      <c r="AQ99" s="45"/>
      <c r="AR99" s="45">
        <f>+'GVFund Rev'!U99+'GVFund Rev'!W99-'GVFund Exp'!AH99-'GVFund Exp'!AL99+AJ99+AN99+AP99-'GV Fund BS'!S99</f>
        <v>0</v>
      </c>
      <c r="AS99" s="48"/>
    </row>
    <row r="100" spans="1:45" s="44" customFormat="1" ht="12.75" customHeight="1">
      <c r="A100" s="35" t="s">
        <v>124</v>
      </c>
      <c r="C100" s="35" t="s">
        <v>125</v>
      </c>
      <c r="E100" s="45">
        <v>1568514</v>
      </c>
      <c r="F100" s="48"/>
      <c r="G100" s="45">
        <v>4895866</v>
      </c>
      <c r="H100" s="48"/>
      <c r="I100" s="45">
        <v>257489</v>
      </c>
      <c r="J100" s="48"/>
      <c r="K100" s="45">
        <v>55500</v>
      </c>
      <c r="L100" s="48"/>
      <c r="M100" s="45">
        <v>1259204</v>
      </c>
      <c r="N100" s="48"/>
      <c r="O100" s="45">
        <v>1316678</v>
      </c>
      <c r="P100" s="48"/>
      <c r="Q100" s="45">
        <v>12585</v>
      </c>
      <c r="R100" s="48"/>
      <c r="S100" s="45">
        <v>0</v>
      </c>
      <c r="T100" s="48"/>
      <c r="U100" s="45">
        <v>0</v>
      </c>
      <c r="V100" s="48"/>
      <c r="W100" s="48"/>
      <c r="X100" s="35"/>
      <c r="Z100" s="35"/>
      <c r="AA100" s="35"/>
      <c r="AB100" s="45">
        <v>262600</v>
      </c>
      <c r="AC100" s="65"/>
      <c r="AD100" s="45">
        <v>202775</v>
      </c>
      <c r="AE100" s="65"/>
      <c r="AF100" s="45">
        <v>0</v>
      </c>
      <c r="AG100" s="65"/>
      <c r="AH100" s="48">
        <f t="shared" si="6"/>
        <v>9831211</v>
      </c>
      <c r="AI100" s="48"/>
      <c r="AJ100" s="48">
        <v>0</v>
      </c>
      <c r="AK100" s="48"/>
      <c r="AL100" s="45">
        <v>1322578</v>
      </c>
      <c r="AM100" s="45"/>
      <c r="AN100" s="45">
        <v>7257815</v>
      </c>
      <c r="AO100" s="45"/>
      <c r="AP100" s="45">
        <v>26101</v>
      </c>
      <c r="AQ100" s="45"/>
      <c r="AR100" s="45">
        <f>+'GVFund Rev'!U100+'GVFund Rev'!W100-'GVFund Exp'!AH100-'GVFund Exp'!AL100+AJ100+AN100+AP100-'GV Fund BS'!S100</f>
        <v>0</v>
      </c>
      <c r="AS100" s="48"/>
    </row>
    <row r="101" spans="1:45" s="44" customFormat="1" ht="12.75" customHeight="1">
      <c r="A101" s="35" t="s">
        <v>126</v>
      </c>
      <c r="C101" s="35" t="s">
        <v>27</v>
      </c>
      <c r="E101" s="45">
        <v>2402847</v>
      </c>
      <c r="F101" s="48"/>
      <c r="G101" s="45">
        <v>5757837</v>
      </c>
      <c r="H101" s="48"/>
      <c r="I101" s="45">
        <v>114603</v>
      </c>
      <c r="J101" s="48"/>
      <c r="K101" s="45">
        <v>37812</v>
      </c>
      <c r="L101" s="48"/>
      <c r="M101" s="45">
        <v>812389</v>
      </c>
      <c r="N101" s="48"/>
      <c r="O101" s="45">
        <v>660697</v>
      </c>
      <c r="P101" s="48"/>
      <c r="Q101" s="45">
        <v>1474185</v>
      </c>
      <c r="R101" s="48"/>
      <c r="S101" s="45">
        <v>2182440</v>
      </c>
      <c r="T101" s="48"/>
      <c r="U101" s="45">
        <v>0</v>
      </c>
      <c r="V101" s="48"/>
      <c r="W101" s="48"/>
      <c r="X101" s="35"/>
      <c r="Z101" s="35"/>
      <c r="AA101" s="35"/>
      <c r="AB101" s="45">
        <v>1201645</v>
      </c>
      <c r="AC101" s="65"/>
      <c r="AD101" s="45">
        <v>677149</v>
      </c>
      <c r="AE101" s="65"/>
      <c r="AF101" s="45">
        <v>0</v>
      </c>
      <c r="AG101" s="65"/>
      <c r="AH101" s="48">
        <f t="shared" si="6"/>
        <v>15321604</v>
      </c>
      <c r="AI101" s="48"/>
      <c r="AJ101" s="48">
        <v>0</v>
      </c>
      <c r="AK101" s="48"/>
      <c r="AL101" s="45">
        <v>1195545</v>
      </c>
      <c r="AM101" s="45"/>
      <c r="AN101" s="45">
        <v>5928149</v>
      </c>
      <c r="AO101" s="45"/>
      <c r="AP101" s="45">
        <v>66565</v>
      </c>
      <c r="AQ101" s="45"/>
      <c r="AR101" s="45">
        <f>+'GVFund Rev'!U101+'GVFund Rev'!W101-'GVFund Exp'!AH101-'GVFund Exp'!AL101+AJ101+AN101+AP101-'GV Fund BS'!S101</f>
        <v>0</v>
      </c>
      <c r="AS101" s="48"/>
    </row>
    <row r="102" spans="1:45" s="44" customFormat="1" ht="12.75" customHeight="1">
      <c r="A102" s="35" t="s">
        <v>127</v>
      </c>
      <c r="C102" s="35" t="s">
        <v>43</v>
      </c>
      <c r="E102" s="45">
        <v>5092918</v>
      </c>
      <c r="F102" s="48"/>
      <c r="G102" s="45">
        <v>8152818</v>
      </c>
      <c r="H102" s="48"/>
      <c r="I102" s="45">
        <v>9413956</v>
      </c>
      <c r="J102" s="48"/>
      <c r="K102" s="45">
        <v>157065</v>
      </c>
      <c r="L102" s="48"/>
      <c r="M102" s="45">
        <v>4852648</v>
      </c>
      <c r="N102" s="48"/>
      <c r="O102" s="45">
        <v>4656844</v>
      </c>
      <c r="P102" s="48"/>
      <c r="Q102" s="45">
        <v>1195029</v>
      </c>
      <c r="R102" s="48"/>
      <c r="S102" s="45">
        <v>0</v>
      </c>
      <c r="T102" s="48"/>
      <c r="U102" s="45">
        <v>0</v>
      </c>
      <c r="V102" s="48"/>
      <c r="W102" s="48"/>
      <c r="X102" s="35"/>
      <c r="Z102" s="35"/>
      <c r="AA102" s="35"/>
      <c r="AB102" s="45">
        <v>2398986</v>
      </c>
      <c r="AC102" s="65"/>
      <c r="AD102" s="45">
        <v>1907169</v>
      </c>
      <c r="AE102" s="65"/>
      <c r="AF102" s="45">
        <v>0</v>
      </c>
      <c r="AG102" s="65"/>
      <c r="AH102" s="48">
        <f t="shared" si="6"/>
        <v>37827433</v>
      </c>
      <c r="AI102" s="48"/>
      <c r="AJ102" s="48">
        <v>0</v>
      </c>
      <c r="AK102" s="48"/>
      <c r="AL102" s="45">
        <v>0</v>
      </c>
      <c r="AM102" s="45"/>
      <c r="AN102" s="45">
        <v>14637712</v>
      </c>
      <c r="AO102" s="45"/>
      <c r="AP102" s="45">
        <v>0</v>
      </c>
      <c r="AQ102" s="45"/>
      <c r="AR102" s="45">
        <f>+'GVFund Rev'!U102+'GVFund Rev'!W102-'GVFund Exp'!AH102-'GVFund Exp'!AL102+AJ102+AN102+AP102-'GV Fund BS'!S102</f>
        <v>0</v>
      </c>
      <c r="AS102" s="48"/>
    </row>
    <row r="103" spans="1:45" s="46" customFormat="1" ht="12.75" customHeight="1">
      <c r="A103" s="35" t="s">
        <v>128</v>
      </c>
      <c r="B103" s="44"/>
      <c r="C103" s="35" t="s">
        <v>119</v>
      </c>
      <c r="D103" s="44"/>
      <c r="E103" s="45">
        <f>1178380+353472</f>
        <v>1531852</v>
      </c>
      <c r="F103" s="45"/>
      <c r="G103" s="45">
        <v>3373222</v>
      </c>
      <c r="H103" s="45"/>
      <c r="I103" s="45">
        <v>191125</v>
      </c>
      <c r="J103" s="45"/>
      <c r="K103" s="45">
        <v>202351</v>
      </c>
      <c r="L103" s="45"/>
      <c r="M103" s="45">
        <v>20170</v>
      </c>
      <c r="N103" s="45"/>
      <c r="O103" s="45">
        <v>129253</v>
      </c>
      <c r="P103" s="45"/>
      <c r="Q103" s="45">
        <v>0</v>
      </c>
      <c r="R103" s="45"/>
      <c r="S103" s="45">
        <v>1991961</v>
      </c>
      <c r="T103" s="45"/>
      <c r="U103" s="45">
        <v>0</v>
      </c>
      <c r="V103" s="45"/>
      <c r="W103" s="45"/>
      <c r="X103" s="45"/>
      <c r="Y103" s="45"/>
      <c r="Z103" s="44"/>
      <c r="AA103" s="44"/>
      <c r="AB103" s="45">
        <v>86941</v>
      </c>
      <c r="AC103" s="65"/>
      <c r="AD103" s="45">
        <v>47418</v>
      </c>
      <c r="AE103" s="65"/>
      <c r="AF103" s="45">
        <v>0</v>
      </c>
      <c r="AG103" s="65"/>
      <c r="AH103" s="48">
        <f t="shared" si="6"/>
        <v>7574293</v>
      </c>
      <c r="AI103" s="48"/>
      <c r="AJ103" s="48">
        <v>0</v>
      </c>
      <c r="AK103" s="48"/>
      <c r="AL103" s="45">
        <v>995170</v>
      </c>
      <c r="AM103" s="45"/>
      <c r="AN103" s="45">
        <v>4754557</v>
      </c>
      <c r="AO103" s="45"/>
      <c r="AP103" s="45">
        <v>0</v>
      </c>
      <c r="AQ103" s="45"/>
      <c r="AR103" s="45">
        <f>+'GVFund Rev'!U103+'GVFund Rev'!W103-'GVFund Exp'!AH103-'GVFund Exp'!AL103+AJ103+AN103+AP103-'GV Fund BS'!S103</f>
        <v>0</v>
      </c>
      <c r="AS103" s="48"/>
    </row>
    <row r="104" spans="1:45" s="44" customFormat="1" ht="12.75" customHeight="1">
      <c r="A104" s="35" t="s">
        <v>129</v>
      </c>
      <c r="C104" s="35" t="s">
        <v>80</v>
      </c>
      <c r="E104" s="45">
        <v>427787</v>
      </c>
      <c r="F104" s="48"/>
      <c r="G104" s="45">
        <v>1869652</v>
      </c>
      <c r="H104" s="48"/>
      <c r="I104" s="45">
        <v>491</v>
      </c>
      <c r="J104" s="48"/>
      <c r="K104" s="45">
        <v>26921</v>
      </c>
      <c r="L104" s="48"/>
      <c r="M104" s="45">
        <v>709113</v>
      </c>
      <c r="N104" s="48"/>
      <c r="O104" s="45">
        <v>52500</v>
      </c>
      <c r="P104" s="48"/>
      <c r="Q104" s="45">
        <v>0</v>
      </c>
      <c r="R104" s="48"/>
      <c r="S104" s="45">
        <v>580905</v>
      </c>
      <c r="T104" s="48"/>
      <c r="U104" s="45">
        <v>0</v>
      </c>
      <c r="V104" s="48"/>
      <c r="W104" s="48"/>
      <c r="X104" s="35"/>
      <c r="Z104" s="35"/>
      <c r="AA104" s="35"/>
      <c r="AB104" s="45">
        <v>406294</v>
      </c>
      <c r="AC104" s="65"/>
      <c r="AD104" s="45">
        <v>145668</v>
      </c>
      <c r="AE104" s="65"/>
      <c r="AF104" s="45">
        <v>1064</v>
      </c>
      <c r="AG104" s="65"/>
      <c r="AH104" s="48">
        <f t="shared" si="6"/>
        <v>4220395</v>
      </c>
      <c r="AI104" s="48"/>
      <c r="AJ104" s="48">
        <v>0</v>
      </c>
      <c r="AK104" s="48"/>
      <c r="AL104" s="45">
        <v>876330</v>
      </c>
      <c r="AM104" s="45"/>
      <c r="AN104" s="45">
        <v>1543605</v>
      </c>
      <c r="AO104" s="45"/>
      <c r="AP104" s="45">
        <v>0</v>
      </c>
      <c r="AQ104" s="45"/>
      <c r="AR104" s="45">
        <f>+'GVFund Rev'!U104+'GVFund Rev'!W104-'GVFund Exp'!AH104-'GVFund Exp'!AL104+AJ104+AN104+AP104-'GV Fund BS'!S104</f>
        <v>0</v>
      </c>
      <c r="AS104" s="48"/>
    </row>
    <row r="105" spans="1:45" s="44" customFormat="1" ht="12.75" customHeight="1">
      <c r="A105" s="35" t="s">
        <v>130</v>
      </c>
      <c r="C105" s="35" t="s">
        <v>66</v>
      </c>
      <c r="E105" s="45">
        <v>5318309</v>
      </c>
      <c r="F105" s="48"/>
      <c r="G105" s="45">
        <f>5785062+6234399+1239463</f>
        <v>13258924</v>
      </c>
      <c r="H105" s="48"/>
      <c r="I105" s="45">
        <v>844496</v>
      </c>
      <c r="J105" s="48"/>
      <c r="K105" s="45">
        <v>0</v>
      </c>
      <c r="L105" s="48"/>
      <c r="M105" s="45">
        <v>1519898</v>
      </c>
      <c r="N105" s="48"/>
      <c r="O105" s="45">
        <v>231133</v>
      </c>
      <c r="P105" s="48"/>
      <c r="Q105" s="45">
        <v>0</v>
      </c>
      <c r="R105" s="48"/>
      <c r="S105" s="45">
        <v>3479216</v>
      </c>
      <c r="T105" s="48"/>
      <c r="U105" s="45">
        <v>0</v>
      </c>
      <c r="V105" s="48"/>
      <c r="W105" s="48"/>
      <c r="X105" s="35"/>
      <c r="Z105" s="35"/>
      <c r="AA105" s="35"/>
      <c r="AB105" s="45">
        <v>12033068</v>
      </c>
      <c r="AC105" s="65"/>
      <c r="AD105" s="45">
        <f>86531+1456988</f>
        <v>1543519</v>
      </c>
      <c r="AE105" s="65"/>
      <c r="AF105" s="45">
        <v>0</v>
      </c>
      <c r="AG105" s="65"/>
      <c r="AH105" s="48">
        <f t="shared" si="6"/>
        <v>38228563</v>
      </c>
      <c r="AI105" s="48"/>
      <c r="AJ105" s="48">
        <v>0</v>
      </c>
      <c r="AK105" s="48"/>
      <c r="AL105" s="45">
        <v>11456983</v>
      </c>
      <c r="AM105" s="45"/>
      <c r="AN105" s="45">
        <v>23222324</v>
      </c>
      <c r="AO105" s="45"/>
      <c r="AP105" s="45">
        <v>-17044</v>
      </c>
      <c r="AQ105" s="45"/>
      <c r="AR105" s="45">
        <f>+'GVFund Rev'!U105+'GVFund Rev'!W105-'GVFund Exp'!AH105-'GVFund Exp'!AL105+AJ105+AN105+AP105-'GV Fund BS'!S105</f>
        <v>0</v>
      </c>
      <c r="AS105" s="48"/>
    </row>
    <row r="106" spans="1:45" s="44" customFormat="1" ht="12.75" customHeight="1">
      <c r="A106" s="35" t="s">
        <v>131</v>
      </c>
      <c r="C106" s="35" t="s">
        <v>13</v>
      </c>
      <c r="E106" s="45">
        <v>4906111</v>
      </c>
      <c r="F106" s="48"/>
      <c r="G106" s="45">
        <v>5931616</v>
      </c>
      <c r="H106" s="48"/>
      <c r="I106" s="45">
        <v>1385278</v>
      </c>
      <c r="J106" s="48"/>
      <c r="K106" s="45">
        <v>523999</v>
      </c>
      <c r="L106" s="48"/>
      <c r="M106" s="45">
        <v>3021956</v>
      </c>
      <c r="N106" s="48"/>
      <c r="O106" s="45">
        <v>871337</v>
      </c>
      <c r="P106" s="48"/>
      <c r="Q106" s="45">
        <v>0</v>
      </c>
      <c r="R106" s="48"/>
      <c r="S106" s="45">
        <v>7656368</v>
      </c>
      <c r="T106" s="48"/>
      <c r="U106" s="45">
        <v>0</v>
      </c>
      <c r="V106" s="48"/>
      <c r="W106" s="48"/>
      <c r="X106" s="35"/>
      <c r="Z106" s="35"/>
      <c r="AA106" s="35"/>
      <c r="AB106" s="45">
        <v>2641049</v>
      </c>
      <c r="AC106" s="65"/>
      <c r="AD106" s="45">
        <f>1255238+186053</f>
        <v>1441291</v>
      </c>
      <c r="AE106" s="65"/>
      <c r="AF106" s="45">
        <v>0</v>
      </c>
      <c r="AG106" s="65"/>
      <c r="AH106" s="48">
        <f t="shared" si="6"/>
        <v>28379005</v>
      </c>
      <c r="AI106" s="48"/>
      <c r="AJ106" s="48">
        <v>0</v>
      </c>
      <c r="AK106" s="48"/>
      <c r="AL106" s="45">
        <f>10942734+14692816</f>
        <v>25635550</v>
      </c>
      <c r="AM106" s="45"/>
      <c r="AN106" s="45">
        <v>21135087</v>
      </c>
      <c r="AO106" s="45"/>
      <c r="AP106" s="45">
        <v>0</v>
      </c>
      <c r="AQ106" s="45"/>
      <c r="AR106" s="45">
        <f>+'GVFund Rev'!U106+'GVFund Rev'!W106-'GVFund Exp'!AH106-'GVFund Exp'!AL106+AJ106+AN106+AP106-'GV Fund BS'!S106</f>
        <v>0</v>
      </c>
      <c r="AS106" s="48"/>
    </row>
    <row r="107" spans="1:45" s="44" customFormat="1" ht="12.75" customHeight="1">
      <c r="A107" s="35" t="s">
        <v>38</v>
      </c>
      <c r="C107" s="35" t="s">
        <v>132</v>
      </c>
      <c r="E107" s="45">
        <v>1058464</v>
      </c>
      <c r="F107" s="48"/>
      <c r="G107" s="45">
        <v>3314306</v>
      </c>
      <c r="H107" s="48"/>
      <c r="I107" s="45">
        <v>0</v>
      </c>
      <c r="J107" s="48"/>
      <c r="K107" s="45">
        <v>0</v>
      </c>
      <c r="L107" s="48"/>
      <c r="M107" s="45">
        <v>706329</v>
      </c>
      <c r="N107" s="48"/>
      <c r="O107" s="45">
        <v>531676</v>
      </c>
      <c r="P107" s="48"/>
      <c r="Q107" s="45">
        <v>610653</v>
      </c>
      <c r="R107" s="48"/>
      <c r="S107" s="45">
        <v>55094</v>
      </c>
      <c r="T107" s="48"/>
      <c r="U107" s="45">
        <v>0</v>
      </c>
      <c r="V107" s="48"/>
      <c r="W107" s="48"/>
      <c r="X107" s="35"/>
      <c r="Z107" s="35"/>
      <c r="AA107" s="35"/>
      <c r="AB107" s="45">
        <v>219473</v>
      </c>
      <c r="AC107" s="65"/>
      <c r="AD107" s="45">
        <v>110272</v>
      </c>
      <c r="AE107" s="65"/>
      <c r="AF107" s="45">
        <v>47186</v>
      </c>
      <c r="AG107" s="65"/>
      <c r="AH107" s="48">
        <f t="shared" si="6"/>
        <v>6653453</v>
      </c>
      <c r="AI107" s="48"/>
      <c r="AJ107" s="48">
        <v>0</v>
      </c>
      <c r="AK107" s="48"/>
      <c r="AL107" s="45">
        <v>1371289</v>
      </c>
      <c r="AM107" s="45"/>
      <c r="AN107" s="45">
        <v>1961695</v>
      </c>
      <c r="AO107" s="45"/>
      <c r="AP107" s="45">
        <v>0</v>
      </c>
      <c r="AQ107" s="45"/>
      <c r="AR107" s="45">
        <f>+'GVFund Rev'!U107+'GVFund Rev'!W107-'GVFund Exp'!AH107-'GVFund Exp'!AL107+AJ107+AN107+AP107-'GV Fund BS'!S107</f>
        <v>0</v>
      </c>
      <c r="AS107" s="48"/>
    </row>
    <row r="108" spans="1:45" s="44" customFormat="1" ht="12.75" customHeight="1">
      <c r="A108" s="35" t="s">
        <v>133</v>
      </c>
      <c r="C108" s="35" t="s">
        <v>27</v>
      </c>
      <c r="E108" s="45">
        <v>5356297</v>
      </c>
      <c r="F108" s="48"/>
      <c r="G108" s="45">
        <v>8450592</v>
      </c>
      <c r="H108" s="48"/>
      <c r="I108" s="45">
        <v>2472765</v>
      </c>
      <c r="J108" s="48"/>
      <c r="K108" s="45">
        <v>96797</v>
      </c>
      <c r="L108" s="48"/>
      <c r="M108" s="45">
        <v>2725884</v>
      </c>
      <c r="N108" s="48"/>
      <c r="O108" s="45">
        <v>3313837</v>
      </c>
      <c r="P108" s="48"/>
      <c r="Q108" s="45">
        <v>0</v>
      </c>
      <c r="R108" s="48"/>
      <c r="S108" s="45">
        <v>4511425</v>
      </c>
      <c r="T108" s="48"/>
      <c r="U108" s="45">
        <v>552082</v>
      </c>
      <c r="V108" s="48"/>
      <c r="W108" s="48"/>
      <c r="X108" s="35"/>
      <c r="Z108" s="35"/>
      <c r="AA108" s="35"/>
      <c r="AB108" s="45">
        <f>1365248+600000</f>
        <v>1965248</v>
      </c>
      <c r="AC108" s="65"/>
      <c r="AD108" s="45">
        <v>1579585</v>
      </c>
      <c r="AE108" s="65"/>
      <c r="AF108" s="45">
        <v>0</v>
      </c>
      <c r="AG108" s="65"/>
      <c r="AH108" s="48">
        <f t="shared" si="6"/>
        <v>31024512</v>
      </c>
      <c r="AI108" s="48"/>
      <c r="AJ108" s="48">
        <v>0</v>
      </c>
      <c r="AK108" s="48"/>
      <c r="AL108" s="45">
        <f>7100000+7669000</f>
        <v>14769000</v>
      </c>
      <c r="AM108" s="45"/>
      <c r="AN108" s="45">
        <v>8702957</v>
      </c>
      <c r="AO108" s="45"/>
      <c r="AP108" s="45">
        <v>0</v>
      </c>
      <c r="AQ108" s="45"/>
      <c r="AR108" s="45">
        <f>+'GVFund Rev'!U108+'GVFund Rev'!W108-'GVFund Exp'!AH108-'GVFund Exp'!AL108+AJ108+AN108+AP108-'GV Fund BS'!S108</f>
        <v>0</v>
      </c>
      <c r="AS108" s="48"/>
    </row>
    <row r="109" spans="1:45" s="44" customFormat="1" ht="12.75" customHeight="1">
      <c r="A109" s="35" t="s">
        <v>482</v>
      </c>
      <c r="C109" s="35" t="s">
        <v>45</v>
      </c>
      <c r="E109" s="45">
        <v>1857479</v>
      </c>
      <c r="F109" s="48"/>
      <c r="G109" s="45">
        <v>4490509</v>
      </c>
      <c r="H109" s="48"/>
      <c r="I109" s="45">
        <v>1542412</v>
      </c>
      <c r="J109" s="48"/>
      <c r="K109" s="45">
        <v>154967</v>
      </c>
      <c r="L109" s="48"/>
      <c r="M109" s="45">
        <v>1617843</v>
      </c>
      <c r="N109" s="48"/>
      <c r="O109" s="45">
        <v>1404001</v>
      </c>
      <c r="P109" s="48"/>
      <c r="Q109" s="45">
        <v>0</v>
      </c>
      <c r="R109" s="48"/>
      <c r="S109" s="45">
        <v>1809118</v>
      </c>
      <c r="T109" s="48"/>
      <c r="U109" s="45">
        <v>0</v>
      </c>
      <c r="V109" s="48"/>
      <c r="W109" s="48"/>
      <c r="X109" s="35"/>
      <c r="Z109" s="35"/>
      <c r="AA109" s="35"/>
      <c r="AB109" s="45">
        <v>414190</v>
      </c>
      <c r="AC109" s="65"/>
      <c r="AD109" s="45">
        <v>96461</v>
      </c>
      <c r="AE109" s="65"/>
      <c r="AF109" s="45">
        <v>0</v>
      </c>
      <c r="AG109" s="65"/>
      <c r="AH109" s="48">
        <f t="shared" si="6"/>
        <v>13386980</v>
      </c>
      <c r="AI109" s="48"/>
      <c r="AJ109" s="48"/>
      <c r="AK109" s="48"/>
      <c r="AL109" s="45">
        <v>8795220</v>
      </c>
      <c r="AM109" s="45"/>
      <c r="AN109" s="45">
        <v>16988133</v>
      </c>
      <c r="AO109" s="45"/>
      <c r="AP109" s="45">
        <v>48412</v>
      </c>
      <c r="AQ109" s="45"/>
      <c r="AR109" s="45">
        <f>+'GVFund Rev'!U109+'GVFund Rev'!W109-'GVFund Exp'!AH109-'GVFund Exp'!AL109+AJ109+AN109+AP109-'GV Fund BS'!S109</f>
        <v>0</v>
      </c>
      <c r="AS109" s="48"/>
    </row>
    <row r="110" spans="1:45" s="44" customFormat="1" ht="12.75" customHeight="1">
      <c r="A110" s="35" t="s">
        <v>136</v>
      </c>
      <c r="C110" s="35" t="s">
        <v>136</v>
      </c>
      <c r="E110" s="45">
        <v>1434371</v>
      </c>
      <c r="F110" s="48"/>
      <c r="G110" s="45">
        <v>2016716</v>
      </c>
      <c r="H110" s="48"/>
      <c r="I110" s="45">
        <v>285627</v>
      </c>
      <c r="J110" s="48"/>
      <c r="K110" s="45">
        <v>329011</v>
      </c>
      <c r="L110" s="48"/>
      <c r="M110" s="45">
        <v>518410</v>
      </c>
      <c r="N110" s="48"/>
      <c r="O110" s="45">
        <v>251084</v>
      </c>
      <c r="P110" s="48"/>
      <c r="Q110" s="45">
        <v>0</v>
      </c>
      <c r="R110" s="48"/>
      <c r="S110" s="45">
        <v>0</v>
      </c>
      <c r="T110" s="48"/>
      <c r="U110" s="45">
        <v>0</v>
      </c>
      <c r="V110" s="48"/>
      <c r="W110" s="48"/>
      <c r="X110" s="35"/>
      <c r="Z110" s="35"/>
      <c r="AA110" s="35"/>
      <c r="AB110" s="45">
        <v>18338</v>
      </c>
      <c r="AC110" s="65"/>
      <c r="AD110" s="45">
        <v>10455</v>
      </c>
      <c r="AE110" s="65"/>
      <c r="AF110" s="45">
        <v>0</v>
      </c>
      <c r="AG110" s="65"/>
      <c r="AH110" s="48">
        <f t="shared" si="6"/>
        <v>4864012</v>
      </c>
      <c r="AI110" s="48"/>
      <c r="AJ110" s="48">
        <v>0</v>
      </c>
      <c r="AK110" s="48"/>
      <c r="AL110" s="45">
        <v>113726</v>
      </c>
      <c r="AM110" s="45"/>
      <c r="AN110" s="45">
        <v>5425902</v>
      </c>
      <c r="AO110" s="45"/>
      <c r="AP110" s="45">
        <v>0</v>
      </c>
      <c r="AQ110" s="45"/>
      <c r="AR110" s="45">
        <f>+'GVFund Rev'!U110+'GVFund Rev'!W110-'GVFund Exp'!AH110-'GVFund Exp'!AL110+AJ110+AN110+AP110-'GV Fund BS'!S110</f>
        <v>0</v>
      </c>
      <c r="AS110" s="48"/>
    </row>
    <row r="111" spans="1:45" s="44" customFormat="1" ht="12.75" customHeight="1">
      <c r="A111" s="35" t="s">
        <v>137</v>
      </c>
      <c r="C111" s="35" t="s">
        <v>22</v>
      </c>
      <c r="E111" s="45">
        <v>2623065</v>
      </c>
      <c r="F111" s="48"/>
      <c r="G111" s="45">
        <v>9604565</v>
      </c>
      <c r="H111" s="48"/>
      <c r="I111" s="45">
        <v>1783711</v>
      </c>
      <c r="J111" s="48"/>
      <c r="K111" s="45">
        <v>622121</v>
      </c>
      <c r="L111" s="48"/>
      <c r="M111" s="45">
        <v>1650958</v>
      </c>
      <c r="N111" s="48"/>
      <c r="O111" s="45">
        <v>1282314</v>
      </c>
      <c r="P111" s="48"/>
      <c r="Q111" s="45">
        <v>0</v>
      </c>
      <c r="R111" s="48"/>
      <c r="S111" s="45">
        <v>5569791</v>
      </c>
      <c r="T111" s="48"/>
      <c r="U111" s="45">
        <v>0</v>
      </c>
      <c r="V111" s="48"/>
      <c r="W111" s="48"/>
      <c r="X111" s="35"/>
      <c r="Z111" s="35"/>
      <c r="AA111" s="35"/>
      <c r="AB111" s="45">
        <v>217947</v>
      </c>
      <c r="AC111" s="65"/>
      <c r="AD111" s="45">
        <v>259556</v>
      </c>
      <c r="AE111" s="65"/>
      <c r="AF111" s="45">
        <v>0</v>
      </c>
      <c r="AG111" s="65"/>
      <c r="AH111" s="48">
        <f t="shared" si="6"/>
        <v>23614028</v>
      </c>
      <c r="AI111" s="48"/>
      <c r="AJ111" s="48">
        <v>0</v>
      </c>
      <c r="AK111" s="48"/>
      <c r="AL111" s="45">
        <v>10643237</v>
      </c>
      <c r="AM111" s="45"/>
      <c r="AN111" s="45">
        <v>21231917</v>
      </c>
      <c r="AO111" s="45"/>
      <c r="AP111" s="45">
        <v>0</v>
      </c>
      <c r="AQ111" s="45"/>
      <c r="AR111" s="45">
        <f>+'GVFund Rev'!U111+'GVFund Rev'!W111-'GVFund Exp'!AH111-'GVFund Exp'!AL111+AJ111+AN111+AP111-'GV Fund BS'!S111</f>
        <v>0</v>
      </c>
      <c r="AS111" s="48"/>
    </row>
    <row r="112" spans="1:45" s="121" customFormat="1" ht="12.75" hidden="1" customHeight="1">
      <c r="A112" s="126" t="s">
        <v>138</v>
      </c>
      <c r="C112" s="126" t="s">
        <v>139</v>
      </c>
      <c r="E112" s="127"/>
      <c r="F112" s="132"/>
      <c r="G112" s="127"/>
      <c r="H112" s="132"/>
      <c r="I112" s="127"/>
      <c r="J112" s="132"/>
      <c r="K112" s="127"/>
      <c r="L112" s="132"/>
      <c r="M112" s="127"/>
      <c r="N112" s="132"/>
      <c r="O112" s="127"/>
      <c r="P112" s="132"/>
      <c r="Q112" s="127"/>
      <c r="R112" s="132"/>
      <c r="S112" s="127"/>
      <c r="T112" s="132"/>
      <c r="U112" s="127"/>
      <c r="V112" s="132"/>
      <c r="W112" s="132"/>
      <c r="X112" s="126"/>
      <c r="Z112" s="126"/>
      <c r="AA112" s="126"/>
      <c r="AB112" s="127"/>
      <c r="AC112" s="125"/>
      <c r="AD112" s="127"/>
      <c r="AE112" s="125"/>
      <c r="AF112" s="127"/>
      <c r="AG112" s="125"/>
      <c r="AH112" s="132">
        <f t="shared" si="6"/>
        <v>0</v>
      </c>
      <c r="AI112" s="132"/>
      <c r="AJ112" s="132">
        <v>0</v>
      </c>
      <c r="AK112" s="132"/>
      <c r="AL112" s="127"/>
      <c r="AM112" s="127"/>
      <c r="AN112" s="127"/>
      <c r="AO112" s="127"/>
      <c r="AP112" s="127"/>
      <c r="AQ112" s="127"/>
      <c r="AR112" s="127">
        <f>+'GVFund Rev'!U112+'GVFund Rev'!W112-'GVFund Exp'!AH112-'GVFund Exp'!AL112+AJ112+AN112+AP112-'GV Fund BS'!S112</f>
        <v>0</v>
      </c>
      <c r="AS112" s="132"/>
    </row>
    <row r="113" spans="1:46" s="44" customFormat="1" ht="12.75" customHeight="1">
      <c r="A113" s="35" t="s">
        <v>140</v>
      </c>
      <c r="C113" s="35" t="s">
        <v>66</v>
      </c>
      <c r="E113" s="45">
        <v>12558705</v>
      </c>
      <c r="F113" s="48"/>
      <c r="G113" s="45">
        <f>13576481+9553065</f>
        <v>23129546</v>
      </c>
      <c r="H113" s="48"/>
      <c r="I113" s="45">
        <v>0</v>
      </c>
      <c r="J113" s="48"/>
      <c r="K113" s="45">
        <v>0</v>
      </c>
      <c r="L113" s="48"/>
      <c r="M113" s="45">
        <v>0</v>
      </c>
      <c r="N113" s="48"/>
      <c r="O113" s="45">
        <v>12487222</v>
      </c>
      <c r="P113" s="48"/>
      <c r="Q113" s="45">
        <v>10145609</v>
      </c>
      <c r="R113" s="48"/>
      <c r="S113" s="45">
        <v>6652398</v>
      </c>
      <c r="T113" s="48"/>
      <c r="U113" s="45">
        <v>0</v>
      </c>
      <c r="V113" s="48"/>
      <c r="W113" s="48"/>
      <c r="X113" s="35"/>
      <c r="Z113" s="35"/>
      <c r="AA113" s="35"/>
      <c r="AB113" s="45">
        <v>642740</v>
      </c>
      <c r="AC113" s="65"/>
      <c r="AD113" s="45">
        <v>1140309</v>
      </c>
      <c r="AE113" s="65"/>
      <c r="AF113" s="45">
        <v>0</v>
      </c>
      <c r="AG113" s="65"/>
      <c r="AH113" s="48">
        <f t="shared" si="6"/>
        <v>66756529</v>
      </c>
      <c r="AI113" s="48"/>
      <c r="AJ113" s="48">
        <v>0</v>
      </c>
      <c r="AK113" s="48"/>
      <c r="AL113" s="45">
        <v>9835396</v>
      </c>
      <c r="AM113" s="45"/>
      <c r="AN113" s="45">
        <v>43198682</v>
      </c>
      <c r="AO113" s="45"/>
      <c r="AP113" s="45">
        <v>0</v>
      </c>
      <c r="AQ113" s="45"/>
      <c r="AR113" s="45">
        <f>+'GVFund Rev'!U113+'GVFund Rev'!W113-'GVFund Exp'!AH113-'GVFund Exp'!AL113+AJ113+AN113+AP113-'GV Fund BS'!S113</f>
        <v>0</v>
      </c>
      <c r="AS113" s="48"/>
    </row>
    <row r="114" spans="1:46" s="44" customFormat="1" ht="12.75" customHeight="1">
      <c r="A114" s="35" t="s">
        <v>478</v>
      </c>
      <c r="C114" s="35" t="s">
        <v>92</v>
      </c>
      <c r="E114" s="45">
        <v>1894090</v>
      </c>
      <c r="F114" s="48"/>
      <c r="G114" s="45">
        <v>2303321</v>
      </c>
      <c r="H114" s="48"/>
      <c r="I114" s="45">
        <v>68725</v>
      </c>
      <c r="J114" s="48"/>
      <c r="K114" s="45">
        <v>76916</v>
      </c>
      <c r="L114" s="48"/>
      <c r="M114" s="45">
        <v>1205301</v>
      </c>
      <c r="N114" s="48"/>
      <c r="O114" s="45">
        <v>343336</v>
      </c>
      <c r="P114" s="48"/>
      <c r="Q114" s="45">
        <v>0</v>
      </c>
      <c r="R114" s="48"/>
      <c r="S114" s="45">
        <v>464557</v>
      </c>
      <c r="T114" s="48"/>
      <c r="U114" s="45">
        <v>0</v>
      </c>
      <c r="V114" s="48"/>
      <c r="W114" s="48"/>
      <c r="X114" s="35"/>
      <c r="Z114" s="35"/>
      <c r="AA114" s="35"/>
      <c r="AB114" s="45">
        <v>951275</v>
      </c>
      <c r="AC114" s="65"/>
      <c r="AD114" s="45">
        <v>227730</v>
      </c>
      <c r="AE114" s="65"/>
      <c r="AF114" s="45">
        <v>0</v>
      </c>
      <c r="AG114" s="65"/>
      <c r="AH114" s="48">
        <f t="shared" si="6"/>
        <v>7535251</v>
      </c>
      <c r="AI114" s="48"/>
      <c r="AJ114" s="48"/>
      <c r="AK114" s="48"/>
      <c r="AL114" s="45">
        <v>577687</v>
      </c>
      <c r="AM114" s="45"/>
      <c r="AN114" s="45">
        <v>981080</v>
      </c>
      <c r="AO114" s="45"/>
      <c r="AP114" s="45">
        <v>0</v>
      </c>
      <c r="AQ114" s="45"/>
      <c r="AR114" s="45">
        <f>+'GVFund Rev'!U114+'GVFund Rev'!W114-'GVFund Exp'!AH114-'GVFund Exp'!AL114+AJ114+AN114+AP114-'GV Fund BS'!S114</f>
        <v>0</v>
      </c>
      <c r="AS114" s="48"/>
    </row>
    <row r="115" spans="1:46" s="44" customFormat="1" ht="12.75" customHeight="1">
      <c r="A115" s="64" t="s">
        <v>141</v>
      </c>
      <c r="B115" s="46"/>
      <c r="C115" s="64" t="s">
        <v>27</v>
      </c>
      <c r="D115" s="46"/>
      <c r="E115" s="45">
        <v>7930675</v>
      </c>
      <c r="F115" s="48"/>
      <c r="G115" s="45">
        <f>12139328+10088610</f>
        <v>22227938</v>
      </c>
      <c r="H115" s="48"/>
      <c r="I115" s="45">
        <v>5669977</v>
      </c>
      <c r="J115" s="48"/>
      <c r="K115" s="45">
        <v>3352685</v>
      </c>
      <c r="L115" s="48"/>
      <c r="M115" s="45">
        <v>1980543</v>
      </c>
      <c r="N115" s="48"/>
      <c r="O115" s="45">
        <v>1733290</v>
      </c>
      <c r="P115" s="48"/>
      <c r="Q115" s="45">
        <v>4466994</v>
      </c>
      <c r="R115" s="48"/>
      <c r="S115" s="45">
        <v>5280879</v>
      </c>
      <c r="T115" s="48"/>
      <c r="U115" s="45">
        <v>0</v>
      </c>
      <c r="V115" s="48"/>
      <c r="W115" s="48"/>
      <c r="X115" s="35"/>
      <c r="Z115" s="35"/>
      <c r="AA115" s="35"/>
      <c r="AB115" s="45">
        <v>8637976</v>
      </c>
      <c r="AC115" s="65"/>
      <c r="AD115" s="45">
        <v>2057441</v>
      </c>
      <c r="AE115" s="65"/>
      <c r="AF115" s="45">
        <v>0</v>
      </c>
      <c r="AG115" s="65"/>
      <c r="AH115" s="48">
        <f t="shared" si="6"/>
        <v>63338398</v>
      </c>
      <c r="AI115" s="48"/>
      <c r="AJ115" s="48">
        <v>0</v>
      </c>
      <c r="AK115" s="48"/>
      <c r="AL115" s="45">
        <v>2786509</v>
      </c>
      <c r="AM115" s="45"/>
      <c r="AN115" s="45">
        <v>11257267</v>
      </c>
      <c r="AO115" s="45"/>
      <c r="AP115" s="45">
        <v>0</v>
      </c>
      <c r="AQ115" s="45"/>
      <c r="AR115" s="45">
        <f>+'GVFund Rev'!U115+'GVFund Rev'!W115-'GVFund Exp'!AH115-'GVFund Exp'!AL115+AJ115+AN115+AP115-'GV Fund BS'!S115</f>
        <v>0</v>
      </c>
      <c r="AS115" s="48"/>
    </row>
    <row r="116" spans="1:46" s="44" customFormat="1" ht="12.75" customHeight="1">
      <c r="A116" s="35" t="s">
        <v>142</v>
      </c>
      <c r="C116" s="35" t="s">
        <v>102</v>
      </c>
      <c r="E116" s="45">
        <v>7667476</v>
      </c>
      <c r="F116" s="48"/>
      <c r="G116" s="45">
        <v>17825296</v>
      </c>
      <c r="H116" s="48"/>
      <c r="I116" s="45">
        <v>938993</v>
      </c>
      <c r="J116" s="48"/>
      <c r="K116" s="45">
        <v>947332</v>
      </c>
      <c r="L116" s="48"/>
      <c r="M116" s="45">
        <v>4126802</v>
      </c>
      <c r="N116" s="48"/>
      <c r="O116" s="45">
        <v>2138133</v>
      </c>
      <c r="P116" s="48"/>
      <c r="Q116" s="45">
        <v>0</v>
      </c>
      <c r="R116" s="48"/>
      <c r="S116" s="45">
        <v>3172798</v>
      </c>
      <c r="T116" s="48"/>
      <c r="U116" s="45">
        <v>0</v>
      </c>
      <c r="V116" s="48"/>
      <c r="W116" s="48"/>
      <c r="X116" s="35"/>
      <c r="Z116" s="35"/>
      <c r="AA116" s="35"/>
      <c r="AB116" s="45">
        <v>1139743</v>
      </c>
      <c r="AC116" s="65"/>
      <c r="AD116" s="45">
        <v>539724</v>
      </c>
      <c r="AE116" s="65"/>
      <c r="AF116" s="45">
        <v>0</v>
      </c>
      <c r="AG116" s="65"/>
      <c r="AH116" s="48">
        <f>SUM(E116:AF116)</f>
        <v>38496297</v>
      </c>
      <c r="AI116" s="48"/>
      <c r="AJ116" s="48">
        <v>0</v>
      </c>
      <c r="AK116" s="48"/>
      <c r="AL116" s="45">
        <v>1786988</v>
      </c>
      <c r="AM116" s="45"/>
      <c r="AN116" s="45">
        <v>6229187</v>
      </c>
      <c r="AO116" s="45"/>
      <c r="AP116" s="45">
        <v>-318</v>
      </c>
      <c r="AQ116" s="45"/>
      <c r="AR116" s="45">
        <f>+'GVFund Rev'!U116+'GVFund Rev'!W116-'GVFund Exp'!AH116-'GVFund Exp'!AL116+AJ116+AN116+AP116-'GV Fund BS'!S116</f>
        <v>0</v>
      </c>
      <c r="AS116" s="48"/>
    </row>
    <row r="117" spans="1:46" s="44" customFormat="1" ht="12.75" customHeight="1">
      <c r="A117" s="35" t="s">
        <v>143</v>
      </c>
      <c r="C117" s="35" t="s">
        <v>111</v>
      </c>
      <c r="E117" s="45">
        <v>4594923</v>
      </c>
      <c r="F117" s="48"/>
      <c r="G117" s="45">
        <f>3975505+2513055</f>
        <v>6488560</v>
      </c>
      <c r="H117" s="48"/>
      <c r="I117" s="45">
        <v>863405</v>
      </c>
      <c r="J117" s="48"/>
      <c r="K117" s="45">
        <v>175878</v>
      </c>
      <c r="L117" s="48"/>
      <c r="M117" s="45">
        <v>875710</v>
      </c>
      <c r="N117" s="48"/>
      <c r="O117" s="45">
        <v>434985</v>
      </c>
      <c r="P117" s="48"/>
      <c r="Q117" s="45">
        <v>0</v>
      </c>
      <c r="R117" s="48"/>
      <c r="S117" s="45">
        <v>3194419</v>
      </c>
      <c r="T117" s="48"/>
      <c r="U117" s="45">
        <v>244657</v>
      </c>
      <c r="V117" s="48"/>
      <c r="W117" s="48"/>
      <c r="X117" s="35"/>
      <c r="Z117" s="35"/>
      <c r="AA117" s="35"/>
      <c r="AB117" s="45">
        <v>2819636</v>
      </c>
      <c r="AC117" s="65"/>
      <c r="AD117" s="45">
        <f>370358+95767+103476</f>
        <v>569601</v>
      </c>
      <c r="AE117" s="65"/>
      <c r="AF117" s="45">
        <v>0</v>
      </c>
      <c r="AG117" s="65"/>
      <c r="AH117" s="48">
        <f t="shared" si="6"/>
        <v>20261774</v>
      </c>
      <c r="AI117" s="48"/>
      <c r="AJ117" s="48">
        <v>0</v>
      </c>
      <c r="AK117" s="48"/>
      <c r="AL117" s="45">
        <f>1738460+1589309</f>
        <v>3327769</v>
      </c>
      <c r="AM117" s="45"/>
      <c r="AN117" s="45">
        <v>16361663</v>
      </c>
      <c r="AO117" s="45"/>
      <c r="AP117" s="45">
        <v>0</v>
      </c>
      <c r="AQ117" s="45"/>
      <c r="AR117" s="45">
        <f>+'GVFund Rev'!U117+'GVFund Rev'!W117-'GVFund Exp'!AH117-'GVFund Exp'!AL117+AJ117+AN117+AP117-'GV Fund BS'!S117</f>
        <v>0</v>
      </c>
      <c r="AS117" s="48"/>
    </row>
    <row r="118" spans="1:46" s="46" customFormat="1" ht="12.75" customHeight="1">
      <c r="A118" s="28" t="s">
        <v>144</v>
      </c>
      <c r="B118" s="47"/>
      <c r="C118" s="28" t="s">
        <v>88</v>
      </c>
      <c r="D118" s="49"/>
      <c r="E118" s="45">
        <v>7888041</v>
      </c>
      <c r="F118" s="48"/>
      <c r="G118" s="45">
        <v>16058255</v>
      </c>
      <c r="H118" s="48"/>
      <c r="I118" s="45">
        <v>3288385</v>
      </c>
      <c r="J118" s="48"/>
      <c r="K118" s="45">
        <v>0</v>
      </c>
      <c r="L118" s="48"/>
      <c r="M118" s="45">
        <v>3962621</v>
      </c>
      <c r="N118" s="48"/>
      <c r="O118" s="45">
        <v>1122037</v>
      </c>
      <c r="P118" s="48"/>
      <c r="Q118" s="45">
        <v>0</v>
      </c>
      <c r="R118" s="48"/>
      <c r="S118" s="45">
        <v>3354685</v>
      </c>
      <c r="T118" s="48"/>
      <c r="U118" s="45">
        <v>0</v>
      </c>
      <c r="V118" s="48"/>
      <c r="W118" s="48"/>
      <c r="X118" s="35"/>
      <c r="Y118" s="44"/>
      <c r="Z118" s="35"/>
      <c r="AA118" s="35"/>
      <c r="AB118" s="45">
        <v>1088000</v>
      </c>
      <c r="AC118" s="65"/>
      <c r="AD118" s="45">
        <v>119644</v>
      </c>
      <c r="AE118" s="65"/>
      <c r="AF118" s="45">
        <v>0</v>
      </c>
      <c r="AG118" s="65"/>
      <c r="AH118" s="48">
        <f t="shared" si="6"/>
        <v>36881668</v>
      </c>
      <c r="AI118" s="48"/>
      <c r="AJ118" s="48">
        <v>0</v>
      </c>
      <c r="AK118" s="48"/>
      <c r="AL118" s="45">
        <v>-5832363</v>
      </c>
      <c r="AM118" s="45"/>
      <c r="AN118" s="45">
        <v>3853538</v>
      </c>
      <c r="AO118" s="45"/>
      <c r="AP118" s="45">
        <v>0</v>
      </c>
      <c r="AQ118" s="45"/>
      <c r="AR118" s="45">
        <f>+'GVFund Rev'!U118+'GVFund Rev'!W118-'GVFund Exp'!AH118-'GVFund Exp'!AL118+AJ118+AN118+AP118-'GV Fund BS'!S118</f>
        <v>0</v>
      </c>
      <c r="AS118" s="48"/>
    </row>
    <row r="119" spans="1:46" s="44" customFormat="1" ht="12.75" customHeight="1">
      <c r="A119" s="35" t="s">
        <v>36</v>
      </c>
      <c r="C119" s="35" t="s">
        <v>145</v>
      </c>
      <c r="E119" s="45">
        <v>520476</v>
      </c>
      <c r="F119" s="48"/>
      <c r="G119" s="45">
        <f>1349351+861699</f>
        <v>2211050</v>
      </c>
      <c r="H119" s="48"/>
      <c r="I119" s="45">
        <v>47475</v>
      </c>
      <c r="J119" s="48"/>
      <c r="K119" s="45">
        <v>284070</v>
      </c>
      <c r="L119" s="48"/>
      <c r="M119" s="45">
        <v>707887</v>
      </c>
      <c r="N119" s="48"/>
      <c r="O119" s="45">
        <v>177575</v>
      </c>
      <c r="P119" s="48"/>
      <c r="Q119" s="45">
        <v>2798</v>
      </c>
      <c r="R119" s="48"/>
      <c r="S119" s="45">
        <v>387134</v>
      </c>
      <c r="T119" s="48"/>
      <c r="U119" s="45">
        <v>0</v>
      </c>
      <c r="V119" s="48"/>
      <c r="W119" s="48"/>
      <c r="X119" s="35"/>
      <c r="Z119" s="35"/>
      <c r="AA119" s="35"/>
      <c r="AB119" s="45">
        <v>97093</v>
      </c>
      <c r="AC119" s="65"/>
      <c r="AD119" s="45">
        <v>19736</v>
      </c>
      <c r="AE119" s="65"/>
      <c r="AF119" s="45">
        <v>0</v>
      </c>
      <c r="AG119" s="65"/>
      <c r="AH119" s="48">
        <f t="shared" si="6"/>
        <v>4455294</v>
      </c>
      <c r="AI119" s="48"/>
      <c r="AJ119" s="48">
        <v>0</v>
      </c>
      <c r="AK119" s="48"/>
      <c r="AL119" s="45">
        <v>133000</v>
      </c>
      <c r="AM119" s="45"/>
      <c r="AN119" s="45">
        <v>2005335</v>
      </c>
      <c r="AO119" s="45"/>
      <c r="AP119" s="45">
        <v>0</v>
      </c>
      <c r="AQ119" s="45"/>
      <c r="AR119" s="45">
        <f>+'GVFund Rev'!U119+'GVFund Rev'!W119-'GVFund Exp'!AH119-'GVFund Exp'!AL119+AJ119+AN119+AP119-'GV Fund BS'!S119</f>
        <v>0</v>
      </c>
      <c r="AS119" s="48"/>
    </row>
    <row r="120" spans="1:46" s="44" customFormat="1" ht="12.75" customHeight="1">
      <c r="A120" s="64" t="s">
        <v>146</v>
      </c>
      <c r="B120" s="46"/>
      <c r="C120" s="64" t="s">
        <v>147</v>
      </c>
      <c r="D120" s="46"/>
      <c r="E120" s="45">
        <v>1232330</v>
      </c>
      <c r="F120" s="48"/>
      <c r="G120" s="45">
        <v>3288491</v>
      </c>
      <c r="H120" s="48"/>
      <c r="I120" s="45">
        <v>660403</v>
      </c>
      <c r="J120" s="48"/>
      <c r="K120" s="45">
        <v>800</v>
      </c>
      <c r="L120" s="48"/>
      <c r="M120" s="45">
        <v>622089</v>
      </c>
      <c r="N120" s="48"/>
      <c r="O120" s="45">
        <v>302681</v>
      </c>
      <c r="P120" s="48"/>
      <c r="Q120" s="45">
        <v>0</v>
      </c>
      <c r="R120" s="48"/>
      <c r="S120" s="45">
        <v>589832</v>
      </c>
      <c r="T120" s="48"/>
      <c r="U120" s="45">
        <v>0</v>
      </c>
      <c r="V120" s="48"/>
      <c r="W120" s="48"/>
      <c r="X120" s="35"/>
      <c r="Z120" s="35"/>
      <c r="AA120" s="35"/>
      <c r="AB120" s="45">
        <v>191705</v>
      </c>
      <c r="AC120" s="65"/>
      <c r="AD120" s="45">
        <v>32749</v>
      </c>
      <c r="AE120" s="65"/>
      <c r="AF120" s="45">
        <v>0</v>
      </c>
      <c r="AG120" s="65"/>
      <c r="AH120" s="48">
        <f t="shared" si="6"/>
        <v>6921080</v>
      </c>
      <c r="AI120" s="48"/>
      <c r="AJ120" s="48">
        <v>0</v>
      </c>
      <c r="AK120" s="48"/>
      <c r="AL120" s="45">
        <v>534661</v>
      </c>
      <c r="AM120" s="45"/>
      <c r="AN120" s="45">
        <v>3726130</v>
      </c>
      <c r="AO120" s="45"/>
      <c r="AP120" s="45">
        <v>0</v>
      </c>
      <c r="AQ120" s="45"/>
      <c r="AR120" s="45">
        <f>+'GVFund Rev'!U120+'GVFund Rev'!W120-'GVFund Exp'!AH120-'GVFund Exp'!AL120+AJ120+AN120+AP120-'GV Fund BS'!S120</f>
        <v>0</v>
      </c>
      <c r="AS120" s="48"/>
    </row>
    <row r="121" spans="1:46" s="44" customFormat="1" ht="12.75" customHeight="1">
      <c r="A121" s="35" t="s">
        <v>17</v>
      </c>
      <c r="C121" s="35" t="s">
        <v>17</v>
      </c>
      <c r="E121" s="45">
        <v>9751483</v>
      </c>
      <c r="F121" s="48"/>
      <c r="G121" s="45">
        <v>21024167</v>
      </c>
      <c r="H121" s="48"/>
      <c r="I121" s="45">
        <f>4014604+639207</f>
        <v>4653811</v>
      </c>
      <c r="J121" s="48"/>
      <c r="K121" s="45">
        <v>2050837</v>
      </c>
      <c r="L121" s="48"/>
      <c r="M121" s="45">
        <v>3431181</v>
      </c>
      <c r="N121" s="48"/>
      <c r="O121" s="45">
        <v>1269838</v>
      </c>
      <c r="P121" s="48"/>
      <c r="Q121" s="45">
        <v>0</v>
      </c>
      <c r="R121" s="48"/>
      <c r="S121" s="45">
        <v>3938553</v>
      </c>
      <c r="T121" s="48"/>
      <c r="U121" s="45">
        <v>0</v>
      </c>
      <c r="V121" s="48"/>
      <c r="W121" s="48"/>
      <c r="X121" s="35"/>
      <c r="Z121" s="35"/>
      <c r="AA121" s="35"/>
      <c r="AB121" s="45">
        <v>2979133</v>
      </c>
      <c r="AC121" s="65"/>
      <c r="AD121" s="45">
        <f>1970367+136664</f>
        <v>2107031</v>
      </c>
      <c r="AE121" s="65"/>
      <c r="AF121" s="45">
        <v>0</v>
      </c>
      <c r="AG121" s="65"/>
      <c r="AH121" s="48">
        <f t="shared" si="6"/>
        <v>51206034</v>
      </c>
      <c r="AI121" s="48"/>
      <c r="AJ121" s="48">
        <v>0</v>
      </c>
      <c r="AK121" s="48"/>
      <c r="AL121" s="45">
        <f>73336+2188546</f>
        <v>2261882</v>
      </c>
      <c r="AM121" s="45"/>
      <c r="AN121" s="45">
        <v>25019300</v>
      </c>
      <c r="AO121" s="45"/>
      <c r="AP121" s="45">
        <v>0</v>
      </c>
      <c r="AQ121" s="45"/>
      <c r="AR121" s="45">
        <f>+'GVFund Rev'!U121+'GVFund Rev'!W121-'GVFund Exp'!AH121-'GVFund Exp'!AL121+AJ121+AN121+AP121-'GV Fund BS'!S121</f>
        <v>0</v>
      </c>
      <c r="AS121" s="48"/>
    </row>
    <row r="122" spans="1:46" s="44" customFormat="1" ht="12.75" customHeight="1">
      <c r="A122" s="35" t="s">
        <v>148</v>
      </c>
      <c r="C122" s="35" t="s">
        <v>15</v>
      </c>
      <c r="E122" s="45">
        <v>967127</v>
      </c>
      <c r="F122" s="48"/>
      <c r="G122" s="45">
        <v>1991839</v>
      </c>
      <c r="H122" s="48"/>
      <c r="I122" s="45">
        <v>205416</v>
      </c>
      <c r="J122" s="48"/>
      <c r="K122" s="45">
        <v>44190</v>
      </c>
      <c r="L122" s="48"/>
      <c r="M122" s="45">
        <v>852425</v>
      </c>
      <c r="N122" s="48"/>
      <c r="O122" s="45">
        <v>346014</v>
      </c>
      <c r="P122" s="48"/>
      <c r="Q122" s="45">
        <v>0</v>
      </c>
      <c r="R122" s="48"/>
      <c r="S122" s="45">
        <v>1011044</v>
      </c>
      <c r="T122" s="48"/>
      <c r="U122" s="45">
        <v>0</v>
      </c>
      <c r="V122" s="48"/>
      <c r="W122" s="48"/>
      <c r="X122" s="35"/>
      <c r="Z122" s="35"/>
      <c r="AA122" s="35"/>
      <c r="AB122" s="45">
        <v>23000</v>
      </c>
      <c r="AC122" s="65"/>
      <c r="AD122" s="45">
        <v>15908</v>
      </c>
      <c r="AE122" s="65"/>
      <c r="AF122" s="45">
        <v>0</v>
      </c>
      <c r="AG122" s="65"/>
      <c r="AH122" s="48">
        <f t="shared" si="6"/>
        <v>5456963</v>
      </c>
      <c r="AI122" s="48"/>
      <c r="AJ122" s="48">
        <v>0</v>
      </c>
      <c r="AK122" s="48"/>
      <c r="AL122" s="45">
        <v>707408</v>
      </c>
      <c r="AM122" s="45"/>
      <c r="AN122" s="45">
        <v>2354068</v>
      </c>
      <c r="AO122" s="45"/>
      <c r="AP122" s="45">
        <v>0</v>
      </c>
      <c r="AQ122" s="45"/>
      <c r="AR122" s="45">
        <f>+'GVFund Rev'!U122+'GVFund Rev'!W122-'GVFund Exp'!AH122-'GVFund Exp'!AL122+AJ122+AN122+AP122-'GV Fund BS'!S122</f>
        <v>0</v>
      </c>
      <c r="AS122" s="160"/>
      <c r="AT122" s="160"/>
    </row>
    <row r="123" spans="1:46" s="44" customFormat="1" ht="12.75" customHeight="1">
      <c r="A123" s="35" t="s">
        <v>149</v>
      </c>
      <c r="C123" s="35" t="s">
        <v>45</v>
      </c>
      <c r="E123" s="45">
        <v>3217810</v>
      </c>
      <c r="F123" s="48"/>
      <c r="G123" s="45">
        <v>4990380</v>
      </c>
      <c r="H123" s="48"/>
      <c r="I123" s="45">
        <v>203022</v>
      </c>
      <c r="J123" s="48"/>
      <c r="K123" s="45">
        <v>0</v>
      </c>
      <c r="L123" s="48"/>
      <c r="M123" s="45">
        <v>644154</v>
      </c>
      <c r="N123" s="48"/>
      <c r="O123" s="45">
        <v>350259</v>
      </c>
      <c r="P123" s="48"/>
      <c r="Q123" s="45">
        <v>0</v>
      </c>
      <c r="R123" s="48"/>
      <c r="S123" s="45">
        <v>426210</v>
      </c>
      <c r="T123" s="48"/>
      <c r="U123" s="45">
        <v>0</v>
      </c>
      <c r="V123" s="48"/>
      <c r="W123" s="48"/>
      <c r="X123" s="35"/>
      <c r="Z123" s="35"/>
      <c r="AA123" s="35"/>
      <c r="AB123" s="45">
        <v>629212</v>
      </c>
      <c r="AC123" s="65"/>
      <c r="AD123" s="45">
        <v>246204</v>
      </c>
      <c r="AE123" s="65"/>
      <c r="AF123" s="45">
        <v>0</v>
      </c>
      <c r="AG123" s="65"/>
      <c r="AH123" s="48">
        <f t="shared" si="6"/>
        <v>10707251</v>
      </c>
      <c r="AI123" s="48"/>
      <c r="AJ123" s="48">
        <v>0</v>
      </c>
      <c r="AK123" s="48"/>
      <c r="AL123" s="45">
        <v>2659981</v>
      </c>
      <c r="AM123" s="45"/>
      <c r="AN123" s="45">
        <v>3697168</v>
      </c>
      <c r="AO123" s="45"/>
      <c r="AP123" s="45">
        <v>16174</v>
      </c>
      <c r="AQ123" s="45"/>
      <c r="AR123" s="45">
        <f>+'GVFund Rev'!U123+'GVFund Rev'!W123-'GVFund Exp'!AH123-'GVFund Exp'!AL123+AJ123+AN123+AP123-'GV Fund BS'!S123</f>
        <v>0</v>
      </c>
      <c r="AS123" s="48"/>
    </row>
    <row r="124" spans="1:46" s="44" customFormat="1" ht="12.75" customHeight="1">
      <c r="A124" s="35" t="s">
        <v>150</v>
      </c>
      <c r="C124" s="35" t="s">
        <v>27</v>
      </c>
      <c r="E124" s="45">
        <v>4040408</v>
      </c>
      <c r="F124" s="45"/>
      <c r="G124" s="45">
        <v>8000002</v>
      </c>
      <c r="H124" s="45"/>
      <c r="I124" s="45">
        <v>587092</v>
      </c>
      <c r="J124" s="45"/>
      <c r="K124" s="45">
        <v>55004</v>
      </c>
      <c r="L124" s="45"/>
      <c r="M124" s="45">
        <v>1715206</v>
      </c>
      <c r="N124" s="45"/>
      <c r="O124" s="45">
        <v>1046995</v>
      </c>
      <c r="P124" s="45"/>
      <c r="Q124" s="45">
        <v>2926668</v>
      </c>
      <c r="R124" s="45"/>
      <c r="S124" s="45">
        <v>0</v>
      </c>
      <c r="T124" s="45"/>
      <c r="U124" s="45">
        <v>0</v>
      </c>
      <c r="V124" s="45"/>
      <c r="W124" s="45"/>
      <c r="X124" s="45"/>
      <c r="Y124" s="45"/>
      <c r="AB124" s="45">
        <v>1169996</v>
      </c>
      <c r="AC124" s="45"/>
      <c r="AD124" s="45">
        <v>123856</v>
      </c>
      <c r="AE124" s="45"/>
      <c r="AF124" s="45">
        <v>0</v>
      </c>
      <c r="AG124" s="45"/>
      <c r="AH124" s="48">
        <f t="shared" si="6"/>
        <v>19665227</v>
      </c>
      <c r="AI124" s="48"/>
      <c r="AJ124" s="48">
        <v>0</v>
      </c>
      <c r="AK124" s="48"/>
      <c r="AL124" s="45">
        <v>1118056</v>
      </c>
      <c r="AM124" s="45"/>
      <c r="AN124" s="45">
        <v>17534550</v>
      </c>
      <c r="AO124" s="45"/>
      <c r="AP124" s="45">
        <v>-1252</v>
      </c>
      <c r="AQ124" s="45"/>
      <c r="AR124" s="45">
        <f>+'GVFund Rev'!U124+'GVFund Rev'!W124-'GVFund Exp'!AH124-'GVFund Exp'!AL124+AJ124+AN124+AP124-'GV Fund BS'!S124</f>
        <v>0</v>
      </c>
      <c r="AS124" s="48"/>
    </row>
    <row r="125" spans="1:46" s="44" customFormat="1" ht="12.75" customHeight="1">
      <c r="A125" s="35" t="s">
        <v>151</v>
      </c>
      <c r="C125" s="35" t="s">
        <v>13</v>
      </c>
      <c r="E125" s="45">
        <v>2665156</v>
      </c>
      <c r="F125" s="48"/>
      <c r="G125" s="45">
        <v>5230222</v>
      </c>
      <c r="H125" s="48"/>
      <c r="I125" s="45">
        <v>481068</v>
      </c>
      <c r="J125" s="48"/>
      <c r="K125" s="45">
        <v>201280</v>
      </c>
      <c r="L125" s="48"/>
      <c r="M125" s="45">
        <v>1931881</v>
      </c>
      <c r="N125" s="48"/>
      <c r="O125" s="45">
        <v>1591611</v>
      </c>
      <c r="P125" s="48"/>
      <c r="Q125" s="45">
        <v>305533</v>
      </c>
      <c r="R125" s="48"/>
      <c r="S125" s="45">
        <v>3878147</v>
      </c>
      <c r="T125" s="48"/>
      <c r="U125" s="45">
        <v>0</v>
      </c>
      <c r="V125" s="48"/>
      <c r="W125" s="48"/>
      <c r="X125" s="35"/>
      <c r="Z125" s="35"/>
      <c r="AA125" s="35"/>
      <c r="AB125" s="45">
        <v>1007638</v>
      </c>
      <c r="AC125" s="65"/>
      <c r="AD125" s="45">
        <v>486461</v>
      </c>
      <c r="AE125" s="65"/>
      <c r="AF125" s="45">
        <v>0</v>
      </c>
      <c r="AG125" s="65"/>
      <c r="AH125" s="48">
        <f t="shared" si="6"/>
        <v>17778997</v>
      </c>
      <c r="AI125" s="48"/>
      <c r="AJ125" s="48">
        <v>0</v>
      </c>
      <c r="AK125" s="48"/>
      <c r="AL125" s="45">
        <v>1923673</v>
      </c>
      <c r="AM125" s="45"/>
      <c r="AN125" s="45">
        <v>4485939</v>
      </c>
      <c r="AO125" s="45"/>
      <c r="AP125" s="45">
        <v>0</v>
      </c>
      <c r="AQ125" s="45"/>
      <c r="AR125" s="45">
        <f>+'GVFund Rev'!U125+'GVFund Rev'!W125-'GVFund Exp'!AH125-'GVFund Exp'!AL125+AJ125+AN125+AP125-'GV Fund BS'!S125</f>
        <v>0</v>
      </c>
      <c r="AS125" s="48"/>
    </row>
    <row r="126" spans="1:46" s="44" customFormat="1" ht="12.75" customHeight="1">
      <c r="A126" s="35" t="s">
        <v>481</v>
      </c>
      <c r="C126" s="35" t="s">
        <v>45</v>
      </c>
      <c r="E126" s="45">
        <v>1052349</v>
      </c>
      <c r="F126" s="48"/>
      <c r="G126" s="45">
        <v>3094902</v>
      </c>
      <c r="H126" s="48"/>
      <c r="I126" s="45">
        <v>157749</v>
      </c>
      <c r="J126" s="48"/>
      <c r="K126" s="45">
        <v>0</v>
      </c>
      <c r="L126" s="48"/>
      <c r="M126" s="45">
        <v>1759368</v>
      </c>
      <c r="N126" s="48"/>
      <c r="O126" s="45">
        <v>180179</v>
      </c>
      <c r="P126" s="48"/>
      <c r="Q126" s="45">
        <v>498387</v>
      </c>
      <c r="R126" s="48"/>
      <c r="S126" s="45">
        <v>596005</v>
      </c>
      <c r="T126" s="48"/>
      <c r="U126" s="45">
        <v>0</v>
      </c>
      <c r="V126" s="48"/>
      <c r="W126" s="48"/>
      <c r="X126" s="35"/>
      <c r="Z126" s="35"/>
      <c r="AA126" s="35"/>
      <c r="AB126" s="45">
        <v>250000</v>
      </c>
      <c r="AC126" s="65"/>
      <c r="AD126" s="45">
        <v>41135</v>
      </c>
      <c r="AE126" s="65"/>
      <c r="AF126" s="45">
        <v>0</v>
      </c>
      <c r="AG126" s="65"/>
      <c r="AH126" s="48">
        <f t="shared" si="6"/>
        <v>7630074</v>
      </c>
      <c r="AI126" s="48"/>
      <c r="AJ126" s="48"/>
      <c r="AK126" s="48"/>
      <c r="AL126" s="45">
        <v>712000</v>
      </c>
      <c r="AM126" s="45"/>
      <c r="AN126" s="45">
        <v>3593161</v>
      </c>
      <c r="AO126" s="45"/>
      <c r="AP126" s="45">
        <v>0</v>
      </c>
      <c r="AQ126" s="45"/>
      <c r="AR126" s="45">
        <f>+'GVFund Rev'!U126+'GVFund Rev'!W126-'GVFund Exp'!AH126-'GVFund Exp'!AL126+AJ126+AN126+AP126-'GV Fund BS'!S126</f>
        <v>0</v>
      </c>
      <c r="AS126" s="48"/>
    </row>
    <row r="127" spans="1:46" s="44" customFormat="1" ht="12.75" customHeight="1">
      <c r="A127" s="35" t="s">
        <v>152</v>
      </c>
      <c r="C127" s="35" t="s">
        <v>153</v>
      </c>
      <c r="E127" s="45">
        <v>10254320</v>
      </c>
      <c r="F127" s="48"/>
      <c r="G127" s="45">
        <v>24230031</v>
      </c>
      <c r="H127" s="48"/>
      <c r="I127" s="45">
        <v>1787617</v>
      </c>
      <c r="J127" s="48"/>
      <c r="K127" s="45">
        <v>154251</v>
      </c>
      <c r="L127" s="48"/>
      <c r="M127" s="45">
        <v>4454990</v>
      </c>
      <c r="N127" s="48"/>
      <c r="O127" s="45">
        <v>1231940</v>
      </c>
      <c r="P127" s="48"/>
      <c r="Q127" s="45">
        <v>0</v>
      </c>
      <c r="R127" s="48"/>
      <c r="S127" s="45">
        <v>8054070</v>
      </c>
      <c r="T127" s="48"/>
      <c r="U127" s="45">
        <v>0</v>
      </c>
      <c r="V127" s="48"/>
      <c r="W127" s="48"/>
      <c r="X127" s="35"/>
      <c r="Z127" s="35"/>
      <c r="AA127" s="35"/>
      <c r="AB127" s="45">
        <v>305000</v>
      </c>
      <c r="AC127" s="65"/>
      <c r="AD127" s="45">
        <v>242972</v>
      </c>
      <c r="AE127" s="65"/>
      <c r="AF127" s="45">
        <v>0</v>
      </c>
      <c r="AG127" s="65"/>
      <c r="AH127" s="48">
        <f t="shared" si="6"/>
        <v>50715191</v>
      </c>
      <c r="AI127" s="48"/>
      <c r="AJ127" s="48">
        <v>0</v>
      </c>
      <c r="AK127" s="48"/>
      <c r="AL127" s="45">
        <v>1833962</v>
      </c>
      <c r="AM127" s="45"/>
      <c r="AN127" s="45">
        <v>13076694</v>
      </c>
      <c r="AO127" s="45"/>
      <c r="AP127" s="45">
        <v>154248</v>
      </c>
      <c r="AQ127" s="45"/>
      <c r="AR127" s="45">
        <f>+'GVFund Rev'!U127+'GVFund Rev'!W127-'GVFund Exp'!AH127-'GVFund Exp'!AL127+AJ127+AN127+AP127-'GV Fund BS'!S127</f>
        <v>0</v>
      </c>
      <c r="AS127" s="48"/>
    </row>
    <row r="128" spans="1:46" s="121" customFormat="1" ht="12.75" hidden="1" customHeight="1">
      <c r="A128" s="126" t="s">
        <v>154</v>
      </c>
      <c r="C128" s="126" t="s">
        <v>27</v>
      </c>
      <c r="E128" s="127"/>
      <c r="F128" s="132"/>
      <c r="G128" s="127"/>
      <c r="H128" s="132"/>
      <c r="I128" s="127"/>
      <c r="J128" s="132"/>
      <c r="K128" s="127"/>
      <c r="L128" s="132"/>
      <c r="M128" s="127"/>
      <c r="N128" s="132"/>
      <c r="O128" s="127"/>
      <c r="P128" s="132"/>
      <c r="Q128" s="127"/>
      <c r="R128" s="132"/>
      <c r="S128" s="127"/>
      <c r="T128" s="132"/>
      <c r="U128" s="127"/>
      <c r="V128" s="132"/>
      <c r="W128" s="132"/>
      <c r="X128" s="126"/>
      <c r="Z128" s="126"/>
      <c r="AA128" s="126"/>
      <c r="AB128" s="127"/>
      <c r="AC128" s="125"/>
      <c r="AD128" s="127"/>
      <c r="AE128" s="125"/>
      <c r="AF128" s="127"/>
      <c r="AG128" s="125"/>
      <c r="AH128" s="132">
        <f t="shared" si="6"/>
        <v>0</v>
      </c>
      <c r="AI128" s="132"/>
      <c r="AJ128" s="132">
        <v>0</v>
      </c>
      <c r="AK128" s="132"/>
      <c r="AL128" s="127"/>
      <c r="AM128" s="127"/>
      <c r="AN128" s="127"/>
      <c r="AO128" s="127"/>
      <c r="AP128" s="127"/>
      <c r="AQ128" s="127"/>
      <c r="AR128" s="127">
        <f>+'GVFund Rev'!U128+'GVFund Rev'!W128-'GVFund Exp'!AH128-'GVFund Exp'!AL128+AJ128+AN128+AP128-'GV Fund BS'!S128</f>
        <v>0</v>
      </c>
      <c r="AS128" s="132"/>
    </row>
    <row r="129" spans="1:46" s="44" customFormat="1" ht="12.75" customHeight="1">
      <c r="A129" s="35" t="s">
        <v>155</v>
      </c>
      <c r="C129" s="35" t="s">
        <v>40</v>
      </c>
      <c r="E129" s="45">
        <f>3677365+1061890</f>
        <v>4739255</v>
      </c>
      <c r="F129" s="48"/>
      <c r="G129" s="45">
        <f>2960287+3115598</f>
        <v>6075885</v>
      </c>
      <c r="H129" s="48"/>
      <c r="I129" s="45">
        <v>750981</v>
      </c>
      <c r="J129" s="48"/>
      <c r="K129" s="45">
        <v>813544</v>
      </c>
      <c r="L129" s="48"/>
      <c r="M129" s="45">
        <f>2568+2064169</f>
        <v>2066737</v>
      </c>
      <c r="N129" s="48"/>
      <c r="O129" s="45">
        <v>422695</v>
      </c>
      <c r="P129" s="48"/>
      <c r="Q129" s="45">
        <v>0</v>
      </c>
      <c r="R129" s="48"/>
      <c r="S129" s="45">
        <v>788762</v>
      </c>
      <c r="T129" s="48"/>
      <c r="U129" s="45">
        <v>1458854</v>
      </c>
      <c r="V129" s="48"/>
      <c r="W129" s="48"/>
      <c r="X129" s="35"/>
      <c r="Z129" s="35"/>
      <c r="AA129" s="35"/>
      <c r="AB129" s="45">
        <v>25435</v>
      </c>
      <c r="AC129" s="65"/>
      <c r="AD129" s="45">
        <f>238000+87201</f>
        <v>325201</v>
      </c>
      <c r="AE129" s="65"/>
      <c r="AF129" s="45">
        <v>0</v>
      </c>
      <c r="AG129" s="65"/>
      <c r="AH129" s="48">
        <f t="shared" si="6"/>
        <v>17467349</v>
      </c>
      <c r="AI129" s="48"/>
      <c r="AJ129" s="48">
        <v>0</v>
      </c>
      <c r="AK129" s="48"/>
      <c r="AL129" s="45">
        <f>970000+685180</f>
        <v>1655180</v>
      </c>
      <c r="AM129" s="45"/>
      <c r="AN129" s="45">
        <v>9459927</v>
      </c>
      <c r="AO129" s="45"/>
      <c r="AP129" s="45">
        <v>0</v>
      </c>
      <c r="AQ129" s="45"/>
      <c r="AR129" s="45">
        <f>+'GVFund Rev'!U129+'GVFund Rev'!W129-'GVFund Exp'!AH129-'GVFund Exp'!AL129+AJ129+AN129+AP129-'GV Fund BS'!S129</f>
        <v>0</v>
      </c>
      <c r="AS129" s="48"/>
    </row>
    <row r="130" spans="1:46" s="44" customFormat="1" ht="12.75" customHeight="1">
      <c r="A130" s="35"/>
      <c r="C130" s="35"/>
      <c r="E130" s="45"/>
      <c r="F130" s="48"/>
      <c r="G130" s="45"/>
      <c r="H130" s="48"/>
      <c r="I130" s="45"/>
      <c r="J130" s="48"/>
      <c r="K130" s="45"/>
      <c r="L130" s="48"/>
      <c r="M130" s="45"/>
      <c r="N130" s="48"/>
      <c r="O130" s="45"/>
      <c r="P130" s="48"/>
      <c r="Q130" s="45"/>
      <c r="R130" s="48"/>
      <c r="S130" s="45"/>
      <c r="T130" s="48"/>
      <c r="U130" s="45"/>
      <c r="V130" s="48"/>
      <c r="W130" s="48"/>
      <c r="X130" s="35"/>
      <c r="Z130" s="35"/>
      <c r="AA130" s="35"/>
      <c r="AB130" s="45"/>
      <c r="AC130" s="65"/>
      <c r="AD130" s="45"/>
      <c r="AE130" s="65"/>
      <c r="AF130" s="45"/>
      <c r="AG130" s="65"/>
      <c r="AH130" s="48"/>
      <c r="AI130" s="48"/>
      <c r="AJ130" s="48"/>
      <c r="AK130" s="48"/>
      <c r="AL130" s="48" t="s">
        <v>484</v>
      </c>
      <c r="AM130" s="45"/>
      <c r="AN130" s="45"/>
      <c r="AO130" s="45"/>
      <c r="AP130" s="45"/>
      <c r="AQ130" s="45"/>
      <c r="AR130" s="45"/>
      <c r="AS130" s="48"/>
    </row>
    <row r="131" spans="1:46" s="44" customFormat="1" ht="12.75" customHeight="1">
      <c r="A131" s="64" t="s">
        <v>156</v>
      </c>
      <c r="B131" s="46"/>
      <c r="C131" s="64" t="s">
        <v>156</v>
      </c>
      <c r="D131" s="46"/>
      <c r="E131" s="94">
        <f>824660+4188079</f>
        <v>5012739</v>
      </c>
      <c r="F131" s="68"/>
      <c r="G131" s="94">
        <f>7397210+6195101+296923</f>
        <v>13889234</v>
      </c>
      <c r="H131" s="68"/>
      <c r="I131" s="94">
        <v>1351027</v>
      </c>
      <c r="J131" s="68"/>
      <c r="K131" s="94">
        <v>1231500</v>
      </c>
      <c r="L131" s="68"/>
      <c r="M131" s="94">
        <f>1117012+3172806</f>
        <v>4289818</v>
      </c>
      <c r="N131" s="68"/>
      <c r="O131" s="94">
        <v>1471093</v>
      </c>
      <c r="P131" s="68"/>
      <c r="Q131" s="94">
        <v>0</v>
      </c>
      <c r="R131" s="68"/>
      <c r="S131" s="94">
        <v>0</v>
      </c>
      <c r="T131" s="68"/>
      <c r="U131" s="94">
        <v>0</v>
      </c>
      <c r="V131" s="68"/>
      <c r="W131" s="68"/>
      <c r="X131" s="64"/>
      <c r="Y131" s="46"/>
      <c r="Z131" s="64"/>
      <c r="AA131" s="64"/>
      <c r="AB131" s="94">
        <v>346898</v>
      </c>
      <c r="AC131" s="66"/>
      <c r="AD131" s="94">
        <v>190754</v>
      </c>
      <c r="AE131" s="66"/>
      <c r="AF131" s="94">
        <v>0</v>
      </c>
      <c r="AG131" s="66"/>
      <c r="AH131" s="68">
        <f t="shared" si="6"/>
        <v>27783063</v>
      </c>
      <c r="AI131" s="68"/>
      <c r="AJ131" s="68">
        <v>0</v>
      </c>
      <c r="AK131" s="68"/>
      <c r="AL131" s="94">
        <f>1580000+1732944</f>
        <v>3312944</v>
      </c>
      <c r="AM131" s="94"/>
      <c r="AN131" s="94">
        <v>8381381</v>
      </c>
      <c r="AO131" s="94"/>
      <c r="AP131" s="94">
        <v>0</v>
      </c>
      <c r="AQ131" s="94"/>
      <c r="AR131" s="94">
        <f>+'GVFund Rev'!U131+'GVFund Rev'!W131-'GVFund Exp'!AH131-'GVFund Exp'!AL131+AJ131+AN131+AP131-'GV Fund BS'!S131</f>
        <v>0</v>
      </c>
      <c r="AS131" s="68"/>
      <c r="AT131" s="46"/>
    </row>
    <row r="132" spans="1:46" s="44" customFormat="1" ht="12.75" customHeight="1">
      <c r="A132" s="35" t="s">
        <v>157</v>
      </c>
      <c r="C132" s="35" t="s">
        <v>33</v>
      </c>
      <c r="E132" s="45">
        <v>595417</v>
      </c>
      <c r="F132" s="48"/>
      <c r="G132" s="45">
        <v>2129297</v>
      </c>
      <c r="H132" s="48"/>
      <c r="I132" s="45">
        <v>301229</v>
      </c>
      <c r="J132" s="48"/>
      <c r="K132" s="45">
        <v>59093</v>
      </c>
      <c r="L132" s="48"/>
      <c r="M132" s="45">
        <v>439395</v>
      </c>
      <c r="N132" s="48"/>
      <c r="O132" s="45">
        <v>43230</v>
      </c>
      <c r="P132" s="48"/>
      <c r="Q132" s="45">
        <v>0</v>
      </c>
      <c r="R132" s="48"/>
      <c r="S132" s="45">
        <v>329136</v>
      </c>
      <c r="T132" s="48"/>
      <c r="U132" s="45">
        <v>0</v>
      </c>
      <c r="V132" s="48"/>
      <c r="W132" s="48"/>
      <c r="X132" s="35"/>
      <c r="Z132" s="35"/>
      <c r="AA132" s="35"/>
      <c r="AB132" s="45">
        <v>387241</v>
      </c>
      <c r="AC132" s="65"/>
      <c r="AD132" s="45">
        <v>24145</v>
      </c>
      <c r="AE132" s="65"/>
      <c r="AF132" s="45">
        <v>0</v>
      </c>
      <c r="AG132" s="65"/>
      <c r="AH132" s="48">
        <f t="shared" si="6"/>
        <v>4308183</v>
      </c>
      <c r="AI132" s="48"/>
      <c r="AJ132" s="48">
        <v>0</v>
      </c>
      <c r="AK132" s="48"/>
      <c r="AL132" s="45">
        <v>168000</v>
      </c>
      <c r="AM132" s="45"/>
      <c r="AN132" s="45">
        <v>2717309</v>
      </c>
      <c r="AO132" s="45"/>
      <c r="AP132" s="45">
        <v>0</v>
      </c>
      <c r="AQ132" s="45"/>
      <c r="AR132" s="45">
        <f>+'GVFund Rev'!U132+'GVFund Rev'!W132-'GVFund Exp'!AH132-'GVFund Exp'!AL132+AJ132+AN132+AP132-'GV Fund BS'!S132</f>
        <v>0</v>
      </c>
      <c r="AS132" s="48"/>
    </row>
    <row r="133" spans="1:46" s="44" customFormat="1" ht="12.75" customHeight="1">
      <c r="A133" s="35" t="s">
        <v>158</v>
      </c>
      <c r="C133" s="35" t="s">
        <v>159</v>
      </c>
      <c r="E133" s="45">
        <v>2508509</v>
      </c>
      <c r="F133" s="48"/>
      <c r="G133" s="45">
        <f>3387218+3410051+694329</f>
        <v>7491598</v>
      </c>
      <c r="H133" s="48"/>
      <c r="I133" s="45">
        <v>969137</v>
      </c>
      <c r="J133" s="48"/>
      <c r="K133" s="45">
        <v>488881</v>
      </c>
      <c r="L133" s="48"/>
      <c r="M133" s="45">
        <v>1394077</v>
      </c>
      <c r="N133" s="48"/>
      <c r="O133" s="45">
        <v>263781</v>
      </c>
      <c r="P133" s="48"/>
      <c r="Q133" s="45">
        <v>0</v>
      </c>
      <c r="R133" s="48"/>
      <c r="S133" s="45">
        <v>2434010</v>
      </c>
      <c r="T133" s="48"/>
      <c r="U133" s="45">
        <v>0</v>
      </c>
      <c r="V133" s="48"/>
      <c r="W133" s="48"/>
      <c r="X133" s="35"/>
      <c r="Z133" s="35"/>
      <c r="AA133" s="35"/>
      <c r="AB133" s="45">
        <v>15494363</v>
      </c>
      <c r="AC133" s="65"/>
      <c r="AD133" s="45">
        <v>980620</v>
      </c>
      <c r="AE133" s="65"/>
      <c r="AF133" s="45">
        <v>0</v>
      </c>
      <c r="AG133" s="65"/>
      <c r="AH133" s="48">
        <f t="shared" ref="AH133:AH144" si="7">SUM(E133:AF133)</f>
        <v>32024976</v>
      </c>
      <c r="AI133" s="48"/>
      <c r="AJ133" s="48">
        <v>0</v>
      </c>
      <c r="AK133" s="48"/>
      <c r="AL133" s="45">
        <f>127422+3128061</f>
        <v>3255483</v>
      </c>
      <c r="AM133" s="45"/>
      <c r="AN133" s="45">
        <v>10224580</v>
      </c>
      <c r="AO133" s="45"/>
      <c r="AP133" s="45">
        <v>0</v>
      </c>
      <c r="AQ133" s="45"/>
      <c r="AR133" s="45">
        <f>+'GVFund Rev'!U133+'GVFund Rev'!W133-'GVFund Exp'!AH133-'GVFund Exp'!AL133+AJ133+AN133+AP133-'GV Fund BS'!S133</f>
        <v>0</v>
      </c>
      <c r="AS133" s="48"/>
    </row>
    <row r="134" spans="1:46" s="46" customFormat="1" ht="12.75" customHeight="1">
      <c r="A134" s="64" t="s">
        <v>160</v>
      </c>
      <c r="C134" s="64" t="s">
        <v>111</v>
      </c>
      <c r="E134" s="45">
        <v>8068369</v>
      </c>
      <c r="F134" s="48"/>
      <c r="G134" s="45">
        <v>11343794</v>
      </c>
      <c r="H134" s="48"/>
      <c r="I134" s="45">
        <v>1452353</v>
      </c>
      <c r="J134" s="48"/>
      <c r="K134" s="45">
        <v>0</v>
      </c>
      <c r="L134" s="48"/>
      <c r="M134" s="45">
        <v>3543548</v>
      </c>
      <c r="N134" s="48"/>
      <c r="O134" s="45">
        <v>2488160</v>
      </c>
      <c r="P134" s="48"/>
      <c r="Q134" s="45">
        <v>251649</v>
      </c>
      <c r="R134" s="48"/>
      <c r="S134" s="45">
        <v>10552105</v>
      </c>
      <c r="T134" s="48"/>
      <c r="U134" s="45">
        <v>0</v>
      </c>
      <c r="V134" s="48"/>
      <c r="W134" s="48"/>
      <c r="X134" s="35"/>
      <c r="Y134" s="44"/>
      <c r="Z134" s="35"/>
      <c r="AA134" s="35"/>
      <c r="AB134" s="45">
        <v>13921000</v>
      </c>
      <c r="AC134" s="65"/>
      <c r="AD134" s="45">
        <v>2412382</v>
      </c>
      <c r="AE134" s="65"/>
      <c r="AF134" s="45">
        <v>0</v>
      </c>
      <c r="AG134" s="65"/>
      <c r="AH134" s="48">
        <f t="shared" si="7"/>
        <v>54033360</v>
      </c>
      <c r="AI134" s="48"/>
      <c r="AJ134" s="48">
        <v>0</v>
      </c>
      <c r="AK134" s="48"/>
      <c r="AL134" s="45">
        <v>5786700</v>
      </c>
      <c r="AM134" s="45"/>
      <c r="AN134" s="45">
        <v>41328146</v>
      </c>
      <c r="AO134" s="45"/>
      <c r="AP134" s="45">
        <v>-7591</v>
      </c>
      <c r="AQ134" s="45"/>
      <c r="AR134" s="45">
        <f>+'GVFund Rev'!U134+'GVFund Rev'!W134-'GVFund Exp'!AH134-'GVFund Exp'!AL134+AJ134+AN134+AP134-'GV Fund BS'!S134</f>
        <v>0</v>
      </c>
      <c r="AS134" s="68"/>
    </row>
    <row r="135" spans="1:46" s="44" customFormat="1" ht="12.75" customHeight="1">
      <c r="A135" s="35" t="s">
        <v>161</v>
      </c>
      <c r="C135" s="35" t="s">
        <v>15</v>
      </c>
      <c r="E135" s="45">
        <v>6380588</v>
      </c>
      <c r="F135" s="48"/>
      <c r="G135" s="45">
        <v>9563298</v>
      </c>
      <c r="H135" s="48"/>
      <c r="I135" s="45">
        <v>863840</v>
      </c>
      <c r="J135" s="48"/>
      <c r="K135" s="45">
        <v>639736</v>
      </c>
      <c r="L135" s="48"/>
      <c r="M135" s="45">
        <v>3183091</v>
      </c>
      <c r="N135" s="48"/>
      <c r="O135" s="45">
        <v>2690946</v>
      </c>
      <c r="P135" s="48"/>
      <c r="Q135" s="45">
        <f>145989+81980</f>
        <v>227969</v>
      </c>
      <c r="R135" s="48"/>
      <c r="S135" s="45">
        <v>524025</v>
      </c>
      <c r="T135" s="48"/>
      <c r="U135" s="45">
        <v>0</v>
      </c>
      <c r="V135" s="48"/>
      <c r="W135" s="48"/>
      <c r="X135" s="35"/>
      <c r="Z135" s="35"/>
      <c r="AA135" s="35"/>
      <c r="AB135" s="45">
        <v>1007974</v>
      </c>
      <c r="AC135" s="65"/>
      <c r="AD135" s="45">
        <v>1429994</v>
      </c>
      <c r="AE135" s="65"/>
      <c r="AF135" s="45">
        <v>0</v>
      </c>
      <c r="AG135" s="65"/>
      <c r="AH135" s="48">
        <f t="shared" si="7"/>
        <v>26511461</v>
      </c>
      <c r="AI135" s="48"/>
      <c r="AJ135" s="48">
        <v>0</v>
      </c>
      <c r="AK135" s="48"/>
      <c r="AL135" s="45">
        <v>1417831</v>
      </c>
      <c r="AM135" s="45"/>
      <c r="AN135" s="45">
        <v>5030762</v>
      </c>
      <c r="AO135" s="45"/>
      <c r="AP135" s="45"/>
      <c r="AQ135" s="45"/>
      <c r="AR135" s="45">
        <f>+'GVFund Rev'!U135+'GVFund Rev'!W135-'GVFund Exp'!AH135-'GVFund Exp'!AL135+AJ135+AN135+AP135-'GV Fund BS'!S135</f>
        <v>0</v>
      </c>
      <c r="AS135" s="48"/>
    </row>
    <row r="136" spans="1:46" s="46" customFormat="1" ht="12.75" customHeight="1">
      <c r="A136" s="35" t="s">
        <v>162</v>
      </c>
      <c r="B136" s="44"/>
      <c r="C136" s="35" t="s">
        <v>163</v>
      </c>
      <c r="D136" s="44"/>
      <c r="E136" s="45">
        <v>5215085</v>
      </c>
      <c r="F136" s="48"/>
      <c r="G136" s="45">
        <v>10248883</v>
      </c>
      <c r="H136" s="48"/>
      <c r="I136" s="45">
        <v>932573</v>
      </c>
      <c r="J136" s="48"/>
      <c r="K136" s="45">
        <v>178416</v>
      </c>
      <c r="L136" s="48"/>
      <c r="M136" s="45">
        <v>3402142</v>
      </c>
      <c r="N136" s="48"/>
      <c r="O136" s="45">
        <v>2219650</v>
      </c>
      <c r="P136" s="48"/>
      <c r="Q136" s="45">
        <v>1094690</v>
      </c>
      <c r="R136" s="48"/>
      <c r="S136" s="45">
        <v>2925971</v>
      </c>
      <c r="T136" s="48"/>
      <c r="U136" s="45">
        <v>0</v>
      </c>
      <c r="V136" s="48"/>
      <c r="W136" s="48"/>
      <c r="X136" s="35"/>
      <c r="Y136" s="44"/>
      <c r="Z136" s="35"/>
      <c r="AA136" s="35"/>
      <c r="AB136" s="45">
        <v>847391</v>
      </c>
      <c r="AC136" s="65"/>
      <c r="AD136" s="45">
        <v>1101574</v>
      </c>
      <c r="AE136" s="65"/>
      <c r="AF136" s="45">
        <v>0</v>
      </c>
      <c r="AG136" s="65"/>
      <c r="AH136" s="48">
        <f t="shared" si="7"/>
        <v>28166375</v>
      </c>
      <c r="AI136" s="48"/>
      <c r="AJ136" s="48">
        <v>0</v>
      </c>
      <c r="AK136" s="48"/>
      <c r="AL136" s="45">
        <v>15367297</v>
      </c>
      <c r="AM136" s="45"/>
      <c r="AN136" s="45">
        <v>29369661</v>
      </c>
      <c r="AO136" s="45"/>
      <c r="AP136" s="45">
        <v>34405</v>
      </c>
      <c r="AQ136" s="45"/>
      <c r="AR136" s="45">
        <f>+'GVFund Rev'!U136+'GVFund Rev'!W136-'GVFund Exp'!AH136-'GVFund Exp'!AL136+AJ136+AN136+AP136-'GV Fund BS'!S136</f>
        <v>0</v>
      </c>
      <c r="AS136" s="68"/>
    </row>
    <row r="137" spans="1:46" s="44" customFormat="1" ht="12.75" customHeight="1">
      <c r="A137" s="35" t="s">
        <v>164</v>
      </c>
      <c r="C137" s="35" t="s">
        <v>27</v>
      </c>
      <c r="E137" s="45">
        <v>2425798</v>
      </c>
      <c r="F137" s="45"/>
      <c r="G137" s="45">
        <v>10618437</v>
      </c>
      <c r="H137" s="45"/>
      <c r="I137" s="45">
        <v>893570</v>
      </c>
      <c r="J137" s="45"/>
      <c r="K137" s="45">
        <v>300414</v>
      </c>
      <c r="L137" s="45"/>
      <c r="M137" s="45">
        <v>3755924</v>
      </c>
      <c r="N137" s="45"/>
      <c r="O137" s="45">
        <v>1563783</v>
      </c>
      <c r="P137" s="45"/>
      <c r="Q137" s="45">
        <v>868927</v>
      </c>
      <c r="R137" s="45"/>
      <c r="S137" s="45">
        <v>0</v>
      </c>
      <c r="T137" s="45"/>
      <c r="U137" s="45">
        <v>0</v>
      </c>
      <c r="V137" s="45"/>
      <c r="W137" s="45"/>
      <c r="X137" s="45"/>
      <c r="Y137" s="45"/>
      <c r="AB137" s="45">
        <v>7058602</v>
      </c>
      <c r="AC137" s="45"/>
      <c r="AD137" s="45">
        <v>297174</v>
      </c>
      <c r="AE137" s="48"/>
      <c r="AF137" s="45">
        <v>0</v>
      </c>
      <c r="AG137" s="45"/>
      <c r="AH137" s="48">
        <f>SUM(E137:AF137)</f>
        <v>27782629</v>
      </c>
      <c r="AI137" s="45">
        <v>19214780</v>
      </c>
      <c r="AJ137" s="45"/>
      <c r="AK137" s="48"/>
      <c r="AL137" s="45">
        <v>2322500</v>
      </c>
      <c r="AM137" s="45"/>
      <c r="AN137" s="45">
        <v>20777409</v>
      </c>
      <c r="AO137" s="45"/>
      <c r="AP137" s="45">
        <v>-17288</v>
      </c>
      <c r="AQ137" s="45"/>
      <c r="AR137" s="45">
        <f>+'GVFund Rev'!U137+'GVFund Rev'!W137-'GVFund Exp'!AH137-'GVFund Exp'!AL137+AJ137+AN137+AP137-'GV Fund BS'!S137</f>
        <v>0</v>
      </c>
      <c r="AS137" s="48"/>
    </row>
    <row r="138" spans="1:46" s="44" customFormat="1" ht="12.75" customHeight="1">
      <c r="A138" s="35" t="s">
        <v>53</v>
      </c>
      <c r="C138" s="35" t="s">
        <v>53</v>
      </c>
      <c r="E138" s="45">
        <v>6414941</v>
      </c>
      <c r="F138" s="48"/>
      <c r="G138" s="45">
        <v>7325187</v>
      </c>
      <c r="H138" s="48"/>
      <c r="I138" s="45">
        <v>991664</v>
      </c>
      <c r="J138" s="48"/>
      <c r="K138" s="45">
        <v>166441</v>
      </c>
      <c r="L138" s="48"/>
      <c r="M138" s="45">
        <v>3428909</v>
      </c>
      <c r="N138" s="48"/>
      <c r="O138" s="45">
        <v>1005208</v>
      </c>
      <c r="P138" s="48"/>
      <c r="Q138" s="45">
        <v>84288</v>
      </c>
      <c r="R138" s="48"/>
      <c r="S138" s="45">
        <v>617743</v>
      </c>
      <c r="T138" s="48"/>
      <c r="U138" s="45">
        <v>0</v>
      </c>
      <c r="V138" s="48"/>
      <c r="W138" s="48"/>
      <c r="X138" s="35"/>
      <c r="Z138" s="35"/>
      <c r="AA138" s="35"/>
      <c r="AB138" s="45">
        <v>226905</v>
      </c>
      <c r="AC138" s="65"/>
      <c r="AD138" s="45">
        <v>110437</v>
      </c>
      <c r="AE138" s="65"/>
      <c r="AF138" s="45">
        <v>0</v>
      </c>
      <c r="AG138" s="65"/>
      <c r="AH138" s="48">
        <f t="shared" si="7"/>
        <v>20371723</v>
      </c>
      <c r="AI138" s="48"/>
      <c r="AJ138" s="48">
        <v>0</v>
      </c>
      <c r="AK138" s="48"/>
      <c r="AL138" s="45">
        <v>30000</v>
      </c>
      <c r="AM138" s="45"/>
      <c r="AN138" s="45">
        <v>28050574</v>
      </c>
      <c r="AO138" s="45"/>
      <c r="AP138" s="45">
        <v>0</v>
      </c>
      <c r="AQ138" s="45"/>
      <c r="AR138" s="45">
        <f>+'GVFund Rev'!U138+'GVFund Rev'!W138-'GVFund Exp'!AH138-'GVFund Exp'!AL138+AJ138+AN138+AP138-'GV Fund BS'!S138</f>
        <v>0</v>
      </c>
      <c r="AS138" s="48"/>
    </row>
    <row r="139" spans="1:46" s="44" customFormat="1" ht="12.75" customHeight="1">
      <c r="A139" s="35" t="s">
        <v>165</v>
      </c>
      <c r="C139" s="35" t="s">
        <v>92</v>
      </c>
      <c r="E139" s="45">
        <v>7742992</v>
      </c>
      <c r="F139" s="48"/>
      <c r="G139" s="45">
        <f>11710607+10991511</f>
        <v>22702118</v>
      </c>
      <c r="H139" s="48"/>
      <c r="I139" s="45">
        <v>1718495</v>
      </c>
      <c r="J139" s="48"/>
      <c r="K139" s="45">
        <v>0</v>
      </c>
      <c r="L139" s="48"/>
      <c r="M139" s="45">
        <v>12137320</v>
      </c>
      <c r="N139" s="48"/>
      <c r="O139" s="45">
        <v>6556008</v>
      </c>
      <c r="P139" s="48"/>
      <c r="Q139" s="45">
        <v>2127362</v>
      </c>
      <c r="R139" s="48"/>
      <c r="S139" s="45">
        <v>5743075</v>
      </c>
      <c r="T139" s="48"/>
      <c r="U139" s="45">
        <v>0</v>
      </c>
      <c r="V139" s="48"/>
      <c r="W139" s="48"/>
      <c r="X139" s="35"/>
      <c r="Z139" s="35"/>
      <c r="AA139" s="35"/>
      <c r="AB139" s="45">
        <v>17488389</v>
      </c>
      <c r="AC139" s="65"/>
      <c r="AD139" s="45">
        <v>1383541</v>
      </c>
      <c r="AE139" s="65"/>
      <c r="AF139" s="45">
        <v>0</v>
      </c>
      <c r="AG139" s="65"/>
      <c r="AH139" s="48">
        <f t="shared" si="7"/>
        <v>77599300</v>
      </c>
      <c r="AI139" s="48"/>
      <c r="AJ139" s="48">
        <v>0</v>
      </c>
      <c r="AK139" s="48"/>
      <c r="AL139" s="45">
        <f>13083+663300</f>
        <v>676383</v>
      </c>
      <c r="AM139" s="45"/>
      <c r="AN139" s="45">
        <v>24655624</v>
      </c>
      <c r="AO139" s="45"/>
      <c r="AP139" s="45">
        <v>-20285</v>
      </c>
      <c r="AQ139" s="45"/>
      <c r="AR139" s="45">
        <f>+'GVFund Rev'!U139+'GVFund Rev'!W139-'GVFund Exp'!AH139-'GVFund Exp'!AL139+AJ139+AN139+AP139-'GV Fund BS'!S139</f>
        <v>0</v>
      </c>
      <c r="AS139" s="48"/>
    </row>
    <row r="140" spans="1:46" s="44" customFormat="1" ht="12.75" customHeight="1">
      <c r="A140" s="35" t="s">
        <v>166</v>
      </c>
      <c r="C140" s="35" t="s">
        <v>92</v>
      </c>
      <c r="E140" s="45">
        <v>629591</v>
      </c>
      <c r="F140" s="48"/>
      <c r="G140" s="45">
        <v>2447365</v>
      </c>
      <c r="H140" s="48"/>
      <c r="I140" s="45">
        <v>0</v>
      </c>
      <c r="J140" s="48"/>
      <c r="K140" s="45">
        <v>64865</v>
      </c>
      <c r="L140" s="48"/>
      <c r="M140" s="45">
        <v>657002</v>
      </c>
      <c r="N140" s="48"/>
      <c r="O140" s="45">
        <v>42382</v>
      </c>
      <c r="P140" s="48"/>
      <c r="Q140" s="45">
        <v>291947</v>
      </c>
      <c r="R140" s="48"/>
      <c r="S140" s="45">
        <v>2287761</v>
      </c>
      <c r="T140" s="48"/>
      <c r="U140" s="45">
        <v>0</v>
      </c>
      <c r="V140" s="48"/>
      <c r="W140" s="48"/>
      <c r="X140" s="35"/>
      <c r="Z140" s="35"/>
      <c r="AA140" s="35"/>
      <c r="AB140" s="45">
        <v>44312</v>
      </c>
      <c r="AC140" s="65"/>
      <c r="AD140" s="45">
        <v>31944</v>
      </c>
      <c r="AE140" s="65"/>
      <c r="AF140" s="45">
        <v>7221</v>
      </c>
      <c r="AG140" s="65"/>
      <c r="AH140" s="48">
        <f t="shared" si="7"/>
        <v>6504390</v>
      </c>
      <c r="AI140" s="48"/>
      <c r="AJ140" s="48">
        <v>0</v>
      </c>
      <c r="AK140" s="48"/>
      <c r="AL140" s="45">
        <v>103639</v>
      </c>
      <c r="AM140" s="45"/>
      <c r="AN140" s="45">
        <v>29204</v>
      </c>
      <c r="AO140" s="45"/>
      <c r="AP140" s="45">
        <v>0</v>
      </c>
      <c r="AQ140" s="45"/>
      <c r="AR140" s="45">
        <f>+'GVFund Rev'!U140+'GVFund Rev'!W140-'GVFund Exp'!AH140-'GVFund Exp'!AL140+AJ140+AN140+AP140-'GV Fund BS'!S140</f>
        <v>0</v>
      </c>
      <c r="AS140" s="48"/>
    </row>
    <row r="141" spans="1:46" s="44" customFormat="1" ht="12.75" customHeight="1">
      <c r="A141" s="35" t="s">
        <v>167</v>
      </c>
      <c r="C141" s="35" t="s">
        <v>66</v>
      </c>
      <c r="E141" s="45">
        <v>4825155</v>
      </c>
      <c r="F141" s="48"/>
      <c r="G141" s="45">
        <v>8729410</v>
      </c>
      <c r="H141" s="48"/>
      <c r="I141" s="45">
        <v>885914</v>
      </c>
      <c r="J141" s="48"/>
      <c r="K141" s="45">
        <v>1380</v>
      </c>
      <c r="L141" s="48"/>
      <c r="M141" s="45">
        <v>1092716</v>
      </c>
      <c r="N141" s="48"/>
      <c r="O141" s="45">
        <v>1952885</v>
      </c>
      <c r="P141" s="48"/>
      <c r="Q141" s="45">
        <v>694472</v>
      </c>
      <c r="R141" s="48"/>
      <c r="S141" s="45">
        <v>2662985</v>
      </c>
      <c r="T141" s="48"/>
      <c r="U141" s="45">
        <v>0</v>
      </c>
      <c r="V141" s="48"/>
      <c r="W141" s="48"/>
      <c r="X141" s="35"/>
      <c r="Z141" s="35"/>
      <c r="AA141" s="35"/>
      <c r="AB141" s="45">
        <v>420716</v>
      </c>
      <c r="AC141" s="65"/>
      <c r="AD141" s="45">
        <v>134988</v>
      </c>
      <c r="AE141" s="65"/>
      <c r="AF141" s="45">
        <v>0</v>
      </c>
      <c r="AG141" s="65"/>
      <c r="AH141" s="48">
        <f t="shared" si="7"/>
        <v>21400621</v>
      </c>
      <c r="AI141" s="48"/>
      <c r="AJ141" s="48">
        <v>0</v>
      </c>
      <c r="AK141" s="48"/>
      <c r="AL141" s="45">
        <v>1112649</v>
      </c>
      <c r="AM141" s="45"/>
      <c r="AN141" s="45">
        <v>14508444</v>
      </c>
      <c r="AO141" s="45"/>
      <c r="AP141" s="45">
        <v>0</v>
      </c>
      <c r="AQ141" s="45"/>
      <c r="AR141" s="45">
        <f>+'GVFund Rev'!U141+'GVFund Rev'!W141-'GVFund Exp'!AH141-'GVFund Exp'!AL141+AJ141+AN141+AP141-'GV Fund BS'!S141</f>
        <v>0</v>
      </c>
      <c r="AS141" s="48"/>
    </row>
    <row r="142" spans="1:46" s="44" customFormat="1" ht="12.75" customHeight="1">
      <c r="A142" s="44" t="s">
        <v>168</v>
      </c>
      <c r="C142" s="44" t="s">
        <v>27</v>
      </c>
      <c r="E142" s="45">
        <v>6371715</v>
      </c>
      <c r="F142" s="48"/>
      <c r="G142" s="45">
        <f>4521974+3350950+55726</f>
        <v>7928650</v>
      </c>
      <c r="H142" s="48"/>
      <c r="I142" s="45">
        <f>150505+613927</f>
        <v>764432</v>
      </c>
      <c r="J142" s="48"/>
      <c r="K142" s="45">
        <v>280413</v>
      </c>
      <c r="L142" s="48"/>
      <c r="M142" s="45">
        <v>1729497</v>
      </c>
      <c r="N142" s="48"/>
      <c r="O142" s="45">
        <v>2708975</v>
      </c>
      <c r="P142" s="48"/>
      <c r="Q142" s="45">
        <v>939330</v>
      </c>
      <c r="R142" s="48"/>
      <c r="S142" s="45">
        <v>2703366</v>
      </c>
      <c r="T142" s="48"/>
      <c r="U142" s="45">
        <v>0</v>
      </c>
      <c r="V142" s="48"/>
      <c r="W142" s="48"/>
      <c r="X142" s="35"/>
      <c r="Z142" s="35"/>
      <c r="AA142" s="35"/>
      <c r="AB142" s="45">
        <v>2276598</v>
      </c>
      <c r="AC142" s="65"/>
      <c r="AD142" s="45">
        <f>460452+194549</f>
        <v>655001</v>
      </c>
      <c r="AE142" s="65"/>
      <c r="AF142" s="45">
        <v>0</v>
      </c>
      <c r="AG142" s="65"/>
      <c r="AH142" s="48">
        <f t="shared" si="7"/>
        <v>26357977</v>
      </c>
      <c r="AI142" s="48"/>
      <c r="AJ142" s="48">
        <v>0</v>
      </c>
      <c r="AK142" s="48"/>
      <c r="AL142" s="45">
        <f>12171866+850000</f>
        <v>13021866</v>
      </c>
      <c r="AM142" s="45"/>
      <c r="AN142" s="45">
        <v>8734576</v>
      </c>
      <c r="AO142" s="45"/>
      <c r="AP142" s="45">
        <v>0</v>
      </c>
      <c r="AQ142" s="45"/>
      <c r="AR142" s="45">
        <f>+'GVFund Rev'!U142+'GVFund Rev'!W142-'GVFund Exp'!AH142-'GVFund Exp'!AL142+AJ142+AN142+AP142-'GV Fund BS'!S142</f>
        <v>0</v>
      </c>
      <c r="AS142" s="48"/>
    </row>
    <row r="143" spans="1:46" s="44" customFormat="1" ht="12.75" customHeight="1">
      <c r="A143" s="35" t="s">
        <v>169</v>
      </c>
      <c r="C143" s="35" t="s">
        <v>103</v>
      </c>
      <c r="E143" s="45">
        <v>4333399</v>
      </c>
      <c r="F143" s="48"/>
      <c r="G143" s="45">
        <v>23239836</v>
      </c>
      <c r="H143" s="48"/>
      <c r="I143" s="45">
        <v>15907088</v>
      </c>
      <c r="J143" s="48"/>
      <c r="K143" s="45">
        <v>1393904</v>
      </c>
      <c r="L143" s="48"/>
      <c r="M143" s="45">
        <v>3329363</v>
      </c>
      <c r="N143" s="48"/>
      <c r="O143" s="45">
        <v>1259384</v>
      </c>
      <c r="P143" s="48"/>
      <c r="Q143" s="45">
        <v>1126965</v>
      </c>
      <c r="R143" s="48"/>
      <c r="S143" s="45">
        <v>0</v>
      </c>
      <c r="T143" s="48"/>
      <c r="U143" s="45">
        <v>0</v>
      </c>
      <c r="V143" s="48"/>
      <c r="W143" s="48"/>
      <c r="X143" s="35"/>
      <c r="Z143" s="35"/>
      <c r="AA143" s="35"/>
      <c r="AB143" s="45">
        <v>1896157</v>
      </c>
      <c r="AC143" s="65"/>
      <c r="AD143" s="45">
        <v>970459</v>
      </c>
      <c r="AE143" s="65"/>
      <c r="AF143" s="45">
        <f>204934+631405</f>
        <v>836339</v>
      </c>
      <c r="AG143" s="65"/>
      <c r="AH143" s="48">
        <f t="shared" si="7"/>
        <v>54292894</v>
      </c>
      <c r="AI143" s="48"/>
      <c r="AJ143" s="48">
        <v>0</v>
      </c>
      <c r="AK143" s="48"/>
      <c r="AL143" s="45">
        <f>441281+9665000</f>
        <v>10106281</v>
      </c>
      <c r="AM143" s="45"/>
      <c r="AN143" s="45">
        <v>23337259</v>
      </c>
      <c r="AO143" s="45"/>
      <c r="AP143" s="45">
        <v>0</v>
      </c>
      <c r="AQ143" s="45"/>
      <c r="AR143" s="45">
        <f>+'GVFund Rev'!U143+'GVFund Rev'!W143-'GVFund Exp'!AH143-'GVFund Exp'!AL143+AJ143+AN143+AP143-'GV Fund BS'!S143</f>
        <v>0</v>
      </c>
      <c r="AS143" s="48"/>
    </row>
    <row r="144" spans="1:46" s="44" customFormat="1" ht="12.75" customHeight="1">
      <c r="A144" s="35" t="s">
        <v>170</v>
      </c>
      <c r="C144" s="35" t="s">
        <v>171</v>
      </c>
      <c r="E144" s="45">
        <v>1272203</v>
      </c>
      <c r="F144" s="48"/>
      <c r="G144" s="45">
        <v>4173298</v>
      </c>
      <c r="H144" s="48"/>
      <c r="I144" s="45">
        <v>0</v>
      </c>
      <c r="J144" s="48"/>
      <c r="K144" s="45">
        <v>946382</v>
      </c>
      <c r="L144" s="48"/>
      <c r="M144" s="45">
        <v>436674</v>
      </c>
      <c r="N144" s="48"/>
      <c r="O144" s="45">
        <v>151223</v>
      </c>
      <c r="P144" s="48"/>
      <c r="Q144" s="45">
        <v>302022</v>
      </c>
      <c r="R144" s="48"/>
      <c r="S144" s="45">
        <v>35150</v>
      </c>
      <c r="T144" s="48"/>
      <c r="U144" s="45">
        <v>0</v>
      </c>
      <c r="V144" s="48"/>
      <c r="W144" s="48"/>
      <c r="X144" s="35"/>
      <c r="Z144" s="35"/>
      <c r="AA144" s="35"/>
      <c r="AB144" s="45">
        <v>210000</v>
      </c>
      <c r="AC144" s="65"/>
      <c r="AD144" s="45">
        <v>179008</v>
      </c>
      <c r="AE144" s="65"/>
      <c r="AF144" s="45">
        <v>0</v>
      </c>
      <c r="AG144" s="65"/>
      <c r="AH144" s="48">
        <f t="shared" si="7"/>
        <v>7705960</v>
      </c>
      <c r="AI144" s="48"/>
      <c r="AJ144" s="48">
        <v>0</v>
      </c>
      <c r="AK144" s="48"/>
      <c r="AL144" s="45">
        <v>237317</v>
      </c>
      <c r="AM144" s="45"/>
      <c r="AN144" s="45">
        <v>5414140</v>
      </c>
      <c r="AO144" s="45"/>
      <c r="AP144" s="45">
        <v>0</v>
      </c>
      <c r="AQ144" s="45"/>
      <c r="AR144" s="45">
        <f>+'GVFund Rev'!U144+'GVFund Rev'!W144-'GVFund Exp'!AH144-'GVFund Exp'!AL144+AJ144+AN144+AP144-'GV Fund BS'!S144</f>
        <v>0</v>
      </c>
      <c r="AS144" s="48"/>
    </row>
    <row r="145" spans="1:45" s="44" customFormat="1" ht="12.75" customHeight="1">
      <c r="A145" s="35" t="s">
        <v>172</v>
      </c>
      <c r="C145" s="35" t="s">
        <v>103</v>
      </c>
      <c r="E145" s="45">
        <v>2342991</v>
      </c>
      <c r="F145" s="48"/>
      <c r="G145" s="45">
        <v>5878114</v>
      </c>
      <c r="H145" s="48"/>
      <c r="I145" s="45">
        <v>0</v>
      </c>
      <c r="J145" s="48"/>
      <c r="K145" s="45">
        <v>104640</v>
      </c>
      <c r="L145" s="48"/>
      <c r="M145" s="45">
        <v>1196834</v>
      </c>
      <c r="N145" s="48"/>
      <c r="O145" s="45">
        <v>27074</v>
      </c>
      <c r="P145" s="48"/>
      <c r="Q145" s="45">
        <v>0</v>
      </c>
      <c r="R145" s="48"/>
      <c r="S145" s="45">
        <v>3069094</v>
      </c>
      <c r="T145" s="48"/>
      <c r="U145" s="45">
        <v>539714</v>
      </c>
      <c r="V145" s="48"/>
      <c r="W145" s="48"/>
      <c r="X145" s="35"/>
      <c r="Z145" s="35"/>
      <c r="AA145" s="35"/>
      <c r="AB145" s="45">
        <v>613681</v>
      </c>
      <c r="AC145" s="65"/>
      <c r="AD145" s="45">
        <v>546635</v>
      </c>
      <c r="AE145" s="65"/>
      <c r="AF145" s="45">
        <v>0</v>
      </c>
      <c r="AG145" s="65"/>
      <c r="AH145" s="48">
        <f t="shared" ref="AH145:AH197" si="8">SUM(E145:AF145)</f>
        <v>14318777</v>
      </c>
      <c r="AI145" s="48"/>
      <c r="AJ145" s="48">
        <v>0</v>
      </c>
      <c r="AK145" s="48"/>
      <c r="AL145" s="45">
        <v>5387271</v>
      </c>
      <c r="AM145" s="45"/>
      <c r="AN145" s="45">
        <v>3611007</v>
      </c>
      <c r="AO145" s="45"/>
      <c r="AP145" s="45">
        <v>0</v>
      </c>
      <c r="AQ145" s="45"/>
      <c r="AR145" s="45">
        <f>+'[3]GVFund Rev'!U145+'[3]GVFund Rev'!W145-'[3]GVFund Exp'!AH145-'[3]GVFund Exp'!AL145+AJ145+AN145+AP145-'[3]GV Fund BS'!S145</f>
        <v>0</v>
      </c>
      <c r="AS145" s="48"/>
    </row>
    <row r="146" spans="1:45" s="44" customFormat="1" ht="12.75" customHeight="1">
      <c r="A146" s="35" t="s">
        <v>66</v>
      </c>
      <c r="C146" s="35" t="s">
        <v>45</v>
      </c>
      <c r="E146" s="45">
        <v>3231860</v>
      </c>
      <c r="F146" s="48"/>
      <c r="G146" s="45">
        <v>4703274</v>
      </c>
      <c r="H146" s="48"/>
      <c r="I146" s="45">
        <v>436377</v>
      </c>
      <c r="J146" s="48"/>
      <c r="K146" s="45">
        <v>0</v>
      </c>
      <c r="L146" s="48"/>
      <c r="M146" s="45">
        <v>1644489</v>
      </c>
      <c r="N146" s="48"/>
      <c r="O146" s="45">
        <v>1049966</v>
      </c>
      <c r="P146" s="48"/>
      <c r="Q146" s="45">
        <v>0</v>
      </c>
      <c r="R146" s="48"/>
      <c r="S146" s="45">
        <v>2225481</v>
      </c>
      <c r="T146" s="48"/>
      <c r="U146" s="45">
        <v>0</v>
      </c>
      <c r="V146" s="48"/>
      <c r="W146" s="48"/>
      <c r="X146" s="35"/>
      <c r="Z146" s="35"/>
      <c r="AA146" s="35"/>
      <c r="AB146" s="45">
        <v>603883</v>
      </c>
      <c r="AC146" s="65"/>
      <c r="AD146" s="45">
        <v>227057</v>
      </c>
      <c r="AE146" s="65"/>
      <c r="AF146" s="45">
        <v>0</v>
      </c>
      <c r="AG146" s="65"/>
      <c r="AH146" s="48">
        <f t="shared" si="8"/>
        <v>14122387</v>
      </c>
      <c r="AI146" s="48"/>
      <c r="AJ146" s="48">
        <v>0</v>
      </c>
      <c r="AK146" s="48"/>
      <c r="AL146" s="45">
        <f>1645535+2199973</f>
        <v>3845508</v>
      </c>
      <c r="AM146" s="45"/>
      <c r="AN146" s="45">
        <v>26256753</v>
      </c>
      <c r="AO146" s="45"/>
      <c r="AP146" s="45">
        <v>0</v>
      </c>
      <c r="AQ146" s="45"/>
      <c r="AR146" s="45">
        <f>+'[3]GVFund Rev'!U146+'[3]GVFund Rev'!W146-'[3]GVFund Exp'!AH146-'[3]GVFund Exp'!AL146+AJ146+AN146+AP146-'[3]GV Fund BS'!S146</f>
        <v>0</v>
      </c>
      <c r="AS146" s="48"/>
    </row>
    <row r="147" spans="1:45" s="44" customFormat="1" ht="12.75" customHeight="1">
      <c r="A147" s="35" t="s">
        <v>173</v>
      </c>
      <c r="C147" s="35" t="s">
        <v>66</v>
      </c>
      <c r="E147" s="45">
        <v>4893583</v>
      </c>
      <c r="F147" s="48"/>
      <c r="G147" s="45">
        <v>9092385</v>
      </c>
      <c r="H147" s="48"/>
      <c r="I147" s="45">
        <v>639627</v>
      </c>
      <c r="J147" s="48"/>
      <c r="K147" s="45">
        <v>84646</v>
      </c>
      <c r="L147" s="48"/>
      <c r="M147" s="45">
        <v>2558869</v>
      </c>
      <c r="N147" s="48"/>
      <c r="O147" s="45">
        <v>2567159</v>
      </c>
      <c r="P147" s="48"/>
      <c r="Q147" s="45">
        <v>346657</v>
      </c>
      <c r="R147" s="48"/>
      <c r="S147" s="45">
        <f>304892+994971+1868399+148441</f>
        <v>3316703</v>
      </c>
      <c r="T147" s="48"/>
      <c r="U147" s="45">
        <v>0</v>
      </c>
      <c r="V147" s="48"/>
      <c r="W147" s="48"/>
      <c r="X147" s="35"/>
      <c r="Z147" s="35"/>
      <c r="AA147" s="35"/>
      <c r="AB147" s="45">
        <v>1065634</v>
      </c>
      <c r="AC147" s="65"/>
      <c r="AD147" s="45">
        <v>300636</v>
      </c>
      <c r="AE147" s="65"/>
      <c r="AF147" s="45">
        <v>0</v>
      </c>
      <c r="AG147" s="65"/>
      <c r="AH147" s="48">
        <f t="shared" si="8"/>
        <v>24865899</v>
      </c>
      <c r="AI147" s="48"/>
      <c r="AJ147" s="48">
        <v>0</v>
      </c>
      <c r="AK147" s="48"/>
      <c r="AL147" s="45">
        <v>5125000</v>
      </c>
      <c r="AM147" s="45"/>
      <c r="AN147" s="45">
        <v>3051921</v>
      </c>
      <c r="AO147" s="45"/>
      <c r="AP147" s="45">
        <v>0</v>
      </c>
      <c r="AQ147" s="45"/>
      <c r="AR147" s="45">
        <f>+'[3]GVFund Rev'!U147+'[3]GVFund Rev'!W147-'[3]GVFund Exp'!AH147-'[3]GVFund Exp'!AL147+AJ147+AN147+AP147-'[3]GV Fund BS'!S147</f>
        <v>0</v>
      </c>
      <c r="AS147" s="48"/>
    </row>
    <row r="148" spans="1:45" s="46" customFormat="1" ht="12.75" customHeight="1">
      <c r="A148" s="35" t="s">
        <v>174</v>
      </c>
      <c r="B148" s="44"/>
      <c r="C148" s="35" t="s">
        <v>45</v>
      </c>
      <c r="D148" s="44"/>
      <c r="E148" s="45">
        <v>586829</v>
      </c>
      <c r="F148" s="48"/>
      <c r="G148" s="45">
        <v>1825283</v>
      </c>
      <c r="H148" s="48"/>
      <c r="I148" s="45">
        <v>97875</v>
      </c>
      <c r="J148" s="48"/>
      <c r="K148" s="45">
        <v>465512</v>
      </c>
      <c r="L148" s="48"/>
      <c r="M148" s="45">
        <v>652660</v>
      </c>
      <c r="N148" s="48"/>
      <c r="O148" s="45">
        <v>187084</v>
      </c>
      <c r="P148" s="48"/>
      <c r="Q148" s="45">
        <v>0</v>
      </c>
      <c r="R148" s="48"/>
      <c r="S148" s="45">
        <v>465051</v>
      </c>
      <c r="T148" s="48"/>
      <c r="U148" s="45">
        <v>0</v>
      </c>
      <c r="V148" s="48"/>
      <c r="W148" s="48"/>
      <c r="X148" s="35"/>
      <c r="Y148" s="44"/>
      <c r="Z148" s="35"/>
      <c r="AA148" s="35"/>
      <c r="AB148" s="45">
        <v>209377</v>
      </c>
      <c r="AC148" s="65"/>
      <c r="AD148" s="45">
        <v>72016</v>
      </c>
      <c r="AE148" s="65"/>
      <c r="AF148" s="45">
        <v>0</v>
      </c>
      <c r="AG148" s="65"/>
      <c r="AH148" s="48">
        <f t="shared" si="8"/>
        <v>4561687</v>
      </c>
      <c r="AI148" s="48"/>
      <c r="AJ148" s="48">
        <v>0</v>
      </c>
      <c r="AK148" s="48"/>
      <c r="AL148" s="45">
        <v>375462</v>
      </c>
      <c r="AM148" s="45"/>
      <c r="AN148" s="45">
        <v>615365</v>
      </c>
      <c r="AO148" s="45"/>
      <c r="AP148" s="45">
        <v>0</v>
      </c>
      <c r="AQ148" s="45"/>
      <c r="AR148" s="45">
        <f>+'[3]GVFund Rev'!U148+'[3]GVFund Rev'!W148-'[3]GVFund Exp'!AH148-'[3]GVFund Exp'!AL148+AJ148+AN148+AP148-'[3]GV Fund BS'!S148</f>
        <v>0</v>
      </c>
      <c r="AS148" s="48"/>
    </row>
    <row r="149" spans="1:45" s="44" customFormat="1" ht="12.75" customHeight="1">
      <c r="A149" s="35" t="s">
        <v>175</v>
      </c>
      <c r="C149" s="35" t="s">
        <v>176</v>
      </c>
      <c r="E149" s="45">
        <v>5567468</v>
      </c>
      <c r="F149" s="48"/>
      <c r="G149" s="45">
        <v>5517450</v>
      </c>
      <c r="H149" s="48"/>
      <c r="I149" s="45">
        <v>211150</v>
      </c>
      <c r="J149" s="48"/>
      <c r="K149" s="45">
        <v>631418</v>
      </c>
      <c r="L149" s="48"/>
      <c r="M149" s="45">
        <v>4177685</v>
      </c>
      <c r="N149" s="48"/>
      <c r="O149" s="45">
        <v>683733</v>
      </c>
      <c r="P149" s="48"/>
      <c r="Q149" s="45">
        <v>0</v>
      </c>
      <c r="R149" s="48"/>
      <c r="S149" s="45">
        <v>0</v>
      </c>
      <c r="T149" s="48"/>
      <c r="U149" s="45">
        <v>0</v>
      </c>
      <c r="V149" s="48"/>
      <c r="W149" s="48"/>
      <c r="X149" s="35"/>
      <c r="Z149" s="35"/>
      <c r="AA149" s="35"/>
      <c r="AB149" s="45">
        <v>325179</v>
      </c>
      <c r="AC149" s="65"/>
      <c r="AD149" s="45">
        <v>250142</v>
      </c>
      <c r="AE149" s="65"/>
      <c r="AF149" s="45">
        <v>0</v>
      </c>
      <c r="AG149" s="65"/>
      <c r="AH149" s="48">
        <f t="shared" si="8"/>
        <v>17364225</v>
      </c>
      <c r="AI149" s="48"/>
      <c r="AJ149" s="48">
        <v>0</v>
      </c>
      <c r="AK149" s="48"/>
      <c r="AL149" s="45">
        <v>2785286</v>
      </c>
      <c r="AM149" s="45"/>
      <c r="AN149" s="45">
        <v>9321139</v>
      </c>
      <c r="AO149" s="45"/>
      <c r="AP149" s="45">
        <v>4719</v>
      </c>
      <c r="AQ149" s="45"/>
      <c r="AR149" s="45">
        <f>+'[3]GVFund Rev'!U149+'[3]GVFund Rev'!W149-'[3]GVFund Exp'!AH149-'[3]GVFund Exp'!AL149+AJ149+AN149+AP149-'[3]GV Fund BS'!S149</f>
        <v>0</v>
      </c>
      <c r="AS149" s="48"/>
    </row>
    <row r="150" spans="1:45" s="44" customFormat="1" ht="12.75" customHeight="1">
      <c r="A150" s="35" t="s">
        <v>177</v>
      </c>
      <c r="C150" s="35" t="s">
        <v>13</v>
      </c>
      <c r="E150" s="45">
        <v>715645</v>
      </c>
      <c r="F150" s="48"/>
      <c r="G150" s="45">
        <v>1508701</v>
      </c>
      <c r="H150" s="48"/>
      <c r="I150" s="45">
        <v>0</v>
      </c>
      <c r="J150" s="48"/>
      <c r="K150" s="45">
        <v>39437</v>
      </c>
      <c r="L150" s="48"/>
      <c r="M150" s="45">
        <v>360619</v>
      </c>
      <c r="N150" s="48"/>
      <c r="O150" s="45">
        <v>26352</v>
      </c>
      <c r="P150" s="48"/>
      <c r="Q150" s="45">
        <v>0</v>
      </c>
      <c r="R150" s="48"/>
      <c r="S150" s="45">
        <v>538427</v>
      </c>
      <c r="T150" s="48"/>
      <c r="U150" s="45">
        <v>0</v>
      </c>
      <c r="V150" s="48"/>
      <c r="W150" s="48"/>
      <c r="X150" s="35"/>
      <c r="Z150" s="35"/>
      <c r="AA150" s="35"/>
      <c r="AB150" s="45">
        <v>253635</v>
      </c>
      <c r="AC150" s="65"/>
      <c r="AD150" s="45">
        <v>46268</v>
      </c>
      <c r="AE150" s="65"/>
      <c r="AF150" s="45">
        <v>0</v>
      </c>
      <c r="AG150" s="65"/>
      <c r="AH150" s="48">
        <f t="shared" si="8"/>
        <v>3489084</v>
      </c>
      <c r="AI150" s="48"/>
      <c r="AJ150" s="48">
        <v>0</v>
      </c>
      <c r="AK150" s="48"/>
      <c r="AL150" s="45">
        <v>15333</v>
      </c>
      <c r="AM150" s="45"/>
      <c r="AN150" s="45">
        <v>3314072</v>
      </c>
      <c r="AO150" s="45"/>
      <c r="AP150" s="45">
        <v>0</v>
      </c>
      <c r="AQ150" s="45"/>
      <c r="AR150" s="45">
        <f>+'[3]GVFund Rev'!U150+'[3]GVFund Rev'!W150-'[3]GVFund Exp'!AH150-'[3]GVFund Exp'!AL150+AJ150+AN150+AP150-'[3]GV Fund BS'!S150</f>
        <v>0</v>
      </c>
      <c r="AS150" s="48"/>
    </row>
    <row r="151" spans="1:45" s="44" customFormat="1" ht="12.75" customHeight="1">
      <c r="A151" s="35" t="s">
        <v>178</v>
      </c>
      <c r="C151" s="35" t="s">
        <v>179</v>
      </c>
      <c r="E151" s="45">
        <v>1114009</v>
      </c>
      <c r="F151" s="48"/>
      <c r="G151" s="45">
        <v>3946531</v>
      </c>
      <c r="H151" s="48"/>
      <c r="I151" s="45">
        <v>483116</v>
      </c>
      <c r="J151" s="48"/>
      <c r="K151" s="45">
        <v>98955</v>
      </c>
      <c r="L151" s="48"/>
      <c r="M151" s="45">
        <v>604199</v>
      </c>
      <c r="N151" s="48"/>
      <c r="O151" s="45">
        <v>875791</v>
      </c>
      <c r="P151" s="48"/>
      <c r="Q151" s="45">
        <v>0</v>
      </c>
      <c r="R151" s="48"/>
      <c r="S151" s="45">
        <v>901518</v>
      </c>
      <c r="T151" s="48"/>
      <c r="U151" s="45">
        <v>0</v>
      </c>
      <c r="V151" s="48"/>
      <c r="W151" s="48"/>
      <c r="X151" s="35"/>
      <c r="Z151" s="35"/>
      <c r="AA151" s="35"/>
      <c r="AB151" s="45">
        <v>111550</v>
      </c>
      <c r="AC151" s="65"/>
      <c r="AD151" s="45">
        <v>122968</v>
      </c>
      <c r="AE151" s="65"/>
      <c r="AF151" s="45">
        <v>0</v>
      </c>
      <c r="AG151" s="65"/>
      <c r="AH151" s="48">
        <f t="shared" si="8"/>
        <v>8258637</v>
      </c>
      <c r="AI151" s="48"/>
      <c r="AJ151" s="48">
        <v>0</v>
      </c>
      <c r="AK151" s="48"/>
      <c r="AL151" s="45">
        <v>2258101</v>
      </c>
      <c r="AM151" s="45"/>
      <c r="AN151" s="45">
        <v>5339748</v>
      </c>
      <c r="AO151" s="45"/>
      <c r="AP151" s="45">
        <v>28176</v>
      </c>
      <c r="AQ151" s="45"/>
      <c r="AR151" s="45">
        <f>+'[3]GVFund Rev'!U151+'[3]GVFund Rev'!W151-'[3]GVFund Exp'!AH151-'[3]GVFund Exp'!AL151+AJ151+AN151+AP151-'[3]GV Fund BS'!S151</f>
        <v>0</v>
      </c>
      <c r="AS151" s="48"/>
    </row>
    <row r="152" spans="1:45" s="121" customFormat="1" ht="12.75" hidden="1" customHeight="1">
      <c r="A152" s="35" t="s">
        <v>180</v>
      </c>
      <c r="B152" s="44"/>
      <c r="C152" s="35" t="s">
        <v>20</v>
      </c>
      <c r="D152" s="44"/>
      <c r="E152" s="45"/>
      <c r="F152" s="48"/>
      <c r="G152" s="45"/>
      <c r="H152" s="48"/>
      <c r="I152" s="45"/>
      <c r="J152" s="48"/>
      <c r="K152" s="45"/>
      <c r="L152" s="48"/>
      <c r="M152" s="45"/>
      <c r="N152" s="48"/>
      <c r="O152" s="45"/>
      <c r="P152" s="48"/>
      <c r="Q152" s="45"/>
      <c r="R152" s="48"/>
      <c r="S152" s="45"/>
      <c r="T152" s="48"/>
      <c r="U152" s="45"/>
      <c r="V152" s="48"/>
      <c r="W152" s="48"/>
      <c r="X152" s="35"/>
      <c r="Y152" s="44"/>
      <c r="Z152" s="35"/>
      <c r="AA152" s="35"/>
      <c r="AB152" s="45"/>
      <c r="AC152" s="65"/>
      <c r="AD152" s="45"/>
      <c r="AE152" s="65"/>
      <c r="AF152" s="45"/>
      <c r="AG152" s="65"/>
      <c r="AH152" s="48">
        <f t="shared" si="8"/>
        <v>0</v>
      </c>
      <c r="AI152" s="48"/>
      <c r="AJ152" s="48">
        <v>0</v>
      </c>
      <c r="AK152" s="48"/>
      <c r="AL152" s="45"/>
      <c r="AM152" s="45"/>
      <c r="AN152" s="45"/>
      <c r="AO152" s="45"/>
      <c r="AP152" s="45"/>
      <c r="AQ152" s="45"/>
      <c r="AR152" s="45">
        <f>+'[3]GVFund Rev'!U152+'[3]GVFund Rev'!W152-'[3]GVFund Exp'!AH152-'[3]GVFund Exp'!AL152+AJ152+AN152+AP152-'[3]GV Fund BS'!S152</f>
        <v>0</v>
      </c>
      <c r="AS152" s="132"/>
    </row>
    <row r="153" spans="1:45" s="44" customFormat="1" ht="12.75" customHeight="1">
      <c r="A153" s="35" t="s">
        <v>182</v>
      </c>
      <c r="C153" s="35" t="s">
        <v>183</v>
      </c>
      <c r="E153" s="45">
        <v>752484</v>
      </c>
      <c r="F153" s="48"/>
      <c r="G153" s="45">
        <v>558225</v>
      </c>
      <c r="H153" s="48"/>
      <c r="I153" s="45">
        <v>12445</v>
      </c>
      <c r="J153" s="48"/>
      <c r="K153" s="45">
        <v>694896</v>
      </c>
      <c r="L153" s="48"/>
      <c r="M153" s="45">
        <v>250403</v>
      </c>
      <c r="N153" s="48"/>
      <c r="O153" s="45">
        <v>50763</v>
      </c>
      <c r="P153" s="48"/>
      <c r="Q153" s="45">
        <v>0</v>
      </c>
      <c r="R153" s="48"/>
      <c r="S153" s="45">
        <v>273884</v>
      </c>
      <c r="T153" s="48"/>
      <c r="U153" s="45">
        <v>0</v>
      </c>
      <c r="V153" s="48"/>
      <c r="W153" s="48"/>
      <c r="X153" s="35"/>
      <c r="Z153" s="35"/>
      <c r="AA153" s="35"/>
      <c r="AB153" s="45">
        <v>91839</v>
      </c>
      <c r="AC153" s="65"/>
      <c r="AD153" s="45">
        <v>153568</v>
      </c>
      <c r="AE153" s="65"/>
      <c r="AF153" s="45">
        <v>0</v>
      </c>
      <c r="AG153" s="65"/>
      <c r="AH153" s="48">
        <f t="shared" si="8"/>
        <v>2838507</v>
      </c>
      <c r="AI153" s="48"/>
      <c r="AJ153" s="48">
        <v>0</v>
      </c>
      <c r="AK153" s="48"/>
      <c r="AL153" s="45">
        <v>99729</v>
      </c>
      <c r="AM153" s="45"/>
      <c r="AN153" s="45">
        <v>-245249</v>
      </c>
      <c r="AO153" s="45"/>
      <c r="AP153" s="45">
        <v>0</v>
      </c>
      <c r="AQ153" s="45"/>
      <c r="AR153" s="45">
        <f>+'[3]GVFund Rev'!U153+'[3]GVFund Rev'!W153-'[3]GVFund Exp'!AH153-'[3]GVFund Exp'!AL153+AJ153+AN153+AP153-'[3]GV Fund BS'!S153</f>
        <v>0</v>
      </c>
      <c r="AS153" s="48"/>
    </row>
    <row r="154" spans="1:45" s="44" customFormat="1" ht="12.75" customHeight="1">
      <c r="A154" s="64" t="s">
        <v>487</v>
      </c>
      <c r="B154" s="46"/>
      <c r="C154" s="64" t="s">
        <v>13</v>
      </c>
      <c r="D154" s="46"/>
      <c r="E154" s="45">
        <v>1095205</v>
      </c>
      <c r="F154" s="48"/>
      <c r="G154" s="45">
        <v>3526269</v>
      </c>
      <c r="H154" s="48"/>
      <c r="I154" s="45">
        <v>121526</v>
      </c>
      <c r="J154" s="48"/>
      <c r="K154" s="45">
        <v>125727</v>
      </c>
      <c r="L154" s="48"/>
      <c r="M154" s="45">
        <v>955283</v>
      </c>
      <c r="N154" s="48"/>
      <c r="O154" s="45">
        <v>20338</v>
      </c>
      <c r="P154" s="48"/>
      <c r="Q154" s="45">
        <v>0</v>
      </c>
      <c r="R154" s="48"/>
      <c r="S154" s="45">
        <v>518683</v>
      </c>
      <c r="T154" s="48"/>
      <c r="U154" s="45">
        <v>0</v>
      </c>
      <c r="V154" s="48"/>
      <c r="W154" s="48"/>
      <c r="X154" s="35"/>
      <c r="Z154" s="35"/>
      <c r="AA154" s="35"/>
      <c r="AB154" s="45">
        <v>56126</v>
      </c>
      <c r="AC154" s="65"/>
      <c r="AD154" s="45">
        <v>4884</v>
      </c>
      <c r="AE154" s="65"/>
      <c r="AF154" s="45">
        <v>0</v>
      </c>
      <c r="AG154" s="65"/>
      <c r="AH154" s="48">
        <f>SUM(E154:AF154)</f>
        <v>6424041</v>
      </c>
      <c r="AI154" s="48"/>
      <c r="AJ154" s="48">
        <v>0</v>
      </c>
      <c r="AK154" s="48"/>
      <c r="AL154" s="45">
        <v>0</v>
      </c>
      <c r="AM154" s="45"/>
      <c r="AN154" s="45">
        <v>3095741</v>
      </c>
      <c r="AO154" s="45"/>
      <c r="AP154" s="45">
        <v>0</v>
      </c>
      <c r="AQ154" s="45"/>
      <c r="AR154" s="45">
        <f>+'[3]GVFund Rev'!U154+'[3]GVFund Rev'!W154-'[3]GVFund Exp'!AH154-'[3]GVFund Exp'!AL154+AJ154+AN154+AP154-'[3]GV Fund BS'!S154</f>
        <v>0</v>
      </c>
      <c r="AS154" s="48"/>
    </row>
    <row r="155" spans="1:45" s="44" customFormat="1" ht="12.75" customHeight="1">
      <c r="A155" s="64" t="s">
        <v>184</v>
      </c>
      <c r="B155" s="46"/>
      <c r="C155" s="64" t="s">
        <v>89</v>
      </c>
      <c r="D155" s="46"/>
      <c r="E155" s="45">
        <v>3437558</v>
      </c>
      <c r="F155" s="48"/>
      <c r="G155" s="45">
        <v>4320998</v>
      </c>
      <c r="H155" s="48"/>
      <c r="I155" s="45">
        <v>254734</v>
      </c>
      <c r="J155" s="48"/>
      <c r="K155" s="45">
        <v>632252</v>
      </c>
      <c r="L155" s="48"/>
      <c r="M155" s="45">
        <v>1523235</v>
      </c>
      <c r="N155" s="48"/>
      <c r="O155" s="45">
        <v>674756</v>
      </c>
      <c r="P155" s="48"/>
      <c r="Q155" s="45">
        <v>0</v>
      </c>
      <c r="R155" s="48"/>
      <c r="S155" s="45">
        <v>2066460</v>
      </c>
      <c r="T155" s="48"/>
      <c r="U155" s="45">
        <v>0</v>
      </c>
      <c r="V155" s="48"/>
      <c r="W155" s="48"/>
      <c r="X155" s="35"/>
      <c r="Z155" s="35"/>
      <c r="AA155" s="35"/>
      <c r="AB155" s="45">
        <v>605985</v>
      </c>
      <c r="AC155" s="65"/>
      <c r="AD155" s="45">
        <v>121488</v>
      </c>
      <c r="AE155" s="65"/>
      <c r="AF155" s="45">
        <v>0</v>
      </c>
      <c r="AG155" s="65"/>
      <c r="AH155" s="48">
        <f t="shared" si="8"/>
        <v>13637466</v>
      </c>
      <c r="AI155" s="48"/>
      <c r="AJ155" s="48">
        <v>0</v>
      </c>
      <c r="AK155" s="48"/>
      <c r="AL155" s="45">
        <v>117657</v>
      </c>
      <c r="AM155" s="45"/>
      <c r="AN155" s="45">
        <v>6259766</v>
      </c>
      <c r="AO155" s="45"/>
      <c r="AP155" s="45">
        <v>0</v>
      </c>
      <c r="AQ155" s="45"/>
      <c r="AR155" s="45">
        <f>+'[3]GVFund Rev'!U155+'[3]GVFund Rev'!W155-'[3]GVFund Exp'!AH155-'[3]GVFund Exp'!AL155+AJ155+AN155+AP155-'[3]GV Fund BS'!S155</f>
        <v>0</v>
      </c>
      <c r="AS155" s="48"/>
    </row>
    <row r="156" spans="1:45" s="44" customFormat="1" ht="12.75" customHeight="1">
      <c r="A156" s="35" t="s">
        <v>181</v>
      </c>
      <c r="C156" s="35" t="s">
        <v>125</v>
      </c>
      <c r="E156" s="45">
        <v>10243203</v>
      </c>
      <c r="F156" s="48"/>
      <c r="G156" s="45">
        <v>18603640</v>
      </c>
      <c r="H156" s="48"/>
      <c r="I156" s="45">
        <v>2823629</v>
      </c>
      <c r="J156" s="48"/>
      <c r="K156" s="45">
        <v>622243</v>
      </c>
      <c r="L156" s="48"/>
      <c r="M156" s="45">
        <v>4161938</v>
      </c>
      <c r="N156" s="48"/>
      <c r="O156" s="45">
        <v>297683</v>
      </c>
      <c r="P156" s="48"/>
      <c r="Q156" s="45">
        <v>0</v>
      </c>
      <c r="R156" s="48"/>
      <c r="S156" s="45">
        <v>2915007</v>
      </c>
      <c r="T156" s="48"/>
      <c r="U156" s="45">
        <v>0</v>
      </c>
      <c r="V156" s="48"/>
      <c r="W156" s="48"/>
      <c r="X156" s="35"/>
      <c r="Z156" s="35"/>
      <c r="AA156" s="35"/>
      <c r="AB156" s="45">
        <v>530000</v>
      </c>
      <c r="AC156" s="65"/>
      <c r="AD156" s="45">
        <v>748092</v>
      </c>
      <c r="AE156" s="65"/>
      <c r="AF156" s="45">
        <v>0</v>
      </c>
      <c r="AG156" s="65"/>
      <c r="AH156" s="48">
        <f t="shared" si="8"/>
        <v>40945435</v>
      </c>
      <c r="AI156" s="48"/>
      <c r="AJ156" s="48">
        <v>0</v>
      </c>
      <c r="AK156" s="48"/>
      <c r="AL156" s="45">
        <v>23059011</v>
      </c>
      <c r="AM156" s="45"/>
      <c r="AN156" s="45">
        <v>9455351</v>
      </c>
      <c r="AO156" s="45"/>
      <c r="AP156" s="45">
        <v>-51300</v>
      </c>
      <c r="AQ156" s="45"/>
      <c r="AR156" s="45">
        <f>+'[3]GVFund Rev'!U156+'[3]GVFund Rev'!W156-'[3]GVFund Exp'!AH156-'[3]GVFund Exp'!AL156+AJ156+AN156+AP156-'[3]GV Fund BS'!S156</f>
        <v>0</v>
      </c>
      <c r="AS156" s="48"/>
    </row>
    <row r="157" spans="1:45" s="44" customFormat="1" ht="12.75" customHeight="1">
      <c r="A157" s="35" t="s">
        <v>185</v>
      </c>
      <c r="C157" s="35" t="s">
        <v>80</v>
      </c>
      <c r="E157" s="45">
        <v>1870446</v>
      </c>
      <c r="F157" s="48"/>
      <c r="G157" s="45">
        <v>7763021</v>
      </c>
      <c r="H157" s="48"/>
      <c r="I157" s="45">
        <v>738737</v>
      </c>
      <c r="J157" s="48"/>
      <c r="K157" s="45">
        <v>360429</v>
      </c>
      <c r="L157" s="48"/>
      <c r="M157" s="45">
        <v>1446615</v>
      </c>
      <c r="N157" s="48"/>
      <c r="O157" s="45">
        <v>540850</v>
      </c>
      <c r="P157" s="48"/>
      <c r="Q157" s="45">
        <v>198272</v>
      </c>
      <c r="R157" s="48"/>
      <c r="S157" s="45">
        <v>4593538</v>
      </c>
      <c r="T157" s="48"/>
      <c r="U157" s="45">
        <v>0</v>
      </c>
      <c r="V157" s="48"/>
      <c r="W157" s="48"/>
      <c r="X157" s="35"/>
      <c r="Z157" s="35"/>
      <c r="AA157" s="35"/>
      <c r="AB157" s="45">
        <v>9568</v>
      </c>
      <c r="AC157" s="65"/>
      <c r="AD157" s="45">
        <f>1556+135721</f>
        <v>137277</v>
      </c>
      <c r="AE157" s="65"/>
      <c r="AF157" s="45">
        <v>0</v>
      </c>
      <c r="AG157" s="65"/>
      <c r="AH157" s="48">
        <f t="shared" si="8"/>
        <v>17658753</v>
      </c>
      <c r="AI157" s="48"/>
      <c r="AJ157" s="48">
        <v>0</v>
      </c>
      <c r="AK157" s="48"/>
      <c r="AL157" s="45">
        <v>7252781</v>
      </c>
      <c r="AM157" s="45"/>
      <c r="AN157" s="45">
        <v>20050559</v>
      </c>
      <c r="AO157" s="45"/>
      <c r="AP157" s="45">
        <v>0</v>
      </c>
      <c r="AQ157" s="45"/>
      <c r="AR157" s="45">
        <f>+'[3]GVFund Rev'!U157+'[3]GVFund Rev'!W157-'[3]GVFund Exp'!AH157-'[3]GVFund Exp'!AL157+AJ157+AN157+AP157-'[3]GV Fund BS'!S157</f>
        <v>0</v>
      </c>
      <c r="AS157" s="48"/>
    </row>
    <row r="158" spans="1:45" s="44" customFormat="1" ht="12.75" customHeight="1">
      <c r="A158" s="35" t="s">
        <v>186</v>
      </c>
      <c r="C158" s="35" t="s">
        <v>15</v>
      </c>
      <c r="E158" s="45">
        <v>2149856</v>
      </c>
      <c r="F158" s="48"/>
      <c r="G158" s="45">
        <f>3038698+578707</f>
        <v>3617405</v>
      </c>
      <c r="H158" s="48"/>
      <c r="I158" s="45">
        <v>589150</v>
      </c>
      <c r="J158" s="48"/>
      <c r="K158" s="45">
        <v>1416316</v>
      </c>
      <c r="L158" s="48"/>
      <c r="M158" s="45">
        <v>1515298</v>
      </c>
      <c r="N158" s="48"/>
      <c r="O158" s="45">
        <v>941185</v>
      </c>
      <c r="P158" s="48"/>
      <c r="Q158" s="45">
        <v>460158</v>
      </c>
      <c r="R158" s="48"/>
      <c r="S158" s="45">
        <v>1460150</v>
      </c>
      <c r="T158" s="48"/>
      <c r="U158" s="45">
        <v>0</v>
      </c>
      <c r="V158" s="48"/>
      <c r="W158" s="48"/>
      <c r="X158" s="35"/>
      <c r="Z158" s="35"/>
      <c r="AA158" s="35"/>
      <c r="AB158" s="45">
        <v>387196</v>
      </c>
      <c r="AC158" s="65"/>
      <c r="AD158" s="45">
        <v>122299</v>
      </c>
      <c r="AE158" s="65"/>
      <c r="AF158" s="45">
        <v>0</v>
      </c>
      <c r="AG158" s="65"/>
      <c r="AH158" s="48">
        <f t="shared" si="8"/>
        <v>12659013</v>
      </c>
      <c r="AI158" s="48"/>
      <c r="AJ158" s="48">
        <v>0</v>
      </c>
      <c r="AK158" s="48"/>
      <c r="AL158" s="45">
        <f>800000+1890320</f>
        <v>2690320</v>
      </c>
      <c r="AM158" s="45"/>
      <c r="AN158" s="45">
        <v>7250644</v>
      </c>
      <c r="AO158" s="45"/>
      <c r="AP158" s="45">
        <v>0</v>
      </c>
      <c r="AQ158" s="45"/>
      <c r="AR158" s="45">
        <f>+'[3]GVFund Rev'!U158+'[3]GVFund Rev'!W158-'[3]GVFund Exp'!AH158-'[3]GVFund Exp'!AL158+AJ158+AN158+AP158-'[3]GV Fund BS'!S158</f>
        <v>0</v>
      </c>
      <c r="AS158" s="48"/>
    </row>
    <row r="159" spans="1:45" s="44" customFormat="1" ht="12.75" customHeight="1">
      <c r="A159" s="35" t="s">
        <v>187</v>
      </c>
      <c r="C159" s="35" t="s">
        <v>27</v>
      </c>
      <c r="E159" s="45">
        <v>4303141</v>
      </c>
      <c r="F159" s="48"/>
      <c r="G159" s="45">
        <v>14436087</v>
      </c>
      <c r="H159" s="48"/>
      <c r="I159" s="45">
        <v>544560</v>
      </c>
      <c r="J159" s="48"/>
      <c r="K159" s="45">
        <v>563943</v>
      </c>
      <c r="L159" s="48"/>
      <c r="M159" s="45">
        <v>5702600</v>
      </c>
      <c r="N159" s="48"/>
      <c r="O159" s="45">
        <v>2409455</v>
      </c>
      <c r="P159" s="48"/>
      <c r="Q159" s="45">
        <v>2165012</v>
      </c>
      <c r="R159" s="48"/>
      <c r="S159" s="45">
        <v>834099</v>
      </c>
      <c r="T159" s="48"/>
      <c r="U159" s="45">
        <v>0</v>
      </c>
      <c r="V159" s="48"/>
      <c r="W159" s="48"/>
      <c r="X159" s="35"/>
      <c r="Z159" s="35"/>
      <c r="AA159" s="35"/>
      <c r="AB159" s="45">
        <v>5803153</v>
      </c>
      <c r="AC159" s="65"/>
      <c r="AD159" s="45">
        <f>1951582+12000</f>
        <v>1963582</v>
      </c>
      <c r="AE159" s="65"/>
      <c r="AF159" s="45">
        <v>0</v>
      </c>
      <c r="AG159" s="65"/>
      <c r="AH159" s="48">
        <f t="shared" si="8"/>
        <v>38725632</v>
      </c>
      <c r="AI159" s="48"/>
      <c r="AJ159" s="48">
        <v>0</v>
      </c>
      <c r="AK159" s="48"/>
      <c r="AL159" s="45">
        <v>2096550</v>
      </c>
      <c r="AM159" s="45"/>
      <c r="AN159" s="45">
        <v>15021066</v>
      </c>
      <c r="AO159" s="45"/>
      <c r="AP159" s="45">
        <v>0</v>
      </c>
      <c r="AQ159" s="45"/>
      <c r="AR159" s="45">
        <f>+'[3]GVFund Rev'!U159+'[3]GVFund Rev'!W159-'[3]GVFund Exp'!AH159-'[3]GVFund Exp'!AL159+AJ159+AN159+AP159-'[3]GV Fund BS'!S159</f>
        <v>0</v>
      </c>
      <c r="AS159" s="48"/>
    </row>
    <row r="160" spans="1:45" s="44" customFormat="1" ht="12.75" customHeight="1">
      <c r="A160" s="44" t="s">
        <v>189</v>
      </c>
      <c r="C160" s="44" t="s">
        <v>17</v>
      </c>
      <c r="E160" s="45">
        <v>5561610</v>
      </c>
      <c r="F160" s="48"/>
      <c r="G160" s="45">
        <v>9781279</v>
      </c>
      <c r="H160" s="48"/>
      <c r="I160" s="45">
        <v>1573541</v>
      </c>
      <c r="J160" s="48"/>
      <c r="K160" s="45">
        <v>381739</v>
      </c>
      <c r="L160" s="48"/>
      <c r="M160" s="45">
        <v>2533352</v>
      </c>
      <c r="N160" s="48"/>
      <c r="O160" s="45">
        <v>486700</v>
      </c>
      <c r="P160" s="48"/>
      <c r="Q160" s="45">
        <v>0</v>
      </c>
      <c r="R160" s="48"/>
      <c r="S160" s="45">
        <v>1925852</v>
      </c>
      <c r="T160" s="48"/>
      <c r="U160" s="45">
        <v>0</v>
      </c>
      <c r="V160" s="48"/>
      <c r="W160" s="48"/>
      <c r="X160" s="35"/>
      <c r="Z160" s="35"/>
      <c r="AA160" s="35"/>
      <c r="AB160" s="45">
        <v>3564928</v>
      </c>
      <c r="AC160" s="65"/>
      <c r="AD160" s="45">
        <v>371542</v>
      </c>
      <c r="AE160" s="65"/>
      <c r="AF160" s="45">
        <v>0</v>
      </c>
      <c r="AG160" s="65"/>
      <c r="AH160" s="48">
        <f t="shared" si="8"/>
        <v>26180543</v>
      </c>
      <c r="AI160" s="48"/>
      <c r="AJ160" s="48">
        <v>0</v>
      </c>
      <c r="AK160" s="48"/>
      <c r="AL160" s="45">
        <v>7600000</v>
      </c>
      <c r="AM160" s="45"/>
      <c r="AN160" s="45">
        <v>8902822</v>
      </c>
      <c r="AO160" s="45"/>
      <c r="AP160" s="45">
        <v>0</v>
      </c>
      <c r="AQ160" s="45"/>
      <c r="AR160" s="45">
        <f>+'[3]GVFund Rev'!U160+'[3]GVFund Rev'!W160-'[3]GVFund Exp'!AH160-'[3]GVFund Exp'!AL160+AJ160+AN160+AP160-'[3]GV Fund BS'!S160</f>
        <v>0</v>
      </c>
      <c r="AS160" s="48"/>
    </row>
    <row r="161" spans="1:45" s="44" customFormat="1" ht="12.75" customHeight="1">
      <c r="A161" s="64" t="s">
        <v>188</v>
      </c>
      <c r="B161" s="46"/>
      <c r="C161" s="64" t="s">
        <v>27</v>
      </c>
      <c r="D161" s="46"/>
      <c r="E161" s="45">
        <v>2601997</v>
      </c>
      <c r="F161" s="48"/>
      <c r="G161" s="45">
        <v>10782202</v>
      </c>
      <c r="H161" s="48"/>
      <c r="I161" s="45">
        <v>776247</v>
      </c>
      <c r="J161" s="48"/>
      <c r="K161" s="45">
        <v>406879</v>
      </c>
      <c r="L161" s="48"/>
      <c r="M161" s="45">
        <v>4743556</v>
      </c>
      <c r="N161" s="48"/>
      <c r="O161" s="45">
        <v>560659</v>
      </c>
      <c r="P161" s="48"/>
      <c r="Q161" s="45">
        <v>2216221</v>
      </c>
      <c r="R161" s="48"/>
      <c r="S161" s="45">
        <v>2505727</v>
      </c>
      <c r="T161" s="48"/>
      <c r="U161" s="45">
        <v>0</v>
      </c>
      <c r="V161" s="48"/>
      <c r="W161" s="48"/>
      <c r="X161" s="35"/>
      <c r="Z161" s="35"/>
      <c r="AA161" s="35"/>
      <c r="AB161" s="45">
        <v>18478276</v>
      </c>
      <c r="AC161" s="65"/>
      <c r="AD161" s="45">
        <v>795143</v>
      </c>
      <c r="AE161" s="65"/>
      <c r="AF161" s="45">
        <v>0</v>
      </c>
      <c r="AG161" s="65"/>
      <c r="AH161" s="48">
        <f t="shared" si="8"/>
        <v>43866907</v>
      </c>
      <c r="AI161" s="48"/>
      <c r="AJ161" s="48">
        <v>0</v>
      </c>
      <c r="AK161" s="48"/>
      <c r="AL161" s="45">
        <v>2702894</v>
      </c>
      <c r="AM161" s="45"/>
      <c r="AN161" s="45">
        <v>18497867</v>
      </c>
      <c r="AO161" s="45"/>
      <c r="AP161" s="45">
        <v>0</v>
      </c>
      <c r="AQ161" s="45"/>
      <c r="AR161" s="45">
        <f>+'[3]GVFund Rev'!U161+'[3]GVFund Rev'!W161-'[3]GVFund Exp'!AH161-'[3]GVFund Exp'!AL161+AJ161+AN161+AP161-'[3]GV Fund BS'!S161</f>
        <v>0</v>
      </c>
      <c r="AS161" s="48"/>
    </row>
    <row r="162" spans="1:45" s="44" customFormat="1" ht="12.75" customHeight="1">
      <c r="A162" s="35" t="s">
        <v>190</v>
      </c>
      <c r="C162" s="35" t="s">
        <v>47</v>
      </c>
      <c r="E162" s="45">
        <v>2144392</v>
      </c>
      <c r="F162" s="48"/>
      <c r="G162" s="45">
        <v>2799260</v>
      </c>
      <c r="H162" s="48"/>
      <c r="I162" s="45">
        <v>198281</v>
      </c>
      <c r="J162" s="48"/>
      <c r="K162" s="45">
        <v>8164</v>
      </c>
      <c r="L162" s="48"/>
      <c r="M162" s="45">
        <v>530824</v>
      </c>
      <c r="N162" s="48"/>
      <c r="O162" s="45">
        <v>71334</v>
      </c>
      <c r="P162" s="48"/>
      <c r="Q162" s="45">
        <v>188488</v>
      </c>
      <c r="R162" s="48"/>
      <c r="S162" s="45">
        <v>1037791</v>
      </c>
      <c r="T162" s="48"/>
      <c r="U162" s="45">
        <v>0</v>
      </c>
      <c r="V162" s="48"/>
      <c r="W162" s="48"/>
      <c r="X162" s="35"/>
      <c r="Z162" s="35"/>
      <c r="AA162" s="35"/>
      <c r="AB162" s="45">
        <v>122498</v>
      </c>
      <c r="AC162" s="65"/>
      <c r="AD162" s="45">
        <v>77934</v>
      </c>
      <c r="AE162" s="65"/>
      <c r="AF162" s="45">
        <v>0</v>
      </c>
      <c r="AG162" s="65"/>
      <c r="AH162" s="48">
        <f t="shared" si="8"/>
        <v>7178966</v>
      </c>
      <c r="AI162" s="48"/>
      <c r="AJ162" s="48">
        <v>0</v>
      </c>
      <c r="AK162" s="48"/>
      <c r="AL162" s="45">
        <v>197000</v>
      </c>
      <c r="AM162" s="45"/>
      <c r="AN162" s="45">
        <v>5228675</v>
      </c>
      <c r="AO162" s="45"/>
      <c r="AP162" s="45">
        <v>1653</v>
      </c>
      <c r="AQ162" s="45"/>
      <c r="AR162" s="45">
        <f>+'[3]GVFund Rev'!U162+'[3]GVFund Rev'!W162-'[3]GVFund Exp'!AH162-'[3]GVFund Exp'!AL162+AJ162+AN162+AP162-'[3]GV Fund BS'!S162</f>
        <v>0</v>
      </c>
      <c r="AS162" s="48"/>
    </row>
    <row r="163" spans="1:45" s="44" customFormat="1" ht="12.75" customHeight="1">
      <c r="A163" s="35" t="s">
        <v>191</v>
      </c>
      <c r="C163" s="35" t="s">
        <v>13</v>
      </c>
      <c r="E163" s="45">
        <v>2004444</v>
      </c>
      <c r="F163" s="48"/>
      <c r="G163" s="45">
        <v>4056371</v>
      </c>
      <c r="H163" s="48"/>
      <c r="I163" s="45">
        <v>258713</v>
      </c>
      <c r="J163" s="48"/>
      <c r="K163" s="45">
        <v>54164</v>
      </c>
      <c r="L163" s="48"/>
      <c r="M163" s="45">
        <v>1758624</v>
      </c>
      <c r="N163" s="48"/>
      <c r="O163" s="45">
        <v>171382</v>
      </c>
      <c r="P163" s="48"/>
      <c r="Q163" s="45">
        <v>0</v>
      </c>
      <c r="R163" s="48"/>
      <c r="S163" s="45">
        <v>975903</v>
      </c>
      <c r="T163" s="48"/>
      <c r="U163" s="45">
        <v>0</v>
      </c>
      <c r="V163" s="48"/>
      <c r="W163" s="48"/>
      <c r="X163" s="35"/>
      <c r="Z163" s="35"/>
      <c r="AA163" s="35"/>
      <c r="AB163" s="45">
        <v>232931</v>
      </c>
      <c r="AC163" s="65"/>
      <c r="AD163" s="45">
        <v>131176</v>
      </c>
      <c r="AE163" s="65"/>
      <c r="AF163" s="45">
        <v>0</v>
      </c>
      <c r="AG163" s="65"/>
      <c r="AH163" s="48">
        <f t="shared" si="8"/>
        <v>9643708</v>
      </c>
      <c r="AI163" s="48"/>
      <c r="AJ163" s="48">
        <v>0</v>
      </c>
      <c r="AK163" s="48"/>
      <c r="AL163" s="45">
        <v>1743390</v>
      </c>
      <c r="AM163" s="45"/>
      <c r="AN163" s="45">
        <v>4051073</v>
      </c>
      <c r="AO163" s="45"/>
      <c r="AP163" s="45">
        <v>0</v>
      </c>
      <c r="AQ163" s="45"/>
      <c r="AR163" s="45">
        <f>+'[3]GVFund Rev'!U163+'[3]GVFund Rev'!W163-'[3]GVFund Exp'!AH163-'[3]GVFund Exp'!AL163+AJ163+AN163+AP163-'[3]GV Fund BS'!S163</f>
        <v>0</v>
      </c>
      <c r="AS163" s="48"/>
    </row>
    <row r="164" spans="1:45" s="44" customFormat="1" ht="12.75" customHeight="1">
      <c r="A164" s="64" t="s">
        <v>192</v>
      </c>
      <c r="B164" s="46"/>
      <c r="C164" s="64" t="s">
        <v>38</v>
      </c>
      <c r="D164" s="46"/>
      <c r="E164" s="45">
        <v>2361696</v>
      </c>
      <c r="F164" s="48"/>
      <c r="G164" s="45">
        <v>5033797</v>
      </c>
      <c r="H164" s="48"/>
      <c r="I164" s="45">
        <v>196981</v>
      </c>
      <c r="J164" s="48"/>
      <c r="K164" s="45">
        <v>163635</v>
      </c>
      <c r="L164" s="48"/>
      <c r="M164" s="45">
        <v>1394306</v>
      </c>
      <c r="N164" s="48"/>
      <c r="O164" s="45">
        <v>1876808</v>
      </c>
      <c r="P164" s="48"/>
      <c r="Q164" s="45">
        <v>0</v>
      </c>
      <c r="R164" s="48"/>
      <c r="S164" s="45">
        <v>2291901</v>
      </c>
      <c r="T164" s="48"/>
      <c r="U164" s="45">
        <v>0</v>
      </c>
      <c r="V164" s="48"/>
      <c r="W164" s="48"/>
      <c r="X164" s="35"/>
      <c r="Z164" s="35"/>
      <c r="AA164" s="35"/>
      <c r="AB164" s="45">
        <v>162357</v>
      </c>
      <c r="AC164" s="65"/>
      <c r="AD164" s="45">
        <v>71499</v>
      </c>
      <c r="AE164" s="65"/>
      <c r="AF164" s="45">
        <v>0</v>
      </c>
      <c r="AG164" s="65"/>
      <c r="AH164" s="48">
        <f t="shared" si="8"/>
        <v>13552980</v>
      </c>
      <c r="AI164" s="48"/>
      <c r="AJ164" s="48">
        <v>0</v>
      </c>
      <c r="AK164" s="48"/>
      <c r="AL164" s="45">
        <v>1213850</v>
      </c>
      <c r="AM164" s="45"/>
      <c r="AN164" s="45">
        <v>13440454</v>
      </c>
      <c r="AO164" s="45"/>
      <c r="AP164" s="45">
        <v>0</v>
      </c>
      <c r="AQ164" s="45"/>
      <c r="AR164" s="45">
        <f>+'[3]GVFund Rev'!U164+'[3]GVFund Rev'!W164-'[3]GVFund Exp'!AH164-'[3]GVFund Exp'!AL164+AJ164+AN164+AP164-'[3]GV Fund BS'!S164</f>
        <v>0</v>
      </c>
      <c r="AS164" s="48"/>
    </row>
    <row r="165" spans="1:45" s="121" customFormat="1" ht="12.75" hidden="1" customHeight="1">
      <c r="A165" s="35" t="s">
        <v>193</v>
      </c>
      <c r="B165" s="44"/>
      <c r="C165" s="35" t="s">
        <v>45</v>
      </c>
      <c r="D165" s="44"/>
      <c r="E165" s="45"/>
      <c r="F165" s="48"/>
      <c r="G165" s="45"/>
      <c r="H165" s="48"/>
      <c r="I165" s="45"/>
      <c r="J165" s="48"/>
      <c r="K165" s="45"/>
      <c r="L165" s="48"/>
      <c r="M165" s="45"/>
      <c r="N165" s="48"/>
      <c r="O165" s="45"/>
      <c r="P165" s="48"/>
      <c r="Q165" s="45"/>
      <c r="R165" s="48"/>
      <c r="S165" s="45"/>
      <c r="T165" s="48"/>
      <c r="U165" s="45"/>
      <c r="V165" s="48"/>
      <c r="W165" s="48"/>
      <c r="X165" s="35"/>
      <c r="Y165" s="44"/>
      <c r="Z165" s="35"/>
      <c r="AA165" s="35"/>
      <c r="AB165" s="45"/>
      <c r="AC165" s="65"/>
      <c r="AD165" s="45"/>
      <c r="AE165" s="65"/>
      <c r="AF165" s="45"/>
      <c r="AG165" s="65"/>
      <c r="AH165" s="48">
        <f t="shared" si="8"/>
        <v>0</v>
      </c>
      <c r="AI165" s="48"/>
      <c r="AJ165" s="48">
        <v>0</v>
      </c>
      <c r="AK165" s="48"/>
      <c r="AL165" s="45"/>
      <c r="AM165" s="45"/>
      <c r="AN165" s="45"/>
      <c r="AO165" s="45"/>
      <c r="AP165" s="45"/>
      <c r="AQ165" s="45"/>
      <c r="AR165" s="45">
        <f>+'[3]GVFund Rev'!U165+'[3]GVFund Rev'!W165-'[3]GVFund Exp'!AH165-'[3]GVFund Exp'!AL165+AJ165+AN165+AP165-'[3]GV Fund BS'!S165</f>
        <v>0</v>
      </c>
      <c r="AS165" s="125"/>
    </row>
    <row r="166" spans="1:45" s="44" customFormat="1" ht="12.75" customHeight="1">
      <c r="A166" s="35" t="s">
        <v>194</v>
      </c>
      <c r="C166" s="35" t="s">
        <v>66</v>
      </c>
      <c r="E166" s="45">
        <v>2627075</v>
      </c>
      <c r="F166" s="48"/>
      <c r="G166" s="45">
        <v>5022601</v>
      </c>
      <c r="H166" s="48"/>
      <c r="I166" s="45">
        <v>1934658</v>
      </c>
      <c r="J166" s="48"/>
      <c r="K166" s="45">
        <v>104320</v>
      </c>
      <c r="L166" s="48"/>
      <c r="M166" s="45">
        <v>970968</v>
      </c>
      <c r="N166" s="48"/>
      <c r="O166" s="45">
        <v>1027106</v>
      </c>
      <c r="P166" s="48"/>
      <c r="Q166" s="45">
        <v>0</v>
      </c>
      <c r="R166" s="48"/>
      <c r="S166" s="45">
        <v>4357251</v>
      </c>
      <c r="T166" s="48"/>
      <c r="U166" s="45">
        <v>0</v>
      </c>
      <c r="V166" s="48"/>
      <c r="W166" s="48"/>
      <c r="X166" s="35"/>
      <c r="Z166" s="35"/>
      <c r="AA166" s="35"/>
      <c r="AB166" s="45">
        <v>11450</v>
      </c>
      <c r="AC166" s="65"/>
      <c r="AD166" s="45">
        <v>126165</v>
      </c>
      <c r="AE166" s="65"/>
      <c r="AF166" s="45">
        <v>0</v>
      </c>
      <c r="AG166" s="65"/>
      <c r="AH166" s="48">
        <f t="shared" si="8"/>
        <v>16181594</v>
      </c>
      <c r="AI166" s="48"/>
      <c r="AJ166" s="48">
        <v>0</v>
      </c>
      <c r="AK166" s="48"/>
      <c r="AL166" s="45">
        <v>2055060</v>
      </c>
      <c r="AM166" s="45"/>
      <c r="AN166" s="45">
        <v>15828637</v>
      </c>
      <c r="AO166" s="45"/>
      <c r="AP166" s="45">
        <v>0</v>
      </c>
      <c r="AQ166" s="45"/>
      <c r="AR166" s="45">
        <f>+'[3]GVFund Rev'!U166+'[3]GVFund Rev'!W166-'[3]GVFund Exp'!AH166-'[3]GVFund Exp'!AL166+AJ166+AN166+AP166-'[3]GV Fund BS'!S166</f>
        <v>0</v>
      </c>
      <c r="AS166" s="48"/>
    </row>
    <row r="167" spans="1:45" s="44" customFormat="1" ht="12.75" customHeight="1">
      <c r="A167" s="35" t="s">
        <v>195</v>
      </c>
      <c r="C167" s="35" t="s">
        <v>17</v>
      </c>
      <c r="E167" s="45">
        <v>3079045</v>
      </c>
      <c r="F167" s="48"/>
      <c r="G167" s="45">
        <v>3018073</v>
      </c>
      <c r="H167" s="48"/>
      <c r="I167" s="45">
        <v>631118</v>
      </c>
      <c r="J167" s="48"/>
      <c r="K167" s="45">
        <v>117109</v>
      </c>
      <c r="L167" s="48"/>
      <c r="M167" s="45">
        <v>672003</v>
      </c>
      <c r="N167" s="48"/>
      <c r="O167" s="45">
        <v>622135</v>
      </c>
      <c r="P167" s="48"/>
      <c r="Q167" s="45">
        <v>132569</v>
      </c>
      <c r="R167" s="48"/>
      <c r="S167" s="45">
        <v>1904771</v>
      </c>
      <c r="T167" s="48"/>
      <c r="U167" s="45">
        <v>0</v>
      </c>
      <c r="V167" s="48"/>
      <c r="W167" s="48"/>
      <c r="X167" s="35"/>
      <c r="Z167" s="35"/>
      <c r="AA167" s="35"/>
      <c r="AB167" s="45">
        <v>387131</v>
      </c>
      <c r="AC167" s="65"/>
      <c r="AD167" s="45">
        <v>274766</v>
      </c>
      <c r="AE167" s="65"/>
      <c r="AF167" s="45">
        <v>0</v>
      </c>
      <c r="AG167" s="65"/>
      <c r="AH167" s="48">
        <f t="shared" si="8"/>
        <v>10838720</v>
      </c>
      <c r="AI167" s="48"/>
      <c r="AJ167" s="48">
        <v>0</v>
      </c>
      <c r="AK167" s="48"/>
      <c r="AL167" s="45">
        <v>1404933</v>
      </c>
      <c r="AM167" s="45"/>
      <c r="AN167" s="45">
        <v>12233155</v>
      </c>
      <c r="AO167" s="45"/>
      <c r="AP167" s="45">
        <v>-9912</v>
      </c>
      <c r="AQ167" s="45"/>
      <c r="AR167" s="45">
        <f>+'[3]GVFund Rev'!U167+'[3]GVFund Rev'!W167-'[3]GVFund Exp'!AH167-'[3]GVFund Exp'!AL167+AJ167+AN167+AP167-'[3]GV Fund BS'!S167</f>
        <v>0</v>
      </c>
      <c r="AS167" s="48"/>
    </row>
    <row r="168" spans="1:45" s="46" customFormat="1" ht="12.75" hidden="1" customHeight="1">
      <c r="A168" s="64" t="s">
        <v>196</v>
      </c>
      <c r="C168" s="64" t="s">
        <v>27</v>
      </c>
      <c r="E168" s="45"/>
      <c r="F168" s="48"/>
      <c r="G168" s="45"/>
      <c r="H168" s="48"/>
      <c r="I168" s="45"/>
      <c r="J168" s="48"/>
      <c r="K168" s="45"/>
      <c r="L168" s="48"/>
      <c r="M168" s="45"/>
      <c r="N168" s="48"/>
      <c r="O168" s="45"/>
      <c r="P168" s="48"/>
      <c r="Q168" s="45"/>
      <c r="R168" s="48"/>
      <c r="S168" s="45"/>
      <c r="T168" s="48"/>
      <c r="U168" s="45"/>
      <c r="V168" s="48"/>
      <c r="W168" s="48"/>
      <c r="X168" s="35"/>
      <c r="Y168" s="44"/>
      <c r="Z168" s="35"/>
      <c r="AA168" s="35"/>
      <c r="AB168" s="45"/>
      <c r="AC168" s="65"/>
      <c r="AD168" s="45"/>
      <c r="AE168" s="65"/>
      <c r="AF168" s="45"/>
      <c r="AG168" s="65"/>
      <c r="AH168" s="48">
        <f t="shared" si="8"/>
        <v>0</v>
      </c>
      <c r="AI168" s="48"/>
      <c r="AJ168" s="48">
        <v>0</v>
      </c>
      <c r="AK168" s="48"/>
      <c r="AL168" s="45"/>
      <c r="AM168" s="45"/>
      <c r="AN168" s="45"/>
      <c r="AO168" s="45"/>
      <c r="AP168" s="45"/>
      <c r="AQ168" s="45"/>
      <c r="AR168" s="45" t="e">
        <f>+'[3]GVFund Rev'!#REF!+'[3]GVFund Rev'!#REF!-'[3]GVFund Exp'!AH168-'[3]GVFund Exp'!AL168+AJ168+AN168+AP168-'[3]GV Fund BS'!S168</f>
        <v>#REF!</v>
      </c>
      <c r="AS168" s="48"/>
    </row>
    <row r="169" spans="1:45" s="121" customFormat="1" ht="12.75" hidden="1" customHeight="1">
      <c r="A169" s="35" t="s">
        <v>386</v>
      </c>
      <c r="B169" s="44"/>
      <c r="C169" s="35" t="s">
        <v>153</v>
      </c>
      <c r="D169" s="44"/>
      <c r="E169" s="45">
        <v>1857044</v>
      </c>
      <c r="F169" s="48"/>
      <c r="G169" s="45">
        <v>2328992</v>
      </c>
      <c r="H169" s="48"/>
      <c r="I169" s="45">
        <v>83254</v>
      </c>
      <c r="J169" s="48"/>
      <c r="K169" s="45">
        <v>3113</v>
      </c>
      <c r="L169" s="48"/>
      <c r="M169" s="45">
        <v>2116769</v>
      </c>
      <c r="N169" s="48"/>
      <c r="O169" s="45">
        <v>241462</v>
      </c>
      <c r="P169" s="48"/>
      <c r="Q169" s="45">
        <v>0</v>
      </c>
      <c r="R169" s="48"/>
      <c r="S169" s="45">
        <v>1086368</v>
      </c>
      <c r="T169" s="48"/>
      <c r="U169" s="45">
        <v>0</v>
      </c>
      <c r="V169" s="48"/>
      <c r="W169" s="48"/>
      <c r="X169" s="35"/>
      <c r="Y169" s="44"/>
      <c r="Z169" s="35"/>
      <c r="AA169" s="35"/>
      <c r="AB169" s="45">
        <v>80303</v>
      </c>
      <c r="AC169" s="65"/>
      <c r="AD169" s="45">
        <v>1277</v>
      </c>
      <c r="AE169" s="65"/>
      <c r="AF169" s="45">
        <v>0</v>
      </c>
      <c r="AG169" s="65"/>
      <c r="AH169" s="48">
        <f>SUM(E169:AF169)</f>
        <v>7798582</v>
      </c>
      <c r="AI169" s="48"/>
      <c r="AJ169" s="48">
        <v>0</v>
      </c>
      <c r="AK169" s="48"/>
      <c r="AL169" s="45">
        <v>976500</v>
      </c>
      <c r="AM169" s="45"/>
      <c r="AN169" s="45">
        <v>8848183</v>
      </c>
      <c r="AO169" s="45"/>
      <c r="AP169" s="45">
        <v>0</v>
      </c>
      <c r="AQ169" s="45"/>
      <c r="AR169" s="45">
        <f>+'[3]GVFund Rev'!U169+'[3]GVFund Rev'!W169-'[3]GVFund Exp'!AH169-'[3]GVFund Exp'!AL169+AJ169+AN169+AP169-'[3]GV Fund BS'!S169</f>
        <v>0</v>
      </c>
      <c r="AS169" s="132"/>
    </row>
    <row r="170" spans="1:45" s="44" customFormat="1" ht="12.75" customHeight="1">
      <c r="A170" s="35" t="s">
        <v>197</v>
      </c>
      <c r="C170" s="35" t="s">
        <v>163</v>
      </c>
      <c r="E170" s="45">
        <v>5593761</v>
      </c>
      <c r="F170" s="48"/>
      <c r="G170" s="45">
        <v>10476643</v>
      </c>
      <c r="H170" s="48"/>
      <c r="I170" s="45">
        <v>1484172</v>
      </c>
      <c r="J170" s="48"/>
      <c r="K170" s="45">
        <v>522816</v>
      </c>
      <c r="L170" s="48"/>
      <c r="M170" s="45">
        <v>4246344</v>
      </c>
      <c r="N170" s="48"/>
      <c r="O170" s="45">
        <v>908899</v>
      </c>
      <c r="P170" s="48"/>
      <c r="Q170" s="45">
        <v>862876</v>
      </c>
      <c r="R170" s="48"/>
      <c r="S170" s="45">
        <v>2077980</v>
      </c>
      <c r="T170" s="48"/>
      <c r="U170" s="45">
        <v>0</v>
      </c>
      <c r="V170" s="48"/>
      <c r="W170" s="48"/>
      <c r="X170" s="35"/>
      <c r="Z170" s="35"/>
      <c r="AA170" s="35"/>
      <c r="AB170" s="45">
        <v>1090323</v>
      </c>
      <c r="AC170" s="65"/>
      <c r="AD170" s="45">
        <v>573048</v>
      </c>
      <c r="AE170" s="65"/>
      <c r="AF170" s="45">
        <v>0</v>
      </c>
      <c r="AG170" s="65"/>
      <c r="AH170" s="48">
        <f t="shared" si="8"/>
        <v>27836862</v>
      </c>
      <c r="AI170" s="48"/>
      <c r="AJ170" s="48">
        <v>0</v>
      </c>
      <c r="AK170" s="48"/>
      <c r="AL170" s="45">
        <v>5985420</v>
      </c>
      <c r="AM170" s="45"/>
      <c r="AN170" s="45">
        <v>27945426</v>
      </c>
      <c r="AO170" s="45"/>
      <c r="AP170" s="45">
        <v>246631</v>
      </c>
      <c r="AQ170" s="45"/>
      <c r="AR170" s="45">
        <f>+'[3]GVFund Rev'!U170+'[3]GVFund Rev'!W170-'[3]GVFund Exp'!AH170-'[3]GVFund Exp'!AL170+AJ170+AN170+AP170-'[3]GV Fund BS'!S170</f>
        <v>0</v>
      </c>
      <c r="AS170" s="48"/>
    </row>
    <row r="171" spans="1:45" s="46" customFormat="1" ht="12.75" customHeight="1">
      <c r="A171" s="35" t="s">
        <v>198</v>
      </c>
      <c r="B171" s="44"/>
      <c r="C171" s="35" t="s">
        <v>199</v>
      </c>
      <c r="D171" s="44"/>
      <c r="E171" s="45">
        <v>1125756</v>
      </c>
      <c r="F171" s="45"/>
      <c r="G171" s="45">
        <f>1602155+400868</f>
        <v>2003023</v>
      </c>
      <c r="H171" s="45"/>
      <c r="I171" s="45">
        <v>0</v>
      </c>
      <c r="J171" s="45"/>
      <c r="K171" s="45">
        <v>177486</v>
      </c>
      <c r="L171" s="45"/>
      <c r="M171" s="45">
        <v>1347487</v>
      </c>
      <c r="N171" s="45"/>
      <c r="O171" s="45">
        <v>291169</v>
      </c>
      <c r="P171" s="45"/>
      <c r="Q171" s="45">
        <v>417347</v>
      </c>
      <c r="R171" s="45"/>
      <c r="S171" s="45">
        <v>2320788</v>
      </c>
      <c r="T171" s="45"/>
      <c r="U171" s="45">
        <v>0</v>
      </c>
      <c r="V171" s="45"/>
      <c r="W171" s="45"/>
      <c r="X171" s="45"/>
      <c r="Y171" s="45"/>
      <c r="Z171" s="44"/>
      <c r="AA171" s="44"/>
      <c r="AB171" s="45">
        <v>15870</v>
      </c>
      <c r="AC171" s="45"/>
      <c r="AD171" s="45">
        <v>79394</v>
      </c>
      <c r="AE171" s="48"/>
      <c r="AF171" s="45">
        <v>0</v>
      </c>
      <c r="AG171" s="45"/>
      <c r="AH171" s="48">
        <f>SUM(E171:AF171)</f>
        <v>7778320</v>
      </c>
      <c r="AI171" s="45">
        <v>4076912</v>
      </c>
      <c r="AJ171" s="48">
        <v>0</v>
      </c>
      <c r="AK171" s="48"/>
      <c r="AL171" s="45">
        <v>1154752</v>
      </c>
      <c r="AM171" s="45"/>
      <c r="AN171" s="45">
        <v>3910931</v>
      </c>
      <c r="AO171" s="45"/>
      <c r="AP171" s="45">
        <v>0</v>
      </c>
      <c r="AQ171" s="45"/>
      <c r="AR171" s="45">
        <f>+'[3]GVFund Rev'!U171+'[3]GVFund Rev'!W171-'[3]GVFund Exp'!AH171-'[3]GVFund Exp'!AL171+AJ171+AN171+AP171-'[3]GV Fund BS'!S171</f>
        <v>0</v>
      </c>
      <c r="AS171" s="48"/>
    </row>
    <row r="172" spans="1:45" s="44" customFormat="1" ht="12.75" customHeight="1">
      <c r="A172" s="35" t="s">
        <v>200</v>
      </c>
      <c r="C172" s="35" t="s">
        <v>103</v>
      </c>
      <c r="E172" s="45">
        <v>5496187</v>
      </c>
      <c r="F172" s="48"/>
      <c r="G172" s="45">
        <v>4999133</v>
      </c>
      <c r="H172" s="48"/>
      <c r="I172" s="45">
        <v>928690</v>
      </c>
      <c r="J172" s="48"/>
      <c r="K172" s="45">
        <v>292818</v>
      </c>
      <c r="L172" s="48"/>
      <c r="M172" s="45">
        <v>1327556</v>
      </c>
      <c r="N172" s="48"/>
      <c r="O172" s="45">
        <v>1257257</v>
      </c>
      <c r="P172" s="48"/>
      <c r="Q172" s="45">
        <v>0</v>
      </c>
      <c r="R172" s="48"/>
      <c r="S172" s="45">
        <v>1640864</v>
      </c>
      <c r="T172" s="48"/>
      <c r="U172" s="45">
        <v>0</v>
      </c>
      <c r="V172" s="48"/>
      <c r="W172" s="48"/>
      <c r="X172" s="35"/>
      <c r="Z172" s="35"/>
      <c r="AA172" s="35"/>
      <c r="AB172" s="45">
        <v>175000</v>
      </c>
      <c r="AC172" s="65"/>
      <c r="AD172" s="45">
        <v>153060</v>
      </c>
      <c r="AE172" s="65"/>
      <c r="AF172" s="45">
        <v>0</v>
      </c>
      <c r="AG172" s="65"/>
      <c r="AH172" s="48">
        <f t="shared" si="8"/>
        <v>16270565</v>
      </c>
      <c r="AI172" s="48"/>
      <c r="AJ172" s="48">
        <v>0</v>
      </c>
      <c r="AK172" s="48"/>
      <c r="AL172" s="45">
        <v>5195247</v>
      </c>
      <c r="AM172" s="45"/>
      <c r="AN172" s="45">
        <v>14049340</v>
      </c>
      <c r="AO172" s="45"/>
      <c r="AP172" s="45">
        <v>0</v>
      </c>
      <c r="AQ172" s="45"/>
      <c r="AR172" s="45">
        <f>+'[3]GVFund Rev'!U172+'[3]GVFund Rev'!W172-'[3]GVFund Exp'!AH172-'[3]GVFund Exp'!AL172+AJ172+AN172+AP172-'[3]GV Fund BS'!S172</f>
        <v>0</v>
      </c>
      <c r="AS172" s="48"/>
    </row>
    <row r="173" spans="1:45" s="44" customFormat="1" ht="12.75" customHeight="1">
      <c r="A173" s="35" t="s">
        <v>201</v>
      </c>
      <c r="C173" s="35" t="s">
        <v>92</v>
      </c>
      <c r="E173" s="45">
        <v>3073580</v>
      </c>
      <c r="F173" s="48"/>
      <c r="G173" s="45">
        <v>7809545</v>
      </c>
      <c r="H173" s="48"/>
      <c r="I173" s="45">
        <v>446544</v>
      </c>
      <c r="J173" s="48"/>
      <c r="K173" s="45">
        <v>629725</v>
      </c>
      <c r="L173" s="48"/>
      <c r="M173" s="45">
        <v>2362850</v>
      </c>
      <c r="N173" s="48"/>
      <c r="O173" s="45">
        <v>888950</v>
      </c>
      <c r="P173" s="48"/>
      <c r="Q173" s="45">
        <v>0</v>
      </c>
      <c r="R173" s="48"/>
      <c r="S173" s="45">
        <v>2337849</v>
      </c>
      <c r="T173" s="48"/>
      <c r="U173" s="45">
        <v>0</v>
      </c>
      <c r="V173" s="48"/>
      <c r="W173" s="48"/>
      <c r="X173" s="35"/>
      <c r="Z173" s="35"/>
      <c r="AA173" s="35"/>
      <c r="AB173" s="45">
        <v>556798</v>
      </c>
      <c r="AC173" s="65"/>
      <c r="AD173" s="45">
        <v>286578</v>
      </c>
      <c r="AE173" s="65"/>
      <c r="AF173" s="45">
        <v>0</v>
      </c>
      <c r="AG173" s="65"/>
      <c r="AH173" s="48">
        <f t="shared" si="8"/>
        <v>18392419</v>
      </c>
      <c r="AI173" s="48"/>
      <c r="AJ173" s="48">
        <v>0</v>
      </c>
      <c r="AK173" s="48"/>
      <c r="AL173" s="45">
        <v>2355593</v>
      </c>
      <c r="AM173" s="45"/>
      <c r="AN173" s="45">
        <v>13000877</v>
      </c>
      <c r="AO173" s="45"/>
      <c r="AP173" s="45">
        <v>35545</v>
      </c>
      <c r="AQ173" s="45"/>
      <c r="AR173" s="45">
        <f>+'[3]GVFund Rev'!U173+'[3]GVFund Rev'!W173-'[3]GVFund Exp'!AH173-'[3]GVFund Exp'!AL173+AJ173+AN173+AP173-'[3]GV Fund BS'!S173</f>
        <v>0</v>
      </c>
      <c r="AS173" s="48"/>
    </row>
    <row r="174" spans="1:45" s="44" customFormat="1" ht="12.75" hidden="1" customHeight="1">
      <c r="A174" s="35" t="s">
        <v>202</v>
      </c>
      <c r="C174" s="35" t="s">
        <v>27</v>
      </c>
      <c r="E174" s="45"/>
      <c r="F174" s="48"/>
      <c r="G174" s="45"/>
      <c r="H174" s="48"/>
      <c r="I174" s="45"/>
      <c r="J174" s="48"/>
      <c r="K174" s="45"/>
      <c r="L174" s="48"/>
      <c r="M174" s="45"/>
      <c r="N174" s="48"/>
      <c r="O174" s="45"/>
      <c r="P174" s="48"/>
      <c r="Q174" s="45"/>
      <c r="R174" s="48"/>
      <c r="S174" s="45"/>
      <c r="T174" s="48"/>
      <c r="U174" s="45"/>
      <c r="V174" s="48"/>
      <c r="W174" s="48"/>
      <c r="X174" s="35"/>
      <c r="Z174" s="35"/>
      <c r="AA174" s="35"/>
      <c r="AB174" s="45"/>
      <c r="AC174" s="65"/>
      <c r="AD174" s="45"/>
      <c r="AE174" s="65"/>
      <c r="AF174" s="45"/>
      <c r="AG174" s="65"/>
      <c r="AH174" s="48">
        <f t="shared" si="8"/>
        <v>0</v>
      </c>
      <c r="AI174" s="48"/>
      <c r="AJ174" s="48">
        <v>0</v>
      </c>
      <c r="AK174" s="48"/>
      <c r="AL174" s="45"/>
      <c r="AM174" s="45"/>
      <c r="AN174" s="45"/>
      <c r="AO174" s="45"/>
      <c r="AP174" s="45"/>
      <c r="AQ174" s="45"/>
      <c r="AR174" s="45">
        <f>+'[3]GVFund Rev'!U174+'[3]GVFund Rev'!W174-'[3]GVFund Exp'!AH174-'[3]GVFund Exp'!AL174+AJ174+AN174+AP174-'[3]GV Fund BS'!S174</f>
        <v>0</v>
      </c>
      <c r="AS174" s="48"/>
    </row>
    <row r="175" spans="1:45" s="44" customFormat="1" ht="12.75" customHeight="1">
      <c r="A175" s="35" t="s">
        <v>203</v>
      </c>
      <c r="C175" s="35" t="s">
        <v>27</v>
      </c>
      <c r="E175" s="45">
        <v>2681673</v>
      </c>
      <c r="F175" s="48"/>
      <c r="G175" s="45">
        <v>8834701</v>
      </c>
      <c r="H175" s="48"/>
      <c r="I175" s="45">
        <v>2904044</v>
      </c>
      <c r="J175" s="48"/>
      <c r="K175" s="45">
        <v>993262</v>
      </c>
      <c r="L175" s="48"/>
      <c r="M175" s="45">
        <v>921485</v>
      </c>
      <c r="N175" s="48"/>
      <c r="O175" s="45">
        <v>791175</v>
      </c>
      <c r="P175" s="48"/>
      <c r="Q175" s="45">
        <v>218624</v>
      </c>
      <c r="R175" s="48"/>
      <c r="S175" s="45">
        <v>175694</v>
      </c>
      <c r="T175" s="48"/>
      <c r="U175" s="45">
        <v>0</v>
      </c>
      <c r="V175" s="48"/>
      <c r="W175" s="48"/>
      <c r="X175" s="35"/>
      <c r="Z175" s="35"/>
      <c r="AA175" s="35"/>
      <c r="AB175" s="45">
        <v>3380807</v>
      </c>
      <c r="AC175" s="65"/>
      <c r="AD175" s="45">
        <f>169777+449708</f>
        <v>619485</v>
      </c>
      <c r="AE175" s="65"/>
      <c r="AF175" s="45">
        <v>0</v>
      </c>
      <c r="AG175" s="65"/>
      <c r="AH175" s="48">
        <f t="shared" si="8"/>
        <v>21520950</v>
      </c>
      <c r="AI175" s="48"/>
      <c r="AJ175" s="48">
        <v>0</v>
      </c>
      <c r="AK175" s="48"/>
      <c r="AL175" s="45">
        <v>2940000</v>
      </c>
      <c r="AM175" s="45"/>
      <c r="AN175" s="45">
        <v>1875416</v>
      </c>
      <c r="AO175" s="45"/>
      <c r="AP175" s="45">
        <v>0</v>
      </c>
      <c r="AQ175" s="45"/>
      <c r="AR175" s="45">
        <f>+'[3]GVFund Rev'!U175+'[3]GVFund Rev'!W175-'[3]GVFund Exp'!AH175-'[3]GVFund Exp'!AL175+AJ175+AN175+AP175-'[3]GV Fund BS'!S175</f>
        <v>0</v>
      </c>
      <c r="AS175" s="48"/>
    </row>
    <row r="176" spans="1:45" s="44" customFormat="1" ht="12.75" customHeight="1">
      <c r="A176" s="35" t="s">
        <v>204</v>
      </c>
      <c r="C176" s="35" t="s">
        <v>125</v>
      </c>
      <c r="E176" s="45">
        <v>927449</v>
      </c>
      <c r="F176" s="48"/>
      <c r="G176" s="45">
        <v>1650201</v>
      </c>
      <c r="H176" s="48"/>
      <c r="I176" s="45">
        <v>287595</v>
      </c>
      <c r="J176" s="48"/>
      <c r="K176" s="45">
        <v>57500</v>
      </c>
      <c r="L176" s="48"/>
      <c r="M176" s="45">
        <v>871259</v>
      </c>
      <c r="N176" s="48"/>
      <c r="O176" s="45">
        <v>80296</v>
      </c>
      <c r="P176" s="48"/>
      <c r="Q176" s="45">
        <v>0</v>
      </c>
      <c r="R176" s="48"/>
      <c r="S176" s="45">
        <v>685462</v>
      </c>
      <c r="T176" s="48"/>
      <c r="U176" s="45">
        <v>0</v>
      </c>
      <c r="V176" s="48"/>
      <c r="W176" s="48"/>
      <c r="X176" s="35"/>
      <c r="Z176" s="35"/>
      <c r="AA176" s="35"/>
      <c r="AB176" s="45">
        <v>83270</v>
      </c>
      <c r="AC176" s="65"/>
      <c r="AD176" s="45">
        <v>92133</v>
      </c>
      <c r="AE176" s="65"/>
      <c r="AF176" s="45">
        <v>0</v>
      </c>
      <c r="AG176" s="65"/>
      <c r="AH176" s="48">
        <f t="shared" si="8"/>
        <v>4735165</v>
      </c>
      <c r="AI176" s="48"/>
      <c r="AJ176" s="48">
        <v>0</v>
      </c>
      <c r="AK176" s="48"/>
      <c r="AL176" s="45">
        <v>461948</v>
      </c>
      <c r="AM176" s="45"/>
      <c r="AN176" s="45">
        <v>1094165</v>
      </c>
      <c r="AO176" s="45"/>
      <c r="AP176" s="45">
        <v>0</v>
      </c>
      <c r="AQ176" s="45"/>
      <c r="AR176" s="45">
        <f>+'[3]GVFund Rev'!U176+'[3]GVFund Rev'!W176-'[3]GVFund Exp'!AH176-'[3]GVFund Exp'!AL176+AJ176+AN176+AP176-'[3]GV Fund BS'!S176</f>
        <v>0</v>
      </c>
      <c r="AS176" s="48"/>
    </row>
    <row r="177" spans="1:45" s="44" customFormat="1" ht="12.75" customHeight="1">
      <c r="A177" s="35" t="s">
        <v>205</v>
      </c>
      <c r="C177" s="35" t="s">
        <v>27</v>
      </c>
      <c r="E177" s="45">
        <v>1572570</v>
      </c>
      <c r="F177" s="48"/>
      <c r="G177" s="45">
        <f>3744213+2459105</f>
        <v>6203318</v>
      </c>
      <c r="H177" s="48"/>
      <c r="I177" s="45">
        <v>285714</v>
      </c>
      <c r="J177" s="48"/>
      <c r="K177" s="45">
        <v>27300</v>
      </c>
      <c r="L177" s="48"/>
      <c r="M177" s="45">
        <v>2459229</v>
      </c>
      <c r="N177" s="48"/>
      <c r="O177" s="45">
        <v>0</v>
      </c>
      <c r="P177" s="48"/>
      <c r="Q177" s="45">
        <v>1873257</v>
      </c>
      <c r="R177" s="48"/>
      <c r="S177" s="45">
        <v>2381619</v>
      </c>
      <c r="T177" s="48"/>
      <c r="U177" s="45">
        <v>0</v>
      </c>
      <c r="V177" s="48"/>
      <c r="W177" s="48"/>
      <c r="X177" s="35"/>
      <c r="Z177" s="35"/>
      <c r="AA177" s="35"/>
      <c r="AB177" s="45">
        <v>803407</v>
      </c>
      <c r="AC177" s="65"/>
      <c r="AD177" s="45">
        <v>405206</v>
      </c>
      <c r="AE177" s="65"/>
      <c r="AF177" s="45">
        <v>0</v>
      </c>
      <c r="AG177" s="65"/>
      <c r="AH177" s="48">
        <f>SUM(E177:AF177)</f>
        <v>16011620</v>
      </c>
      <c r="AI177" s="48"/>
      <c r="AJ177" s="48">
        <v>0</v>
      </c>
      <c r="AK177" s="48"/>
      <c r="AL177" s="45">
        <v>1282450</v>
      </c>
      <c r="AM177" s="45"/>
      <c r="AN177" s="45">
        <v>4519067</v>
      </c>
      <c r="AO177" s="45"/>
      <c r="AP177" s="45">
        <v>0</v>
      </c>
      <c r="AQ177" s="45"/>
      <c r="AR177" s="45">
        <f>+'[3]GVFund Rev'!U177+'[3]GVFund Rev'!W177-'[3]GVFund Exp'!AH177-'[3]GVFund Exp'!AL177+AJ177+AN177+AP177-'[3]GV Fund BS'!S177</f>
        <v>0</v>
      </c>
      <c r="AS177" s="48"/>
    </row>
    <row r="178" spans="1:45" s="44" customFormat="1" ht="12.75" customHeight="1">
      <c r="A178" s="35" t="s">
        <v>206</v>
      </c>
      <c r="C178" s="35" t="s">
        <v>47</v>
      </c>
      <c r="E178" s="45">
        <v>4386911</v>
      </c>
      <c r="F178" s="48"/>
      <c r="G178" s="45">
        <v>7294786</v>
      </c>
      <c r="H178" s="48"/>
      <c r="I178" s="45">
        <v>729950</v>
      </c>
      <c r="J178" s="48"/>
      <c r="K178" s="45">
        <v>30587</v>
      </c>
      <c r="L178" s="48"/>
      <c r="M178" s="45">
        <v>2658667</v>
      </c>
      <c r="N178" s="48"/>
      <c r="O178" s="45">
        <v>1273904</v>
      </c>
      <c r="P178" s="48"/>
      <c r="Q178" s="45">
        <v>1043316</v>
      </c>
      <c r="R178" s="48"/>
      <c r="S178" s="45">
        <v>1708452</v>
      </c>
      <c r="T178" s="48"/>
      <c r="U178" s="45">
        <v>0</v>
      </c>
      <c r="V178" s="48"/>
      <c r="W178" s="48"/>
      <c r="X178" s="35"/>
      <c r="Z178" s="35"/>
      <c r="AA178" s="35"/>
      <c r="AB178" s="45">
        <v>0</v>
      </c>
      <c r="AC178" s="65"/>
      <c r="AD178" s="45">
        <v>437113</v>
      </c>
      <c r="AE178" s="65"/>
      <c r="AF178" s="45">
        <v>0</v>
      </c>
      <c r="AG178" s="65"/>
      <c r="AH178" s="48">
        <f t="shared" si="8"/>
        <v>19563686</v>
      </c>
      <c r="AI178" s="48"/>
      <c r="AJ178" s="48">
        <v>0</v>
      </c>
      <c r="AK178" s="48"/>
      <c r="AL178" s="45">
        <v>7009023</v>
      </c>
      <c r="AM178" s="45"/>
      <c r="AN178" s="45">
        <v>-945104</v>
      </c>
      <c r="AO178" s="45"/>
      <c r="AP178" s="45">
        <v>12623</v>
      </c>
      <c r="AQ178" s="45"/>
      <c r="AR178" s="45">
        <f>+'[3]GVFund Rev'!U178+'[3]GVFund Rev'!W178-'[3]GVFund Exp'!AH178-'[3]GVFund Exp'!AL178+AJ178+AN178+AP178-'[3]GV Fund BS'!S178</f>
        <v>0</v>
      </c>
      <c r="AS178" s="48"/>
    </row>
    <row r="179" spans="1:45" s="44" customFormat="1" ht="12.75" customHeight="1">
      <c r="A179" s="35" t="s">
        <v>207</v>
      </c>
      <c r="C179" s="35" t="s">
        <v>102</v>
      </c>
      <c r="E179" s="45">
        <v>2348840</v>
      </c>
      <c r="F179" s="48"/>
      <c r="G179" s="45">
        <v>3955781</v>
      </c>
      <c r="H179" s="48"/>
      <c r="I179" s="45">
        <v>751771</v>
      </c>
      <c r="J179" s="48"/>
      <c r="K179" s="45">
        <v>139550</v>
      </c>
      <c r="L179" s="48"/>
      <c r="M179" s="45">
        <v>714092</v>
      </c>
      <c r="N179" s="48"/>
      <c r="O179" s="45">
        <v>780295</v>
      </c>
      <c r="P179" s="48"/>
      <c r="Q179" s="45">
        <v>0</v>
      </c>
      <c r="R179" s="48"/>
      <c r="S179" s="45">
        <v>13040500</v>
      </c>
      <c r="T179" s="48"/>
      <c r="U179" s="45">
        <v>0</v>
      </c>
      <c r="V179" s="48"/>
      <c r="W179" s="48"/>
      <c r="X179" s="35"/>
      <c r="Z179" s="35"/>
      <c r="AA179" s="35"/>
      <c r="AB179" s="45">
        <f>885687+240000</f>
        <v>1125687</v>
      </c>
      <c r="AC179" s="65"/>
      <c r="AD179" s="45">
        <v>628717</v>
      </c>
      <c r="AE179" s="65"/>
      <c r="AF179" s="45">
        <v>0</v>
      </c>
      <c r="AG179" s="65"/>
      <c r="AH179" s="48">
        <f t="shared" si="8"/>
        <v>23485233</v>
      </c>
      <c r="AI179" s="48"/>
      <c r="AJ179" s="48">
        <v>0</v>
      </c>
      <c r="AK179" s="48"/>
      <c r="AL179" s="45">
        <f>3205000+4045862</f>
        <v>7250862</v>
      </c>
      <c r="AM179" s="45"/>
      <c r="AN179" s="45">
        <v>2020152</v>
      </c>
      <c r="AO179" s="45"/>
      <c r="AP179" s="45">
        <v>0</v>
      </c>
      <c r="AQ179" s="45"/>
      <c r="AR179" s="45">
        <f>+'[3]GVFund Rev'!U179+'[3]GVFund Rev'!W179-'[3]GVFund Exp'!AH179-'[3]GVFund Exp'!AL179+AJ179+AN179+AP179-'[3]GV Fund BS'!S179</f>
        <v>0</v>
      </c>
      <c r="AS179" s="48"/>
    </row>
    <row r="180" spans="1:45" s="44" customFormat="1" ht="12.75" customHeight="1">
      <c r="A180" s="35" t="s">
        <v>208</v>
      </c>
      <c r="C180" s="35" t="s">
        <v>209</v>
      </c>
      <c r="E180" s="45">
        <v>1501156</v>
      </c>
      <c r="F180" s="48"/>
      <c r="G180" s="45">
        <v>7775613</v>
      </c>
      <c r="H180" s="48"/>
      <c r="I180" s="45">
        <v>942424</v>
      </c>
      <c r="J180" s="48"/>
      <c r="K180" s="45">
        <v>496914</v>
      </c>
      <c r="L180" s="48"/>
      <c r="M180" s="45">
        <v>4137209</v>
      </c>
      <c r="N180" s="48"/>
      <c r="O180" s="45">
        <v>828421</v>
      </c>
      <c r="P180" s="48"/>
      <c r="Q180" s="45">
        <v>112288</v>
      </c>
      <c r="R180" s="48"/>
      <c r="S180" s="45">
        <v>1581034</v>
      </c>
      <c r="T180" s="48"/>
      <c r="U180" s="45">
        <v>0</v>
      </c>
      <c r="V180" s="48"/>
      <c r="W180" s="48"/>
      <c r="X180" s="35"/>
      <c r="Z180" s="35"/>
      <c r="AA180" s="35"/>
      <c r="AB180" s="45">
        <v>737596</v>
      </c>
      <c r="AC180" s="65"/>
      <c r="AD180" s="45">
        <v>293522</v>
      </c>
      <c r="AE180" s="65"/>
      <c r="AF180" s="45">
        <v>0</v>
      </c>
      <c r="AG180" s="65"/>
      <c r="AH180" s="48">
        <f t="shared" si="8"/>
        <v>18406177</v>
      </c>
      <c r="AI180" s="48"/>
      <c r="AJ180" s="48">
        <v>0</v>
      </c>
      <c r="AK180" s="48"/>
      <c r="AL180" s="45">
        <v>1245924</v>
      </c>
      <c r="AM180" s="45"/>
      <c r="AN180" s="45">
        <v>19943800</v>
      </c>
      <c r="AO180" s="45"/>
      <c r="AP180" s="45">
        <v>0</v>
      </c>
      <c r="AQ180" s="45"/>
      <c r="AR180" s="45">
        <f>+'[3]GVFund Rev'!U180+'[3]GVFund Rev'!W180-'[3]GVFund Exp'!AH180-'[3]GVFund Exp'!AL180+AJ180+AN180+AP180-'[3]GV Fund BS'!S180</f>
        <v>0</v>
      </c>
      <c r="AS180" s="48"/>
    </row>
    <row r="181" spans="1:45" s="44" customFormat="1" ht="12.75" customHeight="1">
      <c r="A181" s="44" t="s">
        <v>210</v>
      </c>
      <c r="C181" s="44" t="s">
        <v>211</v>
      </c>
      <c r="E181" s="45">
        <v>1445788</v>
      </c>
      <c r="F181" s="48"/>
      <c r="G181" s="45">
        <f>1631864+169606</f>
        <v>1801470</v>
      </c>
      <c r="H181" s="48"/>
      <c r="I181" s="45">
        <v>446155</v>
      </c>
      <c r="J181" s="48"/>
      <c r="K181" s="45">
        <v>220319</v>
      </c>
      <c r="L181" s="48"/>
      <c r="M181" s="45">
        <v>1076218</v>
      </c>
      <c r="N181" s="48"/>
      <c r="O181" s="45">
        <v>139449</v>
      </c>
      <c r="P181" s="48"/>
      <c r="Q181" s="45">
        <v>0</v>
      </c>
      <c r="R181" s="48"/>
      <c r="S181" s="45">
        <v>431235</v>
      </c>
      <c r="T181" s="48"/>
      <c r="U181" s="45">
        <v>0</v>
      </c>
      <c r="V181" s="48"/>
      <c r="W181" s="48"/>
      <c r="X181" s="35"/>
      <c r="Z181" s="35"/>
      <c r="AA181" s="35"/>
      <c r="AB181" s="45">
        <f>284965+100000</f>
        <v>384965</v>
      </c>
      <c r="AC181" s="65"/>
      <c r="AD181" s="45">
        <v>54511</v>
      </c>
      <c r="AE181" s="65"/>
      <c r="AF181" s="45">
        <v>0</v>
      </c>
      <c r="AG181" s="65"/>
      <c r="AH181" s="48">
        <f t="shared" si="8"/>
        <v>6000110</v>
      </c>
      <c r="AI181" s="48"/>
      <c r="AJ181" s="48">
        <v>0</v>
      </c>
      <c r="AK181" s="48"/>
      <c r="AL181" s="45">
        <v>1119809</v>
      </c>
      <c r="AM181" s="45"/>
      <c r="AN181" s="45">
        <v>3237424</v>
      </c>
      <c r="AO181" s="45"/>
      <c r="AP181" s="45">
        <v>0</v>
      </c>
      <c r="AQ181" s="45"/>
      <c r="AR181" s="45">
        <f>+'[3]GVFund Rev'!U181+'[3]GVFund Rev'!W181-'[3]GVFund Exp'!AH181-'[3]GVFund Exp'!AL181+AJ181+AN181+AP181-'[3]GV Fund BS'!S181</f>
        <v>0</v>
      </c>
      <c r="AS181" s="48"/>
    </row>
    <row r="182" spans="1:45" s="44" customFormat="1" ht="12.75" customHeight="1">
      <c r="A182" s="44" t="s">
        <v>212</v>
      </c>
      <c r="C182" s="44" t="s">
        <v>213</v>
      </c>
      <c r="E182" s="45">
        <v>3430535</v>
      </c>
      <c r="F182" s="48"/>
      <c r="G182" s="45">
        <v>7444324</v>
      </c>
      <c r="H182" s="48"/>
      <c r="I182" s="45">
        <v>527297</v>
      </c>
      <c r="J182" s="48"/>
      <c r="K182" s="45">
        <v>2910053</v>
      </c>
      <c r="L182" s="48"/>
      <c r="M182" s="45">
        <v>1463599</v>
      </c>
      <c r="N182" s="48"/>
      <c r="O182" s="45">
        <v>25986</v>
      </c>
      <c r="P182" s="48"/>
      <c r="Q182" s="45">
        <v>0</v>
      </c>
      <c r="R182" s="48"/>
      <c r="S182" s="45">
        <v>1677173</v>
      </c>
      <c r="T182" s="48"/>
      <c r="U182" s="45">
        <v>0</v>
      </c>
      <c r="V182" s="48"/>
      <c r="W182" s="48"/>
      <c r="X182" s="35"/>
      <c r="Z182" s="35"/>
      <c r="AA182" s="35"/>
      <c r="AB182" s="45">
        <v>195134</v>
      </c>
      <c r="AC182" s="65"/>
      <c r="AD182" s="45">
        <v>159480</v>
      </c>
      <c r="AE182" s="65"/>
      <c r="AF182" s="45">
        <v>0</v>
      </c>
      <c r="AG182" s="65"/>
      <c r="AH182" s="48">
        <f t="shared" si="8"/>
        <v>17833581</v>
      </c>
      <c r="AI182" s="48"/>
      <c r="AJ182" s="48">
        <v>0</v>
      </c>
      <c r="AK182" s="48"/>
      <c r="AL182" s="45">
        <v>20000</v>
      </c>
      <c r="AM182" s="45"/>
      <c r="AN182" s="45">
        <v>5347895</v>
      </c>
      <c r="AO182" s="45"/>
      <c r="AP182" s="45">
        <v>-12315</v>
      </c>
      <c r="AQ182" s="45"/>
      <c r="AR182" s="45">
        <f>+'[3]GVFund Rev'!U182+'[3]GVFund Rev'!W182-'[3]GVFund Exp'!AH182-'[3]GVFund Exp'!AL182+AJ182+AN182+AP182-'[3]GV Fund BS'!S182</f>
        <v>0</v>
      </c>
      <c r="AS182" s="48"/>
    </row>
    <row r="183" spans="1:45" s="44" customFormat="1" ht="12.75" customHeight="1">
      <c r="A183" s="44" t="s">
        <v>214</v>
      </c>
      <c r="C183" s="44" t="s">
        <v>86</v>
      </c>
      <c r="E183" s="45">
        <v>1646218</v>
      </c>
      <c r="F183" s="48"/>
      <c r="G183" s="45">
        <v>1882968</v>
      </c>
      <c r="H183" s="48"/>
      <c r="I183" s="45">
        <v>1027306</v>
      </c>
      <c r="J183" s="48"/>
      <c r="K183" s="45">
        <v>0</v>
      </c>
      <c r="L183" s="48"/>
      <c r="M183" s="45">
        <v>1752904</v>
      </c>
      <c r="N183" s="48"/>
      <c r="O183" s="45">
        <v>546486</v>
      </c>
      <c r="P183" s="48"/>
      <c r="Q183" s="45">
        <v>0</v>
      </c>
      <c r="R183" s="48"/>
      <c r="S183" s="45">
        <v>61376</v>
      </c>
      <c r="T183" s="48"/>
      <c r="U183" s="45">
        <v>0</v>
      </c>
      <c r="V183" s="48"/>
      <c r="W183" s="48"/>
      <c r="X183" s="35"/>
      <c r="Z183" s="35"/>
      <c r="AA183" s="35"/>
      <c r="AB183" s="45">
        <v>1490000</v>
      </c>
      <c r="AC183" s="65"/>
      <c r="AD183" s="45">
        <f>1233702+97790</f>
        <v>1331492</v>
      </c>
      <c r="AE183" s="65"/>
      <c r="AF183" s="45">
        <v>0</v>
      </c>
      <c r="AG183" s="65"/>
      <c r="AH183" s="48">
        <f t="shared" si="8"/>
        <v>9738750</v>
      </c>
      <c r="AI183" s="48"/>
      <c r="AJ183" s="48">
        <v>0</v>
      </c>
      <c r="AK183" s="48"/>
      <c r="AL183" s="45">
        <v>714245</v>
      </c>
      <c r="AM183" s="45"/>
      <c r="AN183" s="45">
        <v>1533192</v>
      </c>
      <c r="AO183" s="45"/>
      <c r="AP183" s="45">
        <v>0</v>
      </c>
      <c r="AQ183" s="45"/>
      <c r="AR183" s="45">
        <f>+'[3]GVFund Rev'!U183+'[3]GVFund Rev'!W183-'[3]GVFund Exp'!AH183-'[3]GVFund Exp'!AL183+AJ183+AN183+AP183-'[3]GV Fund BS'!S183</f>
        <v>0</v>
      </c>
      <c r="AS183" s="48"/>
    </row>
    <row r="184" spans="1:45" s="44" customFormat="1" ht="12.75" customHeight="1">
      <c r="A184" s="35" t="s">
        <v>215</v>
      </c>
      <c r="C184" s="35" t="s">
        <v>22</v>
      </c>
      <c r="E184" s="45">
        <v>1583438</v>
      </c>
      <c r="F184" s="48"/>
      <c r="G184" s="45">
        <f>3197782+2213051</f>
        <v>5410833</v>
      </c>
      <c r="H184" s="48"/>
      <c r="I184" s="45">
        <v>772871</v>
      </c>
      <c r="J184" s="48"/>
      <c r="K184" s="45">
        <v>316414</v>
      </c>
      <c r="L184" s="48"/>
      <c r="M184" s="45">
        <v>1256078</v>
      </c>
      <c r="N184" s="48"/>
      <c r="O184" s="45">
        <v>835796</v>
      </c>
      <c r="P184" s="48"/>
      <c r="Q184" s="45">
        <f>133648+39626</f>
        <v>173274</v>
      </c>
      <c r="R184" s="48"/>
      <c r="S184" s="45">
        <v>1291779</v>
      </c>
      <c r="T184" s="48"/>
      <c r="U184" s="45">
        <v>0</v>
      </c>
      <c r="V184" s="48"/>
      <c r="W184" s="48"/>
      <c r="X184" s="35"/>
      <c r="Z184" s="35"/>
      <c r="AA184" s="35"/>
      <c r="AB184" s="45">
        <v>347914</v>
      </c>
      <c r="AC184" s="65"/>
      <c r="AD184" s="45">
        <v>331072</v>
      </c>
      <c r="AE184" s="65"/>
      <c r="AF184" s="45">
        <v>0</v>
      </c>
      <c r="AG184" s="65"/>
      <c r="AH184" s="48">
        <f t="shared" si="8"/>
        <v>12319469</v>
      </c>
      <c r="AI184" s="48"/>
      <c r="AJ184" s="48">
        <v>0</v>
      </c>
      <c r="AK184" s="48"/>
      <c r="AL184" s="45">
        <v>1069788</v>
      </c>
      <c r="AM184" s="45"/>
      <c r="AN184" s="45">
        <v>14333064</v>
      </c>
      <c r="AO184" s="45"/>
      <c r="AP184" s="45">
        <v>0</v>
      </c>
      <c r="AQ184" s="45"/>
      <c r="AR184" s="45">
        <f>+'[3]GVFund Rev'!U184+'[3]GVFund Rev'!W184-'[3]GVFund Exp'!AH184-'[3]GVFund Exp'!AL184+AJ184+AN184+AP184-'[3]GV Fund BS'!S184</f>
        <v>0</v>
      </c>
      <c r="AS184" s="48"/>
    </row>
    <row r="185" spans="1:45" s="44" customFormat="1" ht="12.75" customHeight="1">
      <c r="A185" s="35" t="s">
        <v>216</v>
      </c>
      <c r="C185" s="35" t="s">
        <v>45</v>
      </c>
      <c r="E185" s="45">
        <v>2106516</v>
      </c>
      <c r="F185" s="48"/>
      <c r="G185" s="45">
        <v>5122777</v>
      </c>
      <c r="H185" s="48"/>
      <c r="I185" s="45">
        <v>183421</v>
      </c>
      <c r="J185" s="48"/>
      <c r="K185" s="45">
        <v>10505</v>
      </c>
      <c r="L185" s="48"/>
      <c r="M185" s="45">
        <v>1676397</v>
      </c>
      <c r="N185" s="48"/>
      <c r="O185" s="45">
        <v>520598</v>
      </c>
      <c r="P185" s="48"/>
      <c r="Q185" s="45">
        <v>452450</v>
      </c>
      <c r="R185" s="48"/>
      <c r="S185" s="45">
        <v>376966</v>
      </c>
      <c r="T185" s="48"/>
      <c r="U185" s="45">
        <v>0</v>
      </c>
      <c r="V185" s="48"/>
      <c r="W185" s="48"/>
      <c r="X185" s="35"/>
      <c r="Z185" s="35"/>
      <c r="AA185" s="35"/>
      <c r="AB185" s="45">
        <v>183696</v>
      </c>
      <c r="AC185" s="65"/>
      <c r="AD185" s="45">
        <v>109593</v>
      </c>
      <c r="AE185" s="65"/>
      <c r="AF185" s="45">
        <v>0</v>
      </c>
      <c r="AG185" s="65"/>
      <c r="AH185" s="48">
        <f t="shared" si="8"/>
        <v>10742919</v>
      </c>
      <c r="AI185" s="48"/>
      <c r="AJ185" s="48">
        <v>0</v>
      </c>
      <c r="AK185" s="48"/>
      <c r="AL185" s="45">
        <v>806448</v>
      </c>
      <c r="AM185" s="45"/>
      <c r="AN185" s="45">
        <v>3697421</v>
      </c>
      <c r="AO185" s="45"/>
      <c r="AP185" s="45">
        <v>0</v>
      </c>
      <c r="AQ185" s="45"/>
      <c r="AR185" s="45">
        <f>+'[3]GVFund Rev'!U185+'[3]GVFund Rev'!W185-'[3]GVFund Exp'!AH185-'[3]GVFund Exp'!AL185+AJ185+AN185+AP185-'[3]GV Fund BS'!S185</f>
        <v>0</v>
      </c>
      <c r="AS185" s="48"/>
    </row>
    <row r="186" spans="1:45" s="44" customFormat="1" ht="12.75" customHeight="1">
      <c r="A186" s="35" t="s">
        <v>217</v>
      </c>
      <c r="C186" s="35" t="s">
        <v>43</v>
      </c>
      <c r="E186" s="45">
        <v>3963494</v>
      </c>
      <c r="F186" s="48"/>
      <c r="G186" s="45">
        <v>7158981</v>
      </c>
      <c r="H186" s="48"/>
      <c r="I186" s="45">
        <v>1469797</v>
      </c>
      <c r="J186" s="48"/>
      <c r="K186" s="45">
        <v>187894</v>
      </c>
      <c r="L186" s="48"/>
      <c r="M186" s="45">
        <v>1532204</v>
      </c>
      <c r="N186" s="48"/>
      <c r="O186" s="45">
        <v>967660</v>
      </c>
      <c r="P186" s="48"/>
      <c r="Q186" s="45">
        <v>0</v>
      </c>
      <c r="R186" s="48"/>
      <c r="S186" s="45">
        <v>276818</v>
      </c>
      <c r="T186" s="48"/>
      <c r="U186" s="45">
        <v>0</v>
      </c>
      <c r="V186" s="48"/>
      <c r="W186" s="48"/>
      <c r="X186" s="35"/>
      <c r="Z186" s="35"/>
      <c r="AA186" s="35"/>
      <c r="AB186" s="45">
        <v>1734530</v>
      </c>
      <c r="AC186" s="65"/>
      <c r="AD186" s="45">
        <v>1080278</v>
      </c>
      <c r="AE186" s="65"/>
      <c r="AF186" s="45">
        <v>0</v>
      </c>
      <c r="AG186" s="65"/>
      <c r="AH186" s="48">
        <f t="shared" si="8"/>
        <v>18371656</v>
      </c>
      <c r="AI186" s="48"/>
      <c r="AJ186" s="48">
        <v>0</v>
      </c>
      <c r="AK186" s="48"/>
      <c r="AL186" s="45">
        <v>1450000</v>
      </c>
      <c r="AM186" s="45"/>
      <c r="AN186" s="45">
        <v>16633978</v>
      </c>
      <c r="AO186" s="45"/>
      <c r="AP186" s="45">
        <v>73868</v>
      </c>
      <c r="AQ186" s="45"/>
      <c r="AR186" s="45">
        <f>+'[3]GVFund Rev'!U186+'[3]GVFund Rev'!W186-'[3]GVFund Exp'!AH186-'[3]GVFund Exp'!AL186+AJ186+AN186+AP186-'[3]GV Fund BS'!S186</f>
        <v>0</v>
      </c>
      <c r="AS186" s="48"/>
    </row>
    <row r="187" spans="1:45" s="44" customFormat="1" ht="12.75" hidden="1" customHeight="1">
      <c r="A187" s="35" t="s">
        <v>218</v>
      </c>
      <c r="C187" s="35" t="s">
        <v>27</v>
      </c>
      <c r="E187" s="45"/>
      <c r="F187" s="48"/>
      <c r="G187" s="45"/>
      <c r="H187" s="48"/>
      <c r="I187" s="45"/>
      <c r="J187" s="48"/>
      <c r="K187" s="45"/>
      <c r="L187" s="48"/>
      <c r="M187" s="45"/>
      <c r="N187" s="48"/>
      <c r="O187" s="45"/>
      <c r="P187" s="48"/>
      <c r="Q187" s="45"/>
      <c r="R187" s="48"/>
      <c r="S187" s="45"/>
      <c r="T187" s="48"/>
      <c r="U187" s="45"/>
      <c r="V187" s="48"/>
      <c r="W187" s="48"/>
      <c r="X187" s="35"/>
      <c r="Z187" s="35"/>
      <c r="AA187" s="35"/>
      <c r="AB187" s="45"/>
      <c r="AC187" s="65"/>
      <c r="AD187" s="45"/>
      <c r="AE187" s="65"/>
      <c r="AF187" s="45"/>
      <c r="AG187" s="65"/>
      <c r="AH187" s="48">
        <f t="shared" si="8"/>
        <v>0</v>
      </c>
      <c r="AI187" s="48"/>
      <c r="AJ187" s="48">
        <v>0</v>
      </c>
      <c r="AK187" s="48"/>
      <c r="AL187" s="45"/>
      <c r="AM187" s="45"/>
      <c r="AN187" s="45"/>
      <c r="AO187" s="45"/>
      <c r="AP187" s="45"/>
      <c r="AQ187" s="45"/>
      <c r="AR187" s="45">
        <f>+'[3]GVFund Rev'!U187+'[3]GVFund Rev'!W187-'[3]GVFund Exp'!AH187-'[3]GVFund Exp'!AL187+AJ187+AN187+AP187-'[3]GV Fund BS'!S187</f>
        <v>0</v>
      </c>
      <c r="AS187" s="48"/>
    </row>
    <row r="188" spans="1:45" s="44" customFormat="1" ht="12.75" customHeight="1">
      <c r="A188" s="35" t="s">
        <v>219</v>
      </c>
      <c r="C188" s="35" t="s">
        <v>199</v>
      </c>
      <c r="E188" s="45">
        <v>657420</v>
      </c>
      <c r="F188" s="48"/>
      <c r="G188" s="45">
        <v>1618214</v>
      </c>
      <c r="H188" s="48"/>
      <c r="I188" s="45">
        <v>0</v>
      </c>
      <c r="J188" s="48"/>
      <c r="K188" s="45">
        <v>95183</v>
      </c>
      <c r="L188" s="48"/>
      <c r="M188" s="45">
        <v>724170</v>
      </c>
      <c r="N188" s="48"/>
      <c r="O188" s="45">
        <v>531145</v>
      </c>
      <c r="P188" s="48"/>
      <c r="Q188" s="45">
        <v>383644</v>
      </c>
      <c r="R188" s="48"/>
      <c r="S188" s="45">
        <v>311955</v>
      </c>
      <c r="T188" s="48"/>
      <c r="U188" s="45">
        <v>0</v>
      </c>
      <c r="V188" s="48"/>
      <c r="W188" s="48"/>
      <c r="X188" s="35"/>
      <c r="Z188" s="35"/>
      <c r="AA188" s="35"/>
      <c r="AB188" s="45">
        <v>212212</v>
      </c>
      <c r="AC188" s="65"/>
      <c r="AD188" s="45">
        <v>65132</v>
      </c>
      <c r="AE188" s="65"/>
      <c r="AF188" s="45">
        <v>0</v>
      </c>
      <c r="AG188" s="65"/>
      <c r="AH188" s="48">
        <f t="shared" si="8"/>
        <v>4599075</v>
      </c>
      <c r="AI188" s="48"/>
      <c r="AJ188" s="48">
        <v>0</v>
      </c>
      <c r="AK188" s="48"/>
      <c r="AL188" s="45">
        <v>305323</v>
      </c>
      <c r="AM188" s="45"/>
      <c r="AN188" s="45">
        <v>1436346</v>
      </c>
      <c r="AO188" s="45"/>
      <c r="AP188" s="45">
        <v>0</v>
      </c>
      <c r="AQ188" s="45"/>
      <c r="AR188" s="45">
        <f>+'[3]GVFund Rev'!U188+'[3]GVFund Rev'!W188-'[3]GVFund Exp'!AH188-'[3]GVFund Exp'!AL188+AJ188+AN188+AP188-'[3]GV Fund BS'!S188</f>
        <v>0</v>
      </c>
      <c r="AS188" s="48"/>
    </row>
    <row r="189" spans="1:45" s="44" customFormat="1" ht="12.75" customHeight="1">
      <c r="A189" s="35" t="s">
        <v>220</v>
      </c>
      <c r="C189" s="35" t="s">
        <v>66</v>
      </c>
      <c r="E189" s="45">
        <v>2612781</v>
      </c>
      <c r="F189" s="48"/>
      <c r="G189" s="45">
        <v>6194876</v>
      </c>
      <c r="H189" s="48"/>
      <c r="I189" s="45">
        <v>278437</v>
      </c>
      <c r="J189" s="48"/>
      <c r="K189" s="45">
        <v>1380</v>
      </c>
      <c r="L189" s="48"/>
      <c r="M189" s="45">
        <v>1384220</v>
      </c>
      <c r="N189" s="48"/>
      <c r="O189" s="45">
        <v>42420</v>
      </c>
      <c r="P189" s="48"/>
      <c r="Q189" s="45">
        <v>0</v>
      </c>
      <c r="R189" s="48"/>
      <c r="S189" s="45">
        <v>585333</v>
      </c>
      <c r="T189" s="48"/>
      <c r="U189" s="45">
        <v>0</v>
      </c>
      <c r="V189" s="48"/>
      <c r="W189" s="48"/>
      <c r="X189" s="35"/>
      <c r="Z189" s="35"/>
      <c r="AA189" s="35"/>
      <c r="AB189" s="45">
        <v>350620</v>
      </c>
      <c r="AC189" s="65"/>
      <c r="AD189" s="45">
        <v>140403</v>
      </c>
      <c r="AE189" s="65"/>
      <c r="AF189" s="45">
        <v>0</v>
      </c>
      <c r="AG189" s="65"/>
      <c r="AH189" s="48">
        <f t="shared" si="8"/>
        <v>11590470</v>
      </c>
      <c r="AI189" s="48"/>
      <c r="AJ189" s="48">
        <v>0</v>
      </c>
      <c r="AK189" s="48"/>
      <c r="AL189" s="45">
        <v>3823245</v>
      </c>
      <c r="AM189" s="45"/>
      <c r="AN189" s="45">
        <v>5619158</v>
      </c>
      <c r="AO189" s="45"/>
      <c r="AP189" s="45">
        <v>0</v>
      </c>
      <c r="AQ189" s="45"/>
      <c r="AR189" s="45">
        <f>+'[3]GVFund Rev'!U189+'[3]GVFund Rev'!W189-'[3]GVFund Exp'!AH189-'[3]GVFund Exp'!AL189+AJ189+AN189+AP189-'[3]GV Fund BS'!S189</f>
        <v>0</v>
      </c>
      <c r="AS189" s="48"/>
    </row>
    <row r="190" spans="1:45" s="44" customFormat="1" ht="12.75" customHeight="1">
      <c r="A190" s="35" t="s">
        <v>221</v>
      </c>
      <c r="C190" s="35" t="s">
        <v>27</v>
      </c>
      <c r="E190" s="45">
        <v>4933287</v>
      </c>
      <c r="F190" s="48"/>
      <c r="G190" s="45">
        <v>8876601</v>
      </c>
      <c r="H190" s="48"/>
      <c r="I190" s="45">
        <v>932862</v>
      </c>
      <c r="J190" s="48"/>
      <c r="K190" s="45">
        <v>1260327</v>
      </c>
      <c r="L190" s="48"/>
      <c r="M190" s="45">
        <v>2514664</v>
      </c>
      <c r="N190" s="48"/>
      <c r="O190" s="45">
        <v>3818666</v>
      </c>
      <c r="P190" s="48"/>
      <c r="Q190" s="45">
        <v>1639711</v>
      </c>
      <c r="R190" s="48"/>
      <c r="S190" s="45">
        <v>5203465</v>
      </c>
      <c r="T190" s="48"/>
      <c r="U190" s="45">
        <v>0</v>
      </c>
      <c r="V190" s="48"/>
      <c r="W190" s="48"/>
      <c r="X190" s="35"/>
      <c r="Z190" s="35"/>
      <c r="AA190" s="35"/>
      <c r="AB190" s="45">
        <v>1100814</v>
      </c>
      <c r="AC190" s="65"/>
      <c r="AD190" s="45">
        <v>877823</v>
      </c>
      <c r="AE190" s="65"/>
      <c r="AF190" s="45">
        <v>0</v>
      </c>
      <c r="AG190" s="65"/>
      <c r="AH190" s="48">
        <f t="shared" si="8"/>
        <v>31158220</v>
      </c>
      <c r="AI190" s="48"/>
      <c r="AJ190" s="48">
        <v>0</v>
      </c>
      <c r="AK190" s="48"/>
      <c r="AL190" s="45">
        <v>7915000</v>
      </c>
      <c r="AM190" s="45"/>
      <c r="AN190" s="45">
        <v>15327235</v>
      </c>
      <c r="AO190" s="45"/>
      <c r="AP190" s="45">
        <v>0</v>
      </c>
      <c r="AQ190" s="45"/>
      <c r="AR190" s="45">
        <f>+'[3]GVFund Rev'!U190+'[3]GVFund Rev'!W190-'[3]GVFund Exp'!AH190-'[3]GVFund Exp'!AL190+AJ190+AN190+AP190-'[3]GV Fund BS'!S190</f>
        <v>0</v>
      </c>
      <c r="AS190" s="48"/>
    </row>
    <row r="191" spans="1:45" s="44" customFormat="1" ht="12.75" customHeight="1">
      <c r="A191" s="35" t="s">
        <v>222</v>
      </c>
      <c r="C191" s="35" t="s">
        <v>47</v>
      </c>
      <c r="E191" s="45">
        <v>1099175</v>
      </c>
      <c r="F191" s="48"/>
      <c r="G191" s="45">
        <v>2146163</v>
      </c>
      <c r="H191" s="48"/>
      <c r="I191" s="45">
        <v>0</v>
      </c>
      <c r="J191" s="48"/>
      <c r="K191" s="45">
        <v>0</v>
      </c>
      <c r="L191" s="48"/>
      <c r="M191" s="45">
        <v>1155517</v>
      </c>
      <c r="N191" s="48"/>
      <c r="O191" s="45">
        <v>246845</v>
      </c>
      <c r="P191" s="48"/>
      <c r="Q191" s="45">
        <v>243228</v>
      </c>
      <c r="R191" s="48"/>
      <c r="S191" s="45">
        <v>718677</v>
      </c>
      <c r="T191" s="48"/>
      <c r="U191" s="45">
        <v>0</v>
      </c>
      <c r="V191" s="48"/>
      <c r="W191" s="48"/>
      <c r="X191" s="35"/>
      <c r="Z191" s="35"/>
      <c r="AA191" s="35"/>
      <c r="AB191" s="45">
        <v>160000</v>
      </c>
      <c r="AC191" s="65"/>
      <c r="AD191" s="45">
        <v>270897</v>
      </c>
      <c r="AE191" s="65"/>
      <c r="AF191" s="45">
        <v>0</v>
      </c>
      <c r="AG191" s="65"/>
      <c r="AH191" s="48">
        <f t="shared" si="8"/>
        <v>6040502</v>
      </c>
      <c r="AI191" s="48"/>
      <c r="AJ191" s="48">
        <v>0</v>
      </c>
      <c r="AK191" s="48"/>
      <c r="AL191" s="45">
        <v>1116448</v>
      </c>
      <c r="AM191" s="45"/>
      <c r="AN191" s="45">
        <v>2859819</v>
      </c>
      <c r="AO191" s="45"/>
      <c r="AP191" s="45">
        <v>20800</v>
      </c>
      <c r="AQ191" s="45"/>
      <c r="AR191" s="45">
        <f>+'[3]GVFund Rev'!U191+'[3]GVFund Rev'!W191-'[3]GVFund Exp'!AH191-'[3]GVFund Exp'!AL191+AJ191+AN191+AP191-'[3]GV Fund BS'!S191</f>
        <v>0</v>
      </c>
      <c r="AS191" s="48"/>
    </row>
    <row r="192" spans="1:45" s="44" customFormat="1" ht="12.75" customHeight="1">
      <c r="A192" s="35" t="s">
        <v>223</v>
      </c>
      <c r="C192" s="35" t="s">
        <v>94</v>
      </c>
      <c r="E192" s="45">
        <v>1189167</v>
      </c>
      <c r="F192" s="48"/>
      <c r="G192" s="45">
        <v>3754092</v>
      </c>
      <c r="H192" s="48"/>
      <c r="I192" s="45">
        <v>631136</v>
      </c>
      <c r="J192" s="48"/>
      <c r="K192" s="45">
        <v>0</v>
      </c>
      <c r="L192" s="48"/>
      <c r="M192" s="45">
        <v>830606</v>
      </c>
      <c r="N192" s="48"/>
      <c r="O192" s="45">
        <v>505414</v>
      </c>
      <c r="P192" s="48"/>
      <c r="Q192" s="45">
        <v>0</v>
      </c>
      <c r="R192" s="48"/>
      <c r="S192" s="45">
        <v>720234</v>
      </c>
      <c r="T192" s="48"/>
      <c r="U192" s="45">
        <v>0</v>
      </c>
      <c r="V192" s="48"/>
      <c r="W192" s="48"/>
      <c r="X192" s="35"/>
      <c r="Z192" s="35"/>
      <c r="AA192" s="35"/>
      <c r="AB192" s="45">
        <v>169785</v>
      </c>
      <c r="AC192" s="65"/>
      <c r="AD192" s="45">
        <v>190106</v>
      </c>
      <c r="AE192" s="65"/>
      <c r="AF192" s="45">
        <v>0</v>
      </c>
      <c r="AG192" s="65"/>
      <c r="AH192" s="48">
        <f t="shared" si="8"/>
        <v>7990540</v>
      </c>
      <c r="AI192" s="48"/>
      <c r="AJ192" s="48">
        <v>0</v>
      </c>
      <c r="AK192" s="48"/>
      <c r="AL192" s="45">
        <v>5159769</v>
      </c>
      <c r="AM192" s="45"/>
      <c r="AN192" s="45">
        <v>2664224</v>
      </c>
      <c r="AO192" s="45"/>
      <c r="AP192" s="45">
        <v>-17405</v>
      </c>
      <c r="AQ192" s="45"/>
      <c r="AR192" s="45">
        <f>+'[3]GVFund Rev'!U192+'[3]GVFund Rev'!W192-'[3]GVFund Exp'!AH192-'[3]GVFund Exp'!AL192+AJ192+AN192+AP192-'[3]GV Fund BS'!S192</f>
        <v>0</v>
      </c>
      <c r="AS192" s="48"/>
    </row>
    <row r="193" spans="1:46" s="46" customFormat="1" ht="12.75" customHeight="1">
      <c r="A193" s="35" t="s">
        <v>76</v>
      </c>
      <c r="B193" s="44"/>
      <c r="C193" s="35" t="s">
        <v>132</v>
      </c>
      <c r="D193" s="44"/>
      <c r="E193" s="45">
        <f>856718+3723204+106467</f>
        <v>4686389</v>
      </c>
      <c r="F193" s="48"/>
      <c r="G193" s="45">
        <f>5814874+5537118+314316</f>
        <v>11666308</v>
      </c>
      <c r="H193" s="48"/>
      <c r="I193" s="45">
        <v>3351746</v>
      </c>
      <c r="J193" s="48"/>
      <c r="K193" s="45">
        <v>385481</v>
      </c>
      <c r="L193" s="48"/>
      <c r="M193" s="45">
        <v>2648551</v>
      </c>
      <c r="N193" s="48"/>
      <c r="O193" s="45">
        <v>472955</v>
      </c>
      <c r="P193" s="48"/>
      <c r="Q193" s="45">
        <v>0</v>
      </c>
      <c r="R193" s="48"/>
      <c r="S193" s="45">
        <v>1487593</v>
      </c>
      <c r="T193" s="48"/>
      <c r="U193" s="45">
        <v>0</v>
      </c>
      <c r="V193" s="48"/>
      <c r="W193" s="48"/>
      <c r="X193" s="35"/>
      <c r="Y193" s="44"/>
      <c r="Z193" s="35"/>
      <c r="AA193" s="35"/>
      <c r="AB193" s="45">
        <v>1033726</v>
      </c>
      <c r="AC193" s="65"/>
      <c r="AD193" s="45">
        <f>1436324+97668</f>
        <v>1533992</v>
      </c>
      <c r="AE193" s="65"/>
      <c r="AF193" s="45">
        <v>0</v>
      </c>
      <c r="AG193" s="65"/>
      <c r="AH193" s="48">
        <f t="shared" si="8"/>
        <v>27266741</v>
      </c>
      <c r="AI193" s="48"/>
      <c r="AJ193" s="48">
        <v>0</v>
      </c>
      <c r="AK193" s="48"/>
      <c r="AL193" s="45">
        <v>4876617</v>
      </c>
      <c r="AM193" s="45"/>
      <c r="AN193" s="45">
        <v>7371320</v>
      </c>
      <c r="AO193" s="45"/>
      <c r="AP193" s="45">
        <v>0</v>
      </c>
      <c r="AQ193" s="45"/>
      <c r="AR193" s="45">
        <f>+'[3]GVFund Rev'!U193+'[3]GVFund Rev'!W193-'[3]GVFund Exp'!AH193-'[3]GVFund Exp'!AL193+AJ193+AN193+AP193-'[3]GV Fund BS'!S193</f>
        <v>0</v>
      </c>
      <c r="AS193" s="48"/>
    </row>
    <row r="194" spans="1:46" s="44" customFormat="1" ht="12.75" customHeight="1">
      <c r="A194" s="64" t="s">
        <v>224</v>
      </c>
      <c r="B194" s="46"/>
      <c r="C194" s="64" t="s">
        <v>27</v>
      </c>
      <c r="D194" s="46"/>
      <c r="E194" s="45">
        <v>2236016</v>
      </c>
      <c r="F194" s="48"/>
      <c r="G194" s="45">
        <v>3580749</v>
      </c>
      <c r="H194" s="48"/>
      <c r="I194" s="45">
        <v>654948</v>
      </c>
      <c r="J194" s="48"/>
      <c r="K194" s="45">
        <v>913647</v>
      </c>
      <c r="L194" s="48"/>
      <c r="M194" s="45">
        <v>1817465</v>
      </c>
      <c r="N194" s="48"/>
      <c r="O194" s="45">
        <v>1314371</v>
      </c>
      <c r="P194" s="48"/>
      <c r="Q194" s="45">
        <v>34023</v>
      </c>
      <c r="R194" s="48"/>
      <c r="S194" s="45">
        <v>2637221</v>
      </c>
      <c r="T194" s="48"/>
      <c r="U194" s="45">
        <v>0</v>
      </c>
      <c r="V194" s="48"/>
      <c r="W194" s="48"/>
      <c r="X194" s="35"/>
      <c r="Z194" s="35"/>
      <c r="AA194" s="35"/>
      <c r="AB194" s="45">
        <v>8257648</v>
      </c>
      <c r="AC194" s="65"/>
      <c r="AD194" s="45">
        <v>1066037</v>
      </c>
      <c r="AE194" s="65"/>
      <c r="AF194" s="45">
        <v>0</v>
      </c>
      <c r="AG194" s="65"/>
      <c r="AH194" s="48">
        <f t="shared" si="8"/>
        <v>22512125</v>
      </c>
      <c r="AI194" s="48"/>
      <c r="AJ194" s="48">
        <v>0</v>
      </c>
      <c r="AK194" s="48"/>
      <c r="AL194" s="45">
        <v>1212007</v>
      </c>
      <c r="AM194" s="45"/>
      <c r="AN194" s="45">
        <v>9928715</v>
      </c>
      <c r="AO194" s="45"/>
      <c r="AP194" s="45">
        <v>0</v>
      </c>
      <c r="AQ194" s="45"/>
      <c r="AR194" s="45">
        <f>+'[3]GVFund Rev'!U194+'[3]GVFund Rev'!W194-'[3]GVFund Exp'!AH194-'[3]GVFund Exp'!AL194+AJ194+AN194+AP194-'[3]GV Fund BS'!S194</f>
        <v>0</v>
      </c>
      <c r="AS194" s="48"/>
    </row>
    <row r="195" spans="1:46" s="44" customFormat="1" ht="12.75" customHeight="1">
      <c r="A195" s="64"/>
      <c r="B195" s="46"/>
      <c r="C195" s="64"/>
      <c r="D195" s="46"/>
      <c r="E195" s="45"/>
      <c r="F195" s="48"/>
      <c r="G195" s="45"/>
      <c r="H195" s="48"/>
      <c r="I195" s="45"/>
      <c r="J195" s="48"/>
      <c r="K195" s="45"/>
      <c r="L195" s="48"/>
      <c r="M195" s="45"/>
      <c r="N195" s="48"/>
      <c r="O195" s="45"/>
      <c r="P195" s="48"/>
      <c r="Q195" s="45"/>
      <c r="R195" s="48"/>
      <c r="S195" s="45"/>
      <c r="T195" s="48"/>
      <c r="U195" s="45"/>
      <c r="V195" s="48"/>
      <c r="W195" s="48"/>
      <c r="X195" s="35"/>
      <c r="Z195" s="35"/>
      <c r="AA195" s="35"/>
      <c r="AB195" s="45"/>
      <c r="AC195" s="65"/>
      <c r="AD195" s="45"/>
      <c r="AE195" s="65"/>
      <c r="AF195" s="45"/>
      <c r="AG195" s="65"/>
      <c r="AH195" s="48"/>
      <c r="AI195" s="48"/>
      <c r="AJ195" s="48"/>
      <c r="AK195" s="48"/>
      <c r="AL195" s="48" t="s">
        <v>484</v>
      </c>
      <c r="AM195" s="45"/>
      <c r="AN195" s="45"/>
      <c r="AO195" s="45"/>
      <c r="AP195" s="45"/>
      <c r="AQ195" s="45"/>
      <c r="AR195" s="45"/>
      <c r="AS195" s="48"/>
    </row>
    <row r="196" spans="1:46" s="44" customFormat="1" ht="12.75" customHeight="1">
      <c r="A196" s="35" t="s">
        <v>225</v>
      </c>
      <c r="C196" s="35" t="s">
        <v>27</v>
      </c>
      <c r="E196" s="94">
        <f>4801486+2312453</f>
        <v>7113939</v>
      </c>
      <c r="F196" s="68"/>
      <c r="G196" s="94">
        <f>14888877+8627455+685749</f>
        <v>24202081</v>
      </c>
      <c r="H196" s="68"/>
      <c r="I196" s="94">
        <f>8985556+7498220</f>
        <v>16483776</v>
      </c>
      <c r="J196" s="68"/>
      <c r="K196" s="94">
        <v>529080</v>
      </c>
      <c r="L196" s="68"/>
      <c r="M196" s="94">
        <v>3280365</v>
      </c>
      <c r="N196" s="68"/>
      <c r="O196" s="94">
        <f>2753041+997273</f>
        <v>3750314</v>
      </c>
      <c r="P196" s="68"/>
      <c r="Q196" s="94">
        <v>2611414</v>
      </c>
      <c r="R196" s="68"/>
      <c r="S196" s="94">
        <v>0</v>
      </c>
      <c r="T196" s="68"/>
      <c r="U196" s="94">
        <v>0</v>
      </c>
      <c r="V196" s="68"/>
      <c r="W196" s="68"/>
      <c r="X196" s="64"/>
      <c r="Y196" s="46"/>
      <c r="Z196" s="64"/>
      <c r="AA196" s="64"/>
      <c r="AB196" s="94">
        <v>2407571</v>
      </c>
      <c r="AC196" s="66"/>
      <c r="AD196" s="94">
        <v>966611</v>
      </c>
      <c r="AE196" s="66"/>
      <c r="AF196" s="94">
        <v>0</v>
      </c>
      <c r="AG196" s="66"/>
      <c r="AH196" s="68">
        <f t="shared" si="8"/>
        <v>61345151</v>
      </c>
      <c r="AI196" s="68"/>
      <c r="AJ196" s="68">
        <v>0</v>
      </c>
      <c r="AK196" s="68"/>
      <c r="AL196" s="94">
        <v>4296546</v>
      </c>
      <c r="AM196" s="94"/>
      <c r="AN196" s="94">
        <v>42040900</v>
      </c>
      <c r="AO196" s="94"/>
      <c r="AP196" s="94">
        <v>0</v>
      </c>
      <c r="AQ196" s="94"/>
      <c r="AR196" s="94">
        <f>+'[3]GVFund Rev'!U195+'[3]GVFund Rev'!W195-'[3]GVFund Exp'!AH195-'[3]GVFund Exp'!AL195+AJ196+AN196+AP196-'[3]GV Fund BS'!S195</f>
        <v>0</v>
      </c>
      <c r="AS196" s="68"/>
      <c r="AT196" s="46"/>
    </row>
    <row r="197" spans="1:46" s="44" customFormat="1" ht="12.75" customHeight="1">
      <c r="A197" s="35" t="s">
        <v>226</v>
      </c>
      <c r="C197" s="35" t="s">
        <v>45</v>
      </c>
      <c r="E197" s="45">
        <v>3732419</v>
      </c>
      <c r="F197" s="48"/>
      <c r="G197" s="45">
        <v>11908679</v>
      </c>
      <c r="H197" s="48"/>
      <c r="I197" s="45">
        <v>466570</v>
      </c>
      <c r="J197" s="48"/>
      <c r="K197" s="45">
        <v>419725</v>
      </c>
      <c r="L197" s="48"/>
      <c r="M197" s="45">
        <v>1739059</v>
      </c>
      <c r="N197" s="48"/>
      <c r="O197" s="45">
        <v>2900484</v>
      </c>
      <c r="P197" s="48"/>
      <c r="Q197" s="45">
        <v>555320</v>
      </c>
      <c r="R197" s="48"/>
      <c r="S197" s="45">
        <v>3010260</v>
      </c>
      <c r="T197" s="48"/>
      <c r="U197" s="45">
        <v>0</v>
      </c>
      <c r="V197" s="48"/>
      <c r="W197" s="48"/>
      <c r="X197" s="35"/>
      <c r="Z197" s="35"/>
      <c r="AA197" s="35"/>
      <c r="AB197" s="45">
        <v>1210000</v>
      </c>
      <c r="AC197" s="65"/>
      <c r="AD197" s="45">
        <v>821227</v>
      </c>
      <c r="AE197" s="65"/>
      <c r="AF197" s="45">
        <v>0</v>
      </c>
      <c r="AG197" s="65"/>
      <c r="AH197" s="48">
        <f t="shared" si="8"/>
        <v>26763743</v>
      </c>
      <c r="AI197" s="48"/>
      <c r="AJ197" s="48">
        <v>0</v>
      </c>
      <c r="AK197" s="48"/>
      <c r="AL197" s="45">
        <v>4966559</v>
      </c>
      <c r="AM197" s="45"/>
      <c r="AN197" s="45">
        <v>7698372</v>
      </c>
      <c r="AO197" s="45"/>
      <c r="AP197" s="45">
        <v>-27802</v>
      </c>
      <c r="AQ197" s="45"/>
      <c r="AR197" s="45">
        <f>+'[3]GVFund Rev'!U196+'[3]GVFund Rev'!W196-'[3]GVFund Exp'!AH196-'[3]GVFund Exp'!AL196+AJ197+AN197+AP197-'[3]GV Fund BS'!S196</f>
        <v>0</v>
      </c>
      <c r="AS197" s="48"/>
    </row>
    <row r="198" spans="1:46" s="46" customFormat="1" ht="12.75" customHeight="1">
      <c r="A198" s="64" t="s">
        <v>227</v>
      </c>
      <c r="C198" s="64" t="s">
        <v>17</v>
      </c>
      <c r="E198" s="45">
        <v>845424</v>
      </c>
      <c r="F198" s="48"/>
      <c r="G198" s="45">
        <v>2899265</v>
      </c>
      <c r="H198" s="48"/>
      <c r="I198" s="45">
        <v>797200</v>
      </c>
      <c r="J198" s="48"/>
      <c r="K198" s="45">
        <v>58279</v>
      </c>
      <c r="L198" s="48"/>
      <c r="M198" s="45">
        <v>715556</v>
      </c>
      <c r="N198" s="48"/>
      <c r="O198" s="45">
        <v>93326</v>
      </c>
      <c r="P198" s="48"/>
      <c r="Q198" s="45">
        <v>628215</v>
      </c>
      <c r="R198" s="48"/>
      <c r="S198" s="45">
        <v>1213681</v>
      </c>
      <c r="T198" s="48"/>
      <c r="U198" s="45">
        <v>0</v>
      </c>
      <c r="V198" s="48"/>
      <c r="W198" s="48"/>
      <c r="X198" s="35"/>
      <c r="Y198" s="44"/>
      <c r="Z198" s="35"/>
      <c r="AA198" s="35"/>
      <c r="AB198" s="45">
        <f>12151+32599+744360+105000</f>
        <v>894110</v>
      </c>
      <c r="AC198" s="65"/>
      <c r="AD198" s="45">
        <v>151271</v>
      </c>
      <c r="AE198" s="65"/>
      <c r="AF198" s="45">
        <v>0</v>
      </c>
      <c r="AG198" s="65"/>
      <c r="AH198" s="48">
        <f>SUM(E198:AF198)</f>
        <v>8296327</v>
      </c>
      <c r="AI198" s="48"/>
      <c r="AJ198" s="48">
        <v>0</v>
      </c>
      <c r="AK198" s="48"/>
      <c r="AL198" s="45">
        <v>275827</v>
      </c>
      <c r="AM198" s="45"/>
      <c r="AN198" s="45">
        <v>1519831</v>
      </c>
      <c r="AO198" s="45"/>
      <c r="AP198" s="45">
        <v>0</v>
      </c>
      <c r="AQ198" s="45"/>
      <c r="AR198" s="45">
        <f>+'[3]GVFund Rev'!U198+'[3]GVFund Rev'!W198-'[3]GVFund Exp'!AH198-'[3]GVFund Exp'!AL198+AJ198+AN198+AP198-'[3]GV Fund BS'!S198</f>
        <v>0</v>
      </c>
      <c r="AS198" s="68"/>
    </row>
    <row r="199" spans="1:46" s="46" customFormat="1" ht="12.75" customHeight="1">
      <c r="A199" s="35" t="s">
        <v>228</v>
      </c>
      <c r="B199" s="44"/>
      <c r="C199" s="35" t="s">
        <v>153</v>
      </c>
      <c r="D199" s="44"/>
      <c r="E199" s="45">
        <v>1313774</v>
      </c>
      <c r="F199" s="48"/>
      <c r="G199" s="45">
        <v>2957427</v>
      </c>
      <c r="H199" s="48"/>
      <c r="I199" s="45">
        <v>1136336</v>
      </c>
      <c r="J199" s="48"/>
      <c r="K199" s="45">
        <v>334554</v>
      </c>
      <c r="L199" s="48"/>
      <c r="M199" s="45">
        <v>697277</v>
      </c>
      <c r="N199" s="48"/>
      <c r="O199" s="45">
        <v>68261</v>
      </c>
      <c r="P199" s="48"/>
      <c r="Q199" s="45">
        <v>29001</v>
      </c>
      <c r="R199" s="48"/>
      <c r="S199" s="45">
        <v>1975447</v>
      </c>
      <c r="T199" s="48"/>
      <c r="U199" s="45">
        <v>0</v>
      </c>
      <c r="V199" s="48"/>
      <c r="W199" s="48"/>
      <c r="X199" s="35"/>
      <c r="Y199" s="44"/>
      <c r="Z199" s="35"/>
      <c r="AA199" s="35"/>
      <c r="AB199" s="45">
        <v>414346</v>
      </c>
      <c r="AC199" s="65"/>
      <c r="AD199" s="45">
        <f>40779+5102</f>
        <v>45881</v>
      </c>
      <c r="AE199" s="65"/>
      <c r="AF199" s="45">
        <v>0</v>
      </c>
      <c r="AG199" s="65"/>
      <c r="AH199" s="48">
        <f t="shared" ref="AH199:AH214" si="9">SUM(E199:AF199)</f>
        <v>8972304</v>
      </c>
      <c r="AI199" s="48"/>
      <c r="AJ199" s="48">
        <v>0</v>
      </c>
      <c r="AK199" s="48"/>
      <c r="AL199" s="45">
        <v>524425</v>
      </c>
      <c r="AM199" s="45"/>
      <c r="AN199" s="45">
        <v>5638637</v>
      </c>
      <c r="AO199" s="45"/>
      <c r="AP199" s="45">
        <v>0</v>
      </c>
      <c r="AQ199" s="45"/>
      <c r="AR199" s="45">
        <f>+'[3]GVFund Rev'!U199+'[3]GVFund Rev'!W199-'[3]GVFund Exp'!AH199-'[3]GVFund Exp'!AL199+AJ199+AN199+AP199-'[3]GV Fund BS'!S199</f>
        <v>0</v>
      </c>
      <c r="AS199" s="68"/>
    </row>
    <row r="200" spans="1:46" s="44" customFormat="1" ht="12.75" customHeight="1">
      <c r="A200" s="35" t="s">
        <v>229</v>
      </c>
      <c r="C200" s="35" t="s">
        <v>228</v>
      </c>
      <c r="E200" s="45">
        <v>1754338</v>
      </c>
      <c r="F200" s="48"/>
      <c r="G200" s="45">
        <f>5852203+4303371</f>
        <v>10155574</v>
      </c>
      <c r="H200" s="48"/>
      <c r="I200" s="45">
        <f>1084882+1229503</f>
        <v>2314385</v>
      </c>
      <c r="J200" s="48"/>
      <c r="K200" s="45">
        <v>220980</v>
      </c>
      <c r="L200" s="48"/>
      <c r="M200" s="45">
        <v>1484688</v>
      </c>
      <c r="N200" s="48"/>
      <c r="O200" s="45">
        <v>1422988</v>
      </c>
      <c r="P200" s="48"/>
      <c r="Q200" s="45">
        <v>23543</v>
      </c>
      <c r="R200" s="48"/>
      <c r="S200" s="45">
        <v>3812552</v>
      </c>
      <c r="T200" s="48"/>
      <c r="U200" s="45">
        <v>1438914</v>
      </c>
      <c r="V200" s="48"/>
      <c r="W200" s="48"/>
      <c r="X200" s="35"/>
      <c r="Z200" s="35"/>
      <c r="AA200" s="35"/>
      <c r="AB200" s="45">
        <v>435000</v>
      </c>
      <c r="AC200" s="65"/>
      <c r="AD200" s="45">
        <v>373006</v>
      </c>
      <c r="AE200" s="65"/>
      <c r="AF200" s="45">
        <v>0</v>
      </c>
      <c r="AG200" s="65"/>
      <c r="AH200" s="48">
        <f t="shared" si="9"/>
        <v>23435968</v>
      </c>
      <c r="AI200" s="48"/>
      <c r="AJ200" s="48">
        <v>0</v>
      </c>
      <c r="AK200" s="48"/>
      <c r="AL200" s="45">
        <v>14085128</v>
      </c>
      <c r="AM200" s="45"/>
      <c r="AN200" s="45">
        <v>12958978</v>
      </c>
      <c r="AO200" s="45"/>
      <c r="AP200" s="45">
        <v>0</v>
      </c>
      <c r="AQ200" s="45"/>
      <c r="AR200" s="45">
        <f>+'[3]GVFund Rev'!U200+'[3]GVFund Rev'!W200-'[3]GVFund Exp'!AH200-'[3]GVFund Exp'!AL200+AJ200+AN200+AP200-'[3]GV Fund BS'!S200</f>
        <v>0</v>
      </c>
      <c r="AS200" s="48"/>
    </row>
    <row r="201" spans="1:46" s="44" customFormat="1" ht="12.75" customHeight="1">
      <c r="A201" s="35" t="s">
        <v>230</v>
      </c>
      <c r="C201" s="35" t="s">
        <v>45</v>
      </c>
      <c r="E201" s="45">
        <v>762745</v>
      </c>
      <c r="F201" s="48"/>
      <c r="G201" s="45">
        <v>1367109</v>
      </c>
      <c r="H201" s="48"/>
      <c r="I201" s="45">
        <v>343157</v>
      </c>
      <c r="J201" s="48"/>
      <c r="K201" s="45">
        <v>4892</v>
      </c>
      <c r="L201" s="48"/>
      <c r="M201" s="45">
        <v>304483</v>
      </c>
      <c r="N201" s="48"/>
      <c r="O201" s="45">
        <v>18095</v>
      </c>
      <c r="P201" s="48"/>
      <c r="Q201" s="45">
        <v>1448798</v>
      </c>
      <c r="R201" s="48"/>
      <c r="S201" s="45">
        <v>172822</v>
      </c>
      <c r="T201" s="48"/>
      <c r="U201" s="45">
        <v>0</v>
      </c>
      <c r="V201" s="48"/>
      <c r="W201" s="48"/>
      <c r="X201" s="35"/>
      <c r="Z201" s="35"/>
      <c r="AA201" s="35"/>
      <c r="AB201" s="45">
        <v>134767</v>
      </c>
      <c r="AC201" s="65"/>
      <c r="AD201" s="45">
        <v>15989</v>
      </c>
      <c r="AE201" s="65"/>
      <c r="AF201" s="45">
        <v>0</v>
      </c>
      <c r="AG201" s="65"/>
      <c r="AH201" s="48">
        <f t="shared" si="9"/>
        <v>4572857</v>
      </c>
      <c r="AI201" s="48"/>
      <c r="AJ201" s="48">
        <v>0</v>
      </c>
      <c r="AK201" s="48"/>
      <c r="AL201" s="45">
        <v>854002</v>
      </c>
      <c r="AM201" s="45"/>
      <c r="AN201" s="45">
        <v>2736290</v>
      </c>
      <c r="AO201" s="45"/>
      <c r="AP201" s="45">
        <v>0</v>
      </c>
      <c r="AQ201" s="45"/>
      <c r="AR201" s="45">
        <f>+'[3]GVFund Rev'!U201+'[3]GVFund Rev'!W201-'[3]GVFund Exp'!AH201-'[3]GVFund Exp'!AL201+AJ201+AN201+AP201-'[3]GV Fund BS'!S201</f>
        <v>0</v>
      </c>
      <c r="AS201" s="48"/>
    </row>
    <row r="202" spans="1:46" s="44" customFormat="1" ht="12.75" customHeight="1">
      <c r="A202" s="35" t="s">
        <v>231</v>
      </c>
      <c r="C202" s="35" t="s">
        <v>27</v>
      </c>
      <c r="E202" s="45">
        <v>6286418</v>
      </c>
      <c r="F202" s="48"/>
      <c r="G202" s="45">
        <f>7985861+7750303+299953</f>
        <v>16036117</v>
      </c>
      <c r="H202" s="48"/>
      <c r="I202" s="45">
        <v>3316686</v>
      </c>
      <c r="J202" s="48"/>
      <c r="K202" s="45">
        <v>82050</v>
      </c>
      <c r="L202" s="48"/>
      <c r="M202" s="45">
        <v>5943351</v>
      </c>
      <c r="N202" s="48"/>
      <c r="O202" s="45">
        <v>5900904</v>
      </c>
      <c r="P202" s="48"/>
      <c r="Q202" s="45">
        <v>2073297</v>
      </c>
      <c r="R202" s="48"/>
      <c r="S202" s="45">
        <v>13280808</v>
      </c>
      <c r="T202" s="48"/>
      <c r="U202" s="45">
        <v>0</v>
      </c>
      <c r="V202" s="48"/>
      <c r="W202" s="48"/>
      <c r="X202" s="35"/>
      <c r="Z202" s="35"/>
      <c r="AA202" s="35"/>
      <c r="AB202" s="45">
        <v>1732382</v>
      </c>
      <c r="AC202" s="65"/>
      <c r="AD202" s="45">
        <v>1246408</v>
      </c>
      <c r="AE202" s="65"/>
      <c r="AF202" s="45">
        <v>0</v>
      </c>
      <c r="AG202" s="65"/>
      <c r="AH202" s="48">
        <f t="shared" si="9"/>
        <v>55898421</v>
      </c>
      <c r="AI202" s="48"/>
      <c r="AJ202" s="48">
        <v>0</v>
      </c>
      <c r="AK202" s="48"/>
      <c r="AL202" s="45">
        <f>10281118</f>
        <v>10281118</v>
      </c>
      <c r="AM202" s="45"/>
      <c r="AN202" s="45">
        <v>45043939</v>
      </c>
      <c r="AO202" s="45"/>
      <c r="AP202" s="45">
        <v>0</v>
      </c>
      <c r="AQ202" s="45"/>
      <c r="AR202" s="45">
        <f>+'[3]GVFund Rev'!U202+'[3]GVFund Rev'!W202-'[3]GVFund Exp'!AH202-'[3]GVFund Exp'!AL202+AJ202+AN202+AP202-'[3]GV Fund BS'!S202</f>
        <v>0</v>
      </c>
      <c r="AS202" s="48"/>
    </row>
    <row r="203" spans="1:46" s="44" customFormat="1" ht="12.75" customHeight="1">
      <c r="A203" s="64" t="s">
        <v>232</v>
      </c>
      <c r="B203" s="46"/>
      <c r="C203" s="64" t="s">
        <v>27</v>
      </c>
      <c r="D203" s="46"/>
      <c r="E203" s="45">
        <f>2793959+490556</f>
        <v>3284515</v>
      </c>
      <c r="F203" s="48"/>
      <c r="G203" s="45">
        <f>5393378+4130488</f>
        <v>9523866</v>
      </c>
      <c r="H203" s="48"/>
      <c r="I203" s="45">
        <v>294638</v>
      </c>
      <c r="J203" s="48"/>
      <c r="K203" s="45">
        <v>133196</v>
      </c>
      <c r="L203" s="48"/>
      <c r="M203" s="45">
        <v>2247498</v>
      </c>
      <c r="N203" s="48"/>
      <c r="O203" s="45">
        <v>403482</v>
      </c>
      <c r="P203" s="48"/>
      <c r="Q203" s="45">
        <f>773098+2480311+330541</f>
        <v>3583950</v>
      </c>
      <c r="R203" s="48"/>
      <c r="S203" s="45">
        <v>4004012</v>
      </c>
      <c r="T203" s="48"/>
      <c r="U203" s="45">
        <v>0</v>
      </c>
      <c r="V203" s="48"/>
      <c r="W203" s="48"/>
      <c r="X203" s="35"/>
      <c r="Z203" s="35"/>
      <c r="AA203" s="35"/>
      <c r="AB203" s="45">
        <v>18361773</v>
      </c>
      <c r="AC203" s="65"/>
      <c r="AD203" s="45">
        <v>1398321</v>
      </c>
      <c r="AE203" s="65"/>
      <c r="AF203" s="45">
        <v>0</v>
      </c>
      <c r="AG203" s="65"/>
      <c r="AH203" s="48">
        <f t="shared" si="9"/>
        <v>43235251</v>
      </c>
      <c r="AI203" s="48"/>
      <c r="AJ203" s="48">
        <v>0</v>
      </c>
      <c r="AK203" s="48"/>
      <c r="AL203" s="45">
        <v>1257232</v>
      </c>
      <c r="AM203" s="45"/>
      <c r="AN203" s="45">
        <v>28133929</v>
      </c>
      <c r="AO203" s="45"/>
      <c r="AP203" s="45">
        <v>0</v>
      </c>
      <c r="AQ203" s="45"/>
      <c r="AR203" s="45">
        <f>+'[3]GVFund Rev'!U203+'[3]GVFund Rev'!W203-'[3]GVFund Exp'!AH203-'[3]GVFund Exp'!AL203+AJ203+AN203+AP203-'[3]GV Fund BS'!S203</f>
        <v>0</v>
      </c>
      <c r="AS203" s="48"/>
    </row>
    <row r="204" spans="1:46" s="44" customFormat="1" ht="12.75" customHeight="1">
      <c r="A204" s="35" t="s">
        <v>233</v>
      </c>
      <c r="C204" s="35" t="s">
        <v>111</v>
      </c>
      <c r="E204" s="45">
        <v>4435165</v>
      </c>
      <c r="F204" s="48"/>
      <c r="G204" s="45">
        <v>2818460</v>
      </c>
      <c r="H204" s="48"/>
      <c r="I204" s="45">
        <v>583002</v>
      </c>
      <c r="J204" s="48"/>
      <c r="K204" s="45">
        <v>14060</v>
      </c>
      <c r="L204" s="48"/>
      <c r="M204" s="45">
        <v>883759</v>
      </c>
      <c r="N204" s="48"/>
      <c r="O204" s="45">
        <v>434357</v>
      </c>
      <c r="P204" s="48"/>
      <c r="Q204" s="45">
        <v>0</v>
      </c>
      <c r="R204" s="48"/>
      <c r="S204" s="45">
        <v>4762835</v>
      </c>
      <c r="T204" s="48"/>
      <c r="U204" s="45">
        <v>0</v>
      </c>
      <c r="V204" s="48"/>
      <c r="W204" s="48"/>
      <c r="X204" s="35"/>
      <c r="Z204" s="35"/>
      <c r="AA204" s="35"/>
      <c r="AB204" s="45">
        <v>599817</v>
      </c>
      <c r="AC204" s="65"/>
      <c r="AD204" s="45">
        <v>608577</v>
      </c>
      <c r="AE204" s="65"/>
      <c r="AF204" s="45">
        <v>0</v>
      </c>
      <c r="AG204" s="65"/>
      <c r="AH204" s="48">
        <f t="shared" si="9"/>
        <v>15140032</v>
      </c>
      <c r="AI204" s="48"/>
      <c r="AJ204" s="48">
        <v>0</v>
      </c>
      <c r="AK204" s="48"/>
      <c r="AL204" s="45">
        <f>785500+5345487</f>
        <v>6130987</v>
      </c>
      <c r="AM204" s="45"/>
      <c r="AN204" s="45">
        <v>12721932</v>
      </c>
      <c r="AO204" s="45"/>
      <c r="AP204" s="45">
        <v>-4590</v>
      </c>
      <c r="AQ204" s="45"/>
      <c r="AR204" s="45">
        <f>+'[3]GVFund Rev'!U204+'[3]GVFund Rev'!W204-'[3]GVFund Exp'!AH204-'[3]GVFund Exp'!AL204+AJ204+AN204+AP204-'[3]GV Fund BS'!S204</f>
        <v>0</v>
      </c>
      <c r="AS204" s="48"/>
    </row>
    <row r="205" spans="1:46" s="44" customFormat="1" ht="12.75" customHeight="1">
      <c r="A205" s="35" t="s">
        <v>234</v>
      </c>
      <c r="C205" s="35" t="s">
        <v>45</v>
      </c>
      <c r="E205" s="45">
        <v>4540666</v>
      </c>
      <c r="F205" s="48"/>
      <c r="G205" s="45">
        <v>8130860</v>
      </c>
      <c r="H205" s="48"/>
      <c r="I205" s="45">
        <v>560983</v>
      </c>
      <c r="J205" s="48"/>
      <c r="K205" s="45">
        <v>329263</v>
      </c>
      <c r="L205" s="48"/>
      <c r="M205" s="45">
        <v>1679504</v>
      </c>
      <c r="N205" s="48"/>
      <c r="O205" s="45">
        <v>1817404</v>
      </c>
      <c r="P205" s="48"/>
      <c r="Q205" s="45">
        <v>0</v>
      </c>
      <c r="R205" s="48"/>
      <c r="S205" s="45">
        <v>3819970</v>
      </c>
      <c r="T205" s="48"/>
      <c r="U205" s="45">
        <v>0</v>
      </c>
      <c r="V205" s="48"/>
      <c r="W205" s="48"/>
      <c r="X205" s="35"/>
      <c r="Z205" s="35"/>
      <c r="AA205" s="35"/>
      <c r="AB205" s="45">
        <v>479611</v>
      </c>
      <c r="AC205" s="65"/>
      <c r="AD205" s="45">
        <v>324823</v>
      </c>
      <c r="AE205" s="65"/>
      <c r="AF205" s="45">
        <v>0</v>
      </c>
      <c r="AG205" s="65"/>
      <c r="AH205" s="48">
        <f t="shared" si="9"/>
        <v>21683084</v>
      </c>
      <c r="AI205" s="48"/>
      <c r="AJ205" s="48">
        <v>0</v>
      </c>
      <c r="AK205" s="48"/>
      <c r="AL205" s="45">
        <f>2973780-12276</f>
        <v>2961504</v>
      </c>
      <c r="AM205" s="45"/>
      <c r="AN205" s="45">
        <v>7660495</v>
      </c>
      <c r="AO205" s="45"/>
      <c r="AP205" s="45">
        <v>0</v>
      </c>
      <c r="AQ205" s="45"/>
      <c r="AR205" s="45">
        <f>+'[3]GVFund Rev'!U205+'[3]GVFund Rev'!W205-'[3]GVFund Exp'!AH205-'[3]GVFund Exp'!AL205+AJ205+AN205+AP205-'[3]GV Fund BS'!S205</f>
        <v>0</v>
      </c>
      <c r="AS205" s="48"/>
    </row>
    <row r="206" spans="1:46" s="44" customFormat="1" ht="12.75" customHeight="1">
      <c r="A206" s="35" t="s">
        <v>235</v>
      </c>
      <c r="C206" s="35" t="s">
        <v>183</v>
      </c>
      <c r="E206" s="45">
        <v>11187576</v>
      </c>
      <c r="F206" s="48"/>
      <c r="G206" s="45">
        <v>28323148</v>
      </c>
      <c r="H206" s="48"/>
      <c r="I206" s="45">
        <v>7391300</v>
      </c>
      <c r="J206" s="48"/>
      <c r="K206" s="45">
        <v>667039</v>
      </c>
      <c r="L206" s="48"/>
      <c r="M206" s="45">
        <v>4676540</v>
      </c>
      <c r="N206" s="48"/>
      <c r="O206" s="45">
        <v>2542628</v>
      </c>
      <c r="P206" s="48"/>
      <c r="Q206" s="45">
        <v>428766</v>
      </c>
      <c r="R206" s="48"/>
      <c r="S206" s="45">
        <v>7054016</v>
      </c>
      <c r="T206" s="48"/>
      <c r="U206" s="45">
        <v>0</v>
      </c>
      <c r="V206" s="48"/>
      <c r="W206" s="48"/>
      <c r="X206" s="35"/>
      <c r="Z206" s="35"/>
      <c r="AA206" s="35"/>
      <c r="AB206" s="45">
        <v>2619180</v>
      </c>
      <c r="AC206" s="65"/>
      <c r="AD206" s="45">
        <v>710196</v>
      </c>
      <c r="AE206" s="65"/>
      <c r="AF206" s="45">
        <v>0</v>
      </c>
      <c r="AG206" s="65"/>
      <c r="AH206" s="48">
        <f>SUM(E206:AF206)</f>
        <v>65600389</v>
      </c>
      <c r="AI206" s="48"/>
      <c r="AJ206" s="48">
        <v>0</v>
      </c>
      <c r="AK206" s="48"/>
      <c r="AL206" s="45">
        <v>6330657</v>
      </c>
      <c r="AM206" s="45"/>
      <c r="AN206" s="45">
        <v>35834147</v>
      </c>
      <c r="AO206" s="45"/>
      <c r="AP206" s="45">
        <v>0</v>
      </c>
      <c r="AQ206" s="45"/>
      <c r="AR206" s="45">
        <f>+'[3]GVFund Rev'!U206+'[3]GVFund Rev'!W206-'[3]GVFund Exp'!AH206-'[3]GVFund Exp'!AL206+AJ206+AN206+AP206-'[3]GV Fund BS'!S206</f>
        <v>0</v>
      </c>
      <c r="AS206" s="48"/>
    </row>
    <row r="207" spans="1:46" s="44" customFormat="1" ht="12.75" customHeight="1">
      <c r="A207" s="35" t="s">
        <v>236</v>
      </c>
      <c r="C207" s="35" t="s">
        <v>45</v>
      </c>
      <c r="E207" s="45">
        <v>3766671</v>
      </c>
      <c r="F207" s="48"/>
      <c r="G207" s="45">
        <v>4717014</v>
      </c>
      <c r="H207" s="48"/>
      <c r="I207" s="45">
        <v>2000</v>
      </c>
      <c r="J207" s="48"/>
      <c r="K207" s="45">
        <v>93636</v>
      </c>
      <c r="L207" s="48"/>
      <c r="M207" s="45">
        <v>485800</v>
      </c>
      <c r="N207" s="48"/>
      <c r="O207" s="45">
        <v>274011</v>
      </c>
      <c r="P207" s="48"/>
      <c r="Q207" s="45">
        <v>1353564</v>
      </c>
      <c r="R207" s="48"/>
      <c r="S207" s="45">
        <v>2443786</v>
      </c>
      <c r="T207" s="48"/>
      <c r="U207" s="45">
        <v>0</v>
      </c>
      <c r="V207" s="48"/>
      <c r="W207" s="48"/>
      <c r="X207" s="35"/>
      <c r="Z207" s="35"/>
      <c r="AA207" s="35"/>
      <c r="AB207" s="45">
        <v>147042</v>
      </c>
      <c r="AC207" s="65"/>
      <c r="AD207" s="45">
        <v>98254</v>
      </c>
      <c r="AE207" s="65"/>
      <c r="AF207" s="45">
        <v>18721</v>
      </c>
      <c r="AG207" s="65"/>
      <c r="AH207" s="48">
        <f t="shared" si="9"/>
        <v>13400499</v>
      </c>
      <c r="AI207" s="48"/>
      <c r="AJ207" s="48">
        <v>0</v>
      </c>
      <c r="AK207" s="48"/>
      <c r="AL207" s="45">
        <v>2612575</v>
      </c>
      <c r="AM207" s="45"/>
      <c r="AN207" s="45">
        <v>8630489</v>
      </c>
      <c r="AO207" s="45"/>
      <c r="AP207" s="45">
        <v>-14117</v>
      </c>
      <c r="AQ207" s="45"/>
      <c r="AR207" s="45">
        <f>+'[3]GVFund Rev'!U207+'[3]GVFund Rev'!W207-'[3]GVFund Exp'!AH207-'[3]GVFund Exp'!AL207+AJ207+AN207+AP207-'[3]GV Fund BS'!S207</f>
        <v>0</v>
      </c>
      <c r="AS207" s="48"/>
    </row>
    <row r="208" spans="1:46" s="44" customFormat="1" ht="12.75" customHeight="1">
      <c r="A208" s="35" t="s">
        <v>237</v>
      </c>
      <c r="C208" s="35" t="s">
        <v>33</v>
      </c>
      <c r="E208" s="45">
        <v>356360</v>
      </c>
      <c r="F208" s="48"/>
      <c r="G208" s="45">
        <v>1034857</v>
      </c>
      <c r="H208" s="48"/>
      <c r="I208" s="45">
        <v>361236</v>
      </c>
      <c r="J208" s="48"/>
      <c r="K208" s="45">
        <v>16300</v>
      </c>
      <c r="L208" s="48"/>
      <c r="M208" s="45">
        <v>491503</v>
      </c>
      <c r="N208" s="48"/>
      <c r="O208" s="45">
        <v>437283</v>
      </c>
      <c r="P208" s="48"/>
      <c r="Q208" s="45">
        <v>0</v>
      </c>
      <c r="R208" s="48"/>
      <c r="S208" s="45">
        <v>2105928</v>
      </c>
      <c r="T208" s="48"/>
      <c r="U208" s="45">
        <v>0</v>
      </c>
      <c r="V208" s="48"/>
      <c r="W208" s="48"/>
      <c r="X208" s="35"/>
      <c r="Z208" s="35"/>
      <c r="AA208" s="35"/>
      <c r="AB208" s="45">
        <v>71559</v>
      </c>
      <c r="AC208" s="65"/>
      <c r="AD208" s="45">
        <v>53090</v>
      </c>
      <c r="AE208" s="65"/>
      <c r="AF208" s="45">
        <v>0</v>
      </c>
      <c r="AG208" s="65"/>
      <c r="AH208" s="48">
        <f t="shared" si="9"/>
        <v>4928116</v>
      </c>
      <c r="AI208" s="48"/>
      <c r="AJ208" s="48">
        <v>0</v>
      </c>
      <c r="AK208" s="48"/>
      <c r="AL208" s="45">
        <v>1743183</v>
      </c>
      <c r="AM208" s="45"/>
      <c r="AN208" s="45">
        <v>1842397</v>
      </c>
      <c r="AO208" s="45"/>
      <c r="AP208" s="45">
        <v>0</v>
      </c>
      <c r="AQ208" s="45"/>
      <c r="AR208" s="45">
        <f>+'[3]GVFund Rev'!U208+'[3]GVFund Rev'!W208-'[3]GVFund Exp'!AH208-'[3]GVFund Exp'!AL208+AJ208+AN208+AP208-'[3]GV Fund BS'!S208</f>
        <v>0</v>
      </c>
      <c r="AS208" s="48"/>
    </row>
    <row r="209" spans="1:45" s="44" customFormat="1" ht="12.75" customHeight="1">
      <c r="A209" s="35" t="s">
        <v>238</v>
      </c>
      <c r="C209" s="35" t="s">
        <v>239</v>
      </c>
      <c r="E209" s="45">
        <v>1100990</v>
      </c>
      <c r="F209" s="48"/>
      <c r="G209" s="45">
        <v>2795863</v>
      </c>
      <c r="H209" s="48"/>
      <c r="I209" s="45">
        <v>21476</v>
      </c>
      <c r="J209" s="48"/>
      <c r="K209" s="45">
        <v>12501</v>
      </c>
      <c r="L209" s="48"/>
      <c r="M209" s="45">
        <v>920212</v>
      </c>
      <c r="N209" s="48"/>
      <c r="O209" s="45">
        <v>350752</v>
      </c>
      <c r="P209" s="48"/>
      <c r="Q209" s="45">
        <v>0</v>
      </c>
      <c r="R209" s="48"/>
      <c r="S209" s="45">
        <v>1685546</v>
      </c>
      <c r="T209" s="48"/>
      <c r="U209" s="45">
        <v>0</v>
      </c>
      <c r="V209" s="48"/>
      <c r="W209" s="48"/>
      <c r="X209" s="35"/>
      <c r="Z209" s="35"/>
      <c r="AA209" s="35"/>
      <c r="AB209" s="45">
        <v>0</v>
      </c>
      <c r="AC209" s="65"/>
      <c r="AD209" s="45">
        <v>24191</v>
      </c>
      <c r="AE209" s="65"/>
      <c r="AF209" s="45">
        <v>0</v>
      </c>
      <c r="AG209" s="65"/>
      <c r="AH209" s="48">
        <f t="shared" si="9"/>
        <v>6911531</v>
      </c>
      <c r="AI209" s="48"/>
      <c r="AJ209" s="48">
        <v>0</v>
      </c>
      <c r="AK209" s="48"/>
      <c r="AL209" s="45">
        <v>1212769</v>
      </c>
      <c r="AM209" s="45"/>
      <c r="AN209" s="45">
        <v>13657590</v>
      </c>
      <c r="AO209" s="45"/>
      <c r="AP209" s="45">
        <v>3279</v>
      </c>
      <c r="AQ209" s="45"/>
      <c r="AR209" s="45">
        <f>+'[3]GVFund Rev'!U209+'[3]GVFund Rev'!W209-'[3]GVFund Exp'!AH209-'[3]GVFund Exp'!AL209+AJ209+AN209+AP209-'[3]GV Fund BS'!S209</f>
        <v>0</v>
      </c>
      <c r="AS209" s="48"/>
    </row>
    <row r="210" spans="1:45" s="44" customFormat="1" ht="12.75" customHeight="1">
      <c r="A210" s="35" t="s">
        <v>486</v>
      </c>
      <c r="C210" s="35" t="s">
        <v>249</v>
      </c>
      <c r="E210" s="45">
        <v>3182833</v>
      </c>
      <c r="F210" s="48"/>
      <c r="G210" s="45">
        <v>8116321</v>
      </c>
      <c r="H210" s="48"/>
      <c r="I210" s="45">
        <v>800670</v>
      </c>
      <c r="J210" s="48"/>
      <c r="K210" s="45">
        <v>657005</v>
      </c>
      <c r="L210" s="48"/>
      <c r="M210" s="45">
        <v>2993347</v>
      </c>
      <c r="N210" s="48"/>
      <c r="O210" s="45">
        <v>1341137</v>
      </c>
      <c r="P210" s="48"/>
      <c r="Q210" s="45">
        <v>0</v>
      </c>
      <c r="R210" s="48"/>
      <c r="S210" s="45">
        <v>120465</v>
      </c>
      <c r="T210" s="48"/>
      <c r="U210" s="45">
        <v>0</v>
      </c>
      <c r="V210" s="48"/>
      <c r="W210" s="48"/>
      <c r="X210" s="35"/>
      <c r="Z210" s="35"/>
      <c r="AA210" s="35"/>
      <c r="AB210" s="45">
        <v>412361</v>
      </c>
      <c r="AC210" s="65"/>
      <c r="AD210" s="45">
        <v>167917</v>
      </c>
      <c r="AE210" s="65"/>
      <c r="AF210" s="45">
        <v>0</v>
      </c>
      <c r="AG210" s="65"/>
      <c r="AH210" s="48">
        <f>SUM(E210:AF210)</f>
        <v>17792056</v>
      </c>
      <c r="AI210" s="48"/>
      <c r="AJ210" s="48">
        <v>0</v>
      </c>
      <c r="AK210" s="48"/>
      <c r="AL210" s="45">
        <v>0</v>
      </c>
      <c r="AM210" s="45"/>
      <c r="AN210" s="45">
        <v>9804959</v>
      </c>
      <c r="AO210" s="45"/>
      <c r="AP210" s="45">
        <v>0</v>
      </c>
      <c r="AQ210" s="45"/>
      <c r="AR210" s="45">
        <f>+'[3]GVFund Rev'!U210+'[3]GVFund Rev'!W210-'[3]GVFund Exp'!AH210-'[3]GVFund Exp'!AL210+AJ210+AN210+AP210-'[3]GV Fund BS'!S210</f>
        <v>0</v>
      </c>
      <c r="AS210" s="48"/>
    </row>
    <row r="211" spans="1:45" s="44" customFormat="1" ht="12.75" customHeight="1">
      <c r="A211" s="35" t="s">
        <v>240</v>
      </c>
      <c r="C211" s="35" t="s">
        <v>13</v>
      </c>
      <c r="E211" s="45">
        <v>6178362</v>
      </c>
      <c r="F211" s="48"/>
      <c r="G211" s="45">
        <v>12821027</v>
      </c>
      <c r="H211" s="48"/>
      <c r="I211" s="45">
        <v>1443280</v>
      </c>
      <c r="J211" s="48"/>
      <c r="K211" s="45">
        <v>461549</v>
      </c>
      <c r="L211" s="48"/>
      <c r="M211" s="45">
        <v>3068690</v>
      </c>
      <c r="N211" s="48"/>
      <c r="O211" s="45">
        <v>1963730</v>
      </c>
      <c r="P211" s="48"/>
      <c r="Q211" s="45">
        <v>0</v>
      </c>
      <c r="R211" s="48"/>
      <c r="S211" s="45">
        <v>14591229</v>
      </c>
      <c r="T211" s="48"/>
      <c r="U211" s="45">
        <v>0</v>
      </c>
      <c r="V211" s="48"/>
      <c r="W211" s="48"/>
      <c r="X211" s="35"/>
      <c r="Z211" s="35"/>
      <c r="AA211" s="35"/>
      <c r="AB211" s="45">
        <v>14955172</v>
      </c>
      <c r="AC211" s="65"/>
      <c r="AD211" s="45">
        <v>1234812</v>
      </c>
      <c r="AE211" s="65"/>
      <c r="AF211" s="45">
        <v>176146</v>
      </c>
      <c r="AG211" s="65"/>
      <c r="AH211" s="48">
        <f t="shared" si="9"/>
        <v>56893997</v>
      </c>
      <c r="AI211" s="48"/>
      <c r="AJ211" s="48">
        <v>0</v>
      </c>
      <c r="AK211" s="48"/>
      <c r="AL211" s="45">
        <v>734445</v>
      </c>
      <c r="AM211" s="45"/>
      <c r="AN211" s="45">
        <v>19575849</v>
      </c>
      <c r="AO211" s="45"/>
      <c r="AP211" s="45">
        <v>0</v>
      </c>
      <c r="AQ211" s="45"/>
      <c r="AR211" s="45">
        <f>+'[3]GVFund Rev'!U211+'[3]GVFund Rev'!W211-'[3]GVFund Exp'!AH211-'[3]GVFund Exp'!AL211+AJ211+AN211+AP211-'[3]GV Fund BS'!S211</f>
        <v>0</v>
      </c>
      <c r="AS211" s="48"/>
    </row>
    <row r="212" spans="1:45" s="121" customFormat="1" ht="12.75" hidden="1" customHeight="1">
      <c r="A212" s="35" t="s">
        <v>241</v>
      </c>
      <c r="B212" s="44"/>
      <c r="C212" s="35" t="s">
        <v>22</v>
      </c>
      <c r="D212" s="44"/>
      <c r="E212" s="45"/>
      <c r="F212" s="48"/>
      <c r="G212" s="45"/>
      <c r="H212" s="48"/>
      <c r="I212" s="45"/>
      <c r="J212" s="48"/>
      <c r="K212" s="45"/>
      <c r="L212" s="48"/>
      <c r="M212" s="45"/>
      <c r="N212" s="48"/>
      <c r="O212" s="45"/>
      <c r="P212" s="48"/>
      <c r="Q212" s="45"/>
      <c r="R212" s="48"/>
      <c r="S212" s="45"/>
      <c r="T212" s="48"/>
      <c r="U212" s="45"/>
      <c r="V212" s="48"/>
      <c r="W212" s="48"/>
      <c r="X212" s="35"/>
      <c r="Y212" s="44"/>
      <c r="Z212" s="35"/>
      <c r="AA212" s="35"/>
      <c r="AB212" s="45"/>
      <c r="AC212" s="65"/>
      <c r="AD212" s="45"/>
      <c r="AE212" s="65"/>
      <c r="AF212" s="45"/>
      <c r="AG212" s="65"/>
      <c r="AH212" s="48">
        <f t="shared" si="9"/>
        <v>0</v>
      </c>
      <c r="AI212" s="48"/>
      <c r="AJ212" s="48">
        <v>0</v>
      </c>
      <c r="AK212" s="48"/>
      <c r="AL212" s="45"/>
      <c r="AM212" s="45"/>
      <c r="AN212" s="45"/>
      <c r="AO212" s="45"/>
      <c r="AP212" s="45"/>
      <c r="AQ212" s="45"/>
      <c r="AR212" s="45">
        <f>+'[3]GVFund Rev'!U212+'[3]GVFund Rev'!W212-'[3]GVFund Exp'!AH212-'[3]GVFund Exp'!AL212+AJ212+AN212+AP212-'[3]GV Fund BS'!S212</f>
        <v>0</v>
      </c>
      <c r="AS212" s="132"/>
    </row>
    <row r="213" spans="1:45" s="44" customFormat="1" ht="12.75" customHeight="1">
      <c r="A213" s="35" t="s">
        <v>242</v>
      </c>
      <c r="C213" s="35" t="s">
        <v>27</v>
      </c>
      <c r="E213" s="45">
        <v>6699678</v>
      </c>
      <c r="F213" s="48"/>
      <c r="G213" s="45">
        <v>17811396</v>
      </c>
      <c r="H213" s="48"/>
      <c r="I213" s="45">
        <v>1277746</v>
      </c>
      <c r="J213" s="48"/>
      <c r="K213" s="45">
        <v>667697</v>
      </c>
      <c r="L213" s="48"/>
      <c r="M213" s="45">
        <v>8806301</v>
      </c>
      <c r="N213" s="48"/>
      <c r="O213" s="45">
        <v>5075995</v>
      </c>
      <c r="P213" s="48"/>
      <c r="Q213" s="45">
        <v>2535449</v>
      </c>
      <c r="R213" s="48"/>
      <c r="S213" s="45">
        <v>10600177</v>
      </c>
      <c r="T213" s="48"/>
      <c r="U213" s="45">
        <v>0</v>
      </c>
      <c r="V213" s="48"/>
      <c r="W213" s="48"/>
      <c r="X213" s="35"/>
      <c r="Z213" s="35"/>
      <c r="AA213" s="35"/>
      <c r="AB213" s="45">
        <v>2659457</v>
      </c>
      <c r="AC213" s="65"/>
      <c r="AD213" s="45">
        <v>2022217</v>
      </c>
      <c r="AE213" s="65"/>
      <c r="AF213" s="45">
        <v>0</v>
      </c>
      <c r="AG213" s="65"/>
      <c r="AH213" s="48">
        <f t="shared" si="9"/>
        <v>58156113</v>
      </c>
      <c r="AI213" s="48"/>
      <c r="AJ213" s="48">
        <v>0</v>
      </c>
      <c r="AK213" s="48"/>
      <c r="AL213" s="45">
        <v>10434101</v>
      </c>
      <c r="AM213" s="45"/>
      <c r="AN213" s="45">
        <v>23367288</v>
      </c>
      <c r="AO213" s="45"/>
      <c r="AP213" s="45">
        <v>0</v>
      </c>
      <c r="AQ213" s="45"/>
      <c r="AR213" s="45">
        <f>+'[3]GVFund Rev'!U213+'[3]GVFund Rev'!W213-'[3]GVFund Exp'!AH213-'[3]GVFund Exp'!AL213+AJ213+AN213+AP213-'[3]GV Fund BS'!S213</f>
        <v>0</v>
      </c>
      <c r="AS213" s="48"/>
    </row>
    <row r="214" spans="1:45" s="44" customFormat="1" ht="12.75" customHeight="1">
      <c r="A214" s="35" t="s">
        <v>243</v>
      </c>
      <c r="C214" s="35" t="s">
        <v>163</v>
      </c>
      <c r="E214" s="45">
        <v>4607100</v>
      </c>
      <c r="F214" s="48"/>
      <c r="G214" s="45">
        <v>5510810</v>
      </c>
      <c r="H214" s="48"/>
      <c r="I214" s="45">
        <v>720500</v>
      </c>
      <c r="J214" s="48"/>
      <c r="K214" s="45">
        <v>177218</v>
      </c>
      <c r="L214" s="48"/>
      <c r="M214" s="45">
        <v>1867672</v>
      </c>
      <c r="N214" s="48"/>
      <c r="O214" s="45">
        <v>837935</v>
      </c>
      <c r="P214" s="48"/>
      <c r="Q214" s="45">
        <v>1056762</v>
      </c>
      <c r="R214" s="48"/>
      <c r="S214" s="45">
        <v>4994082</v>
      </c>
      <c r="T214" s="48"/>
      <c r="U214" s="45">
        <v>0</v>
      </c>
      <c r="V214" s="48"/>
      <c r="W214" s="48"/>
      <c r="X214" s="35"/>
      <c r="Z214" s="35"/>
      <c r="AA214" s="35"/>
      <c r="AB214" s="45">
        <v>5193089</v>
      </c>
      <c r="AC214" s="65"/>
      <c r="AD214" s="45">
        <v>813605</v>
      </c>
      <c r="AE214" s="65"/>
      <c r="AF214" s="45">
        <v>0</v>
      </c>
      <c r="AG214" s="65"/>
      <c r="AH214" s="48">
        <f t="shared" si="9"/>
        <v>25778773</v>
      </c>
      <c r="AI214" s="48"/>
      <c r="AJ214" s="48">
        <v>0</v>
      </c>
      <c r="AK214" s="48"/>
      <c r="AL214" s="45">
        <f>10687286+3839598</f>
        <v>14526884</v>
      </c>
      <c r="AM214" s="45"/>
      <c r="AN214" s="45">
        <v>26216677</v>
      </c>
      <c r="AO214" s="45"/>
      <c r="AP214" s="45">
        <v>70039</v>
      </c>
      <c r="AQ214" s="45"/>
      <c r="AR214" s="45">
        <f>+'[3]GVFund Rev'!U214+'[3]GVFund Rev'!W214-'[3]GVFund Exp'!AH214-'[3]GVFund Exp'!AL214+AJ214+AN214+AP214-'[3]GV Fund BS'!S214</f>
        <v>0</v>
      </c>
      <c r="AS214" s="48"/>
    </row>
    <row r="215" spans="1:45" s="44" customFormat="1" ht="12.75" customHeight="1">
      <c r="A215" s="35" t="s">
        <v>244</v>
      </c>
      <c r="C215" s="35" t="s">
        <v>13</v>
      </c>
      <c r="E215" s="45">
        <v>3092863</v>
      </c>
      <c r="F215" s="48"/>
      <c r="G215" s="45">
        <f>3835309+39208+2304753</f>
        <v>6179270</v>
      </c>
      <c r="H215" s="48"/>
      <c r="I215" s="45">
        <v>744291</v>
      </c>
      <c r="J215" s="48"/>
      <c r="K215" s="45">
        <v>69512</v>
      </c>
      <c r="L215" s="48"/>
      <c r="M215" s="45">
        <v>1943729</v>
      </c>
      <c r="N215" s="48"/>
      <c r="O215" s="45">
        <v>1234503</v>
      </c>
      <c r="P215" s="48"/>
      <c r="Q215" s="45">
        <v>0</v>
      </c>
      <c r="R215" s="48"/>
      <c r="S215" s="45">
        <v>4334123</v>
      </c>
      <c r="T215" s="48"/>
      <c r="U215" s="45">
        <v>0</v>
      </c>
      <c r="V215" s="48"/>
      <c r="W215" s="48"/>
      <c r="X215" s="35"/>
      <c r="Z215" s="35"/>
      <c r="AA215" s="35"/>
      <c r="AB215" s="45">
        <v>534792</v>
      </c>
      <c r="AC215" s="65"/>
      <c r="AD215" s="45">
        <v>439747</v>
      </c>
      <c r="AE215" s="65"/>
      <c r="AF215" s="45">
        <v>0</v>
      </c>
      <c r="AG215" s="65"/>
      <c r="AH215" s="48">
        <f>SUM(E215:AF215)</f>
        <v>18572830</v>
      </c>
      <c r="AI215" s="48"/>
      <c r="AJ215" s="48">
        <v>0</v>
      </c>
      <c r="AK215" s="48"/>
      <c r="AL215" s="45">
        <v>3751926</v>
      </c>
      <c r="AM215" s="45"/>
      <c r="AN215" s="45">
        <v>3349161</v>
      </c>
      <c r="AO215" s="45"/>
      <c r="AP215" s="45">
        <v>0</v>
      </c>
      <c r="AQ215" s="45"/>
      <c r="AR215" s="45">
        <f>+'GVFund Rev'!U215+'GVFund Rev'!W215-'GVFund Exp'!AH215-'GVFund Exp'!AL215+AJ215+AN215+AP215-'GV Fund BS'!S215</f>
        <v>0</v>
      </c>
      <c r="AS215" s="48"/>
    </row>
    <row r="216" spans="1:45" s="44" customFormat="1" ht="12.75" customHeight="1">
      <c r="A216" s="35" t="s">
        <v>245</v>
      </c>
      <c r="C216" s="35" t="s">
        <v>110</v>
      </c>
      <c r="E216" s="45">
        <v>2915954</v>
      </c>
      <c r="F216" s="48"/>
      <c r="G216" s="45">
        <v>6880499</v>
      </c>
      <c r="H216" s="48"/>
      <c r="I216" s="45">
        <f>371164+107043+13</f>
        <v>478220</v>
      </c>
      <c r="J216" s="48"/>
      <c r="K216" s="45">
        <v>7648</v>
      </c>
      <c r="L216" s="48"/>
      <c r="M216" s="45">
        <v>1173121</v>
      </c>
      <c r="N216" s="48"/>
      <c r="O216" s="45">
        <v>417747</v>
      </c>
      <c r="P216" s="48"/>
      <c r="Q216" s="45">
        <v>0</v>
      </c>
      <c r="R216" s="48"/>
      <c r="S216" s="45">
        <v>2520424</v>
      </c>
      <c r="T216" s="48"/>
      <c r="U216" s="45">
        <v>0</v>
      </c>
      <c r="V216" s="48"/>
      <c r="W216" s="48"/>
      <c r="X216" s="35"/>
      <c r="Z216" s="35"/>
      <c r="AA216" s="35"/>
      <c r="AB216" s="45">
        <v>512581</v>
      </c>
      <c r="AC216" s="65"/>
      <c r="AD216" s="45">
        <v>49873</v>
      </c>
      <c r="AE216" s="65"/>
      <c r="AF216" s="45">
        <v>0</v>
      </c>
      <c r="AG216" s="65"/>
      <c r="AH216" s="48">
        <f t="shared" ref="AH216:AH231" si="10">SUM(E216:AF216)</f>
        <v>14956067</v>
      </c>
      <c r="AI216" s="48"/>
      <c r="AJ216" s="48">
        <v>0</v>
      </c>
      <c r="AK216" s="48"/>
      <c r="AL216" s="45">
        <v>1576837</v>
      </c>
      <c r="AM216" s="45"/>
      <c r="AN216" s="45">
        <v>4134440</v>
      </c>
      <c r="AO216" s="45"/>
      <c r="AP216" s="45">
        <v>-5630</v>
      </c>
      <c r="AQ216" s="45"/>
      <c r="AR216" s="45">
        <f>+'GVFund Rev'!U216+'GVFund Rev'!W216-'GVFund Exp'!AH216-'GVFund Exp'!AL216+AJ216+AN216+AP216-'GV Fund BS'!S216</f>
        <v>0</v>
      </c>
      <c r="AS216" s="48"/>
    </row>
    <row r="217" spans="1:45" s="44" customFormat="1" ht="12.75" customHeight="1">
      <c r="A217" s="35" t="s">
        <v>246</v>
      </c>
      <c r="C217" s="35" t="s">
        <v>209</v>
      </c>
      <c r="E217" s="45">
        <v>1464240</v>
      </c>
      <c r="F217" s="48"/>
      <c r="G217" s="45">
        <v>3080822</v>
      </c>
      <c r="H217" s="48"/>
      <c r="I217" s="45">
        <v>248376</v>
      </c>
      <c r="J217" s="48"/>
      <c r="K217" s="45">
        <v>0</v>
      </c>
      <c r="L217" s="48"/>
      <c r="M217" s="45">
        <v>767377</v>
      </c>
      <c r="N217" s="48"/>
      <c r="O217" s="45">
        <v>884455</v>
      </c>
      <c r="P217" s="48"/>
      <c r="Q217" s="45">
        <v>0</v>
      </c>
      <c r="R217" s="48"/>
      <c r="S217" s="45">
        <v>1336673</v>
      </c>
      <c r="T217" s="48"/>
      <c r="U217" s="45">
        <v>0</v>
      </c>
      <c r="V217" s="48"/>
      <c r="W217" s="48"/>
      <c r="X217" s="35"/>
      <c r="Z217" s="35"/>
      <c r="AA217" s="35"/>
      <c r="AB217" s="45">
        <v>882509</v>
      </c>
      <c r="AC217" s="65"/>
      <c r="AD217" s="45">
        <v>267055</v>
      </c>
      <c r="AE217" s="65"/>
      <c r="AF217" s="45">
        <v>235440</v>
      </c>
      <c r="AG217" s="65"/>
      <c r="AH217" s="48">
        <f t="shared" si="10"/>
        <v>9166947</v>
      </c>
      <c r="AI217" s="48"/>
      <c r="AJ217" s="48">
        <v>0</v>
      </c>
      <c r="AK217" s="48"/>
      <c r="AL217" s="45">
        <v>1260214</v>
      </c>
      <c r="AM217" s="45"/>
      <c r="AN217" s="45">
        <v>4301121</v>
      </c>
      <c r="AO217" s="45"/>
      <c r="AP217" s="45">
        <v>-7355</v>
      </c>
      <c r="AQ217" s="45"/>
      <c r="AR217" s="45">
        <f>+'GVFund Rev'!U217+'GVFund Rev'!W217-'GVFund Exp'!AH217-'GVFund Exp'!AL217+AJ217+AN217+AP217-'GV Fund BS'!S217</f>
        <v>0</v>
      </c>
      <c r="AS217" s="48"/>
    </row>
    <row r="218" spans="1:45" s="44" customFormat="1" ht="12.75" customHeight="1">
      <c r="A218" s="35" t="s">
        <v>247</v>
      </c>
      <c r="C218" s="35" t="s">
        <v>163</v>
      </c>
      <c r="E218" s="45">
        <v>19007000</v>
      </c>
      <c r="F218" s="48"/>
      <c r="G218" s="45">
        <v>170803000</v>
      </c>
      <c r="H218" s="48"/>
      <c r="I218" s="45">
        <v>18078000</v>
      </c>
      <c r="J218" s="48"/>
      <c r="K218" s="45">
        <v>18199000</v>
      </c>
      <c r="L218" s="48"/>
      <c r="M218" s="45">
        <v>0</v>
      </c>
      <c r="N218" s="48"/>
      <c r="O218" s="45">
        <v>0</v>
      </c>
      <c r="P218" s="48"/>
      <c r="Q218" s="45">
        <f>154000+37589000</f>
        <v>37743000</v>
      </c>
      <c r="R218" s="48"/>
      <c r="S218" s="45">
        <v>49179000</v>
      </c>
      <c r="T218" s="48"/>
      <c r="U218" s="45">
        <v>0</v>
      </c>
      <c r="V218" s="48"/>
      <c r="W218" s="48"/>
      <c r="X218" s="35"/>
      <c r="Z218" s="35"/>
      <c r="AA218" s="35"/>
      <c r="AB218" s="45">
        <v>16633000</v>
      </c>
      <c r="AC218" s="65"/>
      <c r="AD218" s="45">
        <v>10596000</v>
      </c>
      <c r="AE218" s="65"/>
      <c r="AF218" s="45">
        <v>3490000</v>
      </c>
      <c r="AG218" s="65"/>
      <c r="AH218" s="48">
        <f t="shared" si="10"/>
        <v>343728000</v>
      </c>
      <c r="AI218" s="48"/>
      <c r="AJ218" s="48">
        <v>0</v>
      </c>
      <c r="AK218" s="48"/>
      <c r="AL218" s="45">
        <v>46989000</v>
      </c>
      <c r="AM218" s="45"/>
      <c r="AN218" s="45">
        <v>17955000</v>
      </c>
      <c r="AO218" s="45"/>
      <c r="AP218" s="45">
        <v>731000</v>
      </c>
      <c r="AQ218" s="45"/>
      <c r="AR218" s="45">
        <f>+'GVFund Rev'!U218+'GVFund Rev'!W218-'GVFund Exp'!AH218-'GVFund Exp'!AL218+AJ218+AN218+AP218-'GV Fund BS'!S218</f>
        <v>0</v>
      </c>
      <c r="AS218" s="48"/>
    </row>
    <row r="219" spans="1:45" s="44" customFormat="1" ht="12.75" customHeight="1">
      <c r="A219" s="35" t="s">
        <v>248</v>
      </c>
      <c r="C219" s="35" t="s">
        <v>249</v>
      </c>
      <c r="E219" s="45">
        <v>590425</v>
      </c>
      <c r="F219" s="48"/>
      <c r="G219" s="45">
        <v>1507563</v>
      </c>
      <c r="H219" s="48"/>
      <c r="I219" s="45">
        <v>1362761</v>
      </c>
      <c r="J219" s="48"/>
      <c r="K219" s="45">
        <v>23108</v>
      </c>
      <c r="L219" s="48"/>
      <c r="M219" s="45">
        <v>436029</v>
      </c>
      <c r="N219" s="48"/>
      <c r="O219" s="45">
        <v>144505</v>
      </c>
      <c r="P219" s="48"/>
      <c r="Q219" s="45">
        <v>0</v>
      </c>
      <c r="R219" s="48"/>
      <c r="S219" s="45">
        <v>847277</v>
      </c>
      <c r="T219" s="48"/>
      <c r="U219" s="45">
        <v>0</v>
      </c>
      <c r="V219" s="48"/>
      <c r="W219" s="48"/>
      <c r="X219" s="35"/>
      <c r="Z219" s="35"/>
      <c r="AA219" s="35"/>
      <c r="AB219" s="45">
        <v>95926</v>
      </c>
      <c r="AC219" s="65"/>
      <c r="AD219" s="45">
        <v>43395</v>
      </c>
      <c r="AE219" s="65"/>
      <c r="AF219" s="45">
        <v>0</v>
      </c>
      <c r="AG219" s="65"/>
      <c r="AH219" s="48">
        <f t="shared" si="10"/>
        <v>5050989</v>
      </c>
      <c r="AI219" s="48"/>
      <c r="AJ219" s="48">
        <v>0</v>
      </c>
      <c r="AK219" s="48"/>
      <c r="AL219" s="45">
        <v>1286450</v>
      </c>
      <c r="AM219" s="45"/>
      <c r="AN219" s="45">
        <v>1882464</v>
      </c>
      <c r="AO219" s="45"/>
      <c r="AP219" s="45">
        <v>0</v>
      </c>
      <c r="AQ219" s="45"/>
      <c r="AR219" s="45">
        <f>+'GVFund Rev'!U219+'GVFund Rev'!W219-'GVFund Exp'!AH219-'GVFund Exp'!AL219+AJ219+AN219+AP219-'GV Fund BS'!S219</f>
        <v>0</v>
      </c>
      <c r="AS219" s="48"/>
    </row>
    <row r="220" spans="1:45" s="46" customFormat="1" ht="12.75" customHeight="1">
      <c r="A220" s="35" t="s">
        <v>250</v>
      </c>
      <c r="B220" s="44"/>
      <c r="C220" s="35" t="s">
        <v>103</v>
      </c>
      <c r="D220" s="44"/>
      <c r="E220" s="45">
        <v>434135</v>
      </c>
      <c r="F220" s="48"/>
      <c r="G220" s="45">
        <v>2189860</v>
      </c>
      <c r="H220" s="48"/>
      <c r="I220" s="45">
        <v>285171</v>
      </c>
      <c r="J220" s="48"/>
      <c r="K220" s="45">
        <v>63524</v>
      </c>
      <c r="L220" s="48"/>
      <c r="M220" s="45">
        <v>367432</v>
      </c>
      <c r="N220" s="48"/>
      <c r="O220" s="45">
        <v>79334</v>
      </c>
      <c r="P220" s="48"/>
      <c r="Q220" s="45">
        <v>65594</v>
      </c>
      <c r="R220" s="48"/>
      <c r="S220" s="45">
        <v>367610</v>
      </c>
      <c r="T220" s="48"/>
      <c r="U220" s="45">
        <v>0</v>
      </c>
      <c r="V220" s="48"/>
      <c r="W220" s="48"/>
      <c r="X220" s="35"/>
      <c r="Y220" s="44"/>
      <c r="Z220" s="35"/>
      <c r="AA220" s="35"/>
      <c r="AB220" s="45">
        <v>79987</v>
      </c>
      <c r="AC220" s="65"/>
      <c r="AD220" s="45">
        <v>22368</v>
      </c>
      <c r="AE220" s="65"/>
      <c r="AF220" s="45">
        <v>0</v>
      </c>
      <c r="AG220" s="65"/>
      <c r="AH220" s="48">
        <f t="shared" si="10"/>
        <v>3955015</v>
      </c>
      <c r="AI220" s="48"/>
      <c r="AJ220" s="48">
        <v>0</v>
      </c>
      <c r="AK220" s="48"/>
      <c r="AL220" s="45">
        <v>297500</v>
      </c>
      <c r="AM220" s="45"/>
      <c r="AN220" s="45">
        <v>2760345</v>
      </c>
      <c r="AO220" s="45"/>
      <c r="AP220" s="45">
        <v>0</v>
      </c>
      <c r="AQ220" s="45"/>
      <c r="AR220" s="45">
        <f>+'GVFund Rev'!U220+'GVFund Rev'!W220-'GVFund Exp'!AH220-'GVFund Exp'!AL220+AJ220+AN220+AP220-'GV Fund BS'!S220</f>
        <v>0</v>
      </c>
      <c r="AS220" s="48"/>
    </row>
    <row r="221" spans="1:45" s="44" customFormat="1" ht="12.75" customHeight="1">
      <c r="A221" s="35" t="s">
        <v>251</v>
      </c>
      <c r="C221" s="35" t="s">
        <v>66</v>
      </c>
      <c r="E221" s="45">
        <v>2768203</v>
      </c>
      <c r="F221" s="48"/>
      <c r="G221" s="45">
        <v>9656271</v>
      </c>
      <c r="H221" s="48"/>
      <c r="I221" s="45">
        <v>1598660</v>
      </c>
      <c r="J221" s="48"/>
      <c r="K221" s="45">
        <v>0</v>
      </c>
      <c r="L221" s="48"/>
      <c r="M221" s="45">
        <v>1775955</v>
      </c>
      <c r="N221" s="48"/>
      <c r="O221" s="45">
        <v>396378</v>
      </c>
      <c r="P221" s="48"/>
      <c r="Q221" s="45">
        <v>0</v>
      </c>
      <c r="R221" s="48"/>
      <c r="S221" s="45">
        <v>3508994</v>
      </c>
      <c r="T221" s="48"/>
      <c r="U221" s="45">
        <v>0</v>
      </c>
      <c r="V221" s="48"/>
      <c r="W221" s="48"/>
      <c r="X221" s="35"/>
      <c r="Z221" s="35"/>
      <c r="AA221" s="35"/>
      <c r="AB221" s="45">
        <v>492860</v>
      </c>
      <c r="AC221" s="65"/>
      <c r="AD221" s="45">
        <v>858384</v>
      </c>
      <c r="AE221" s="65"/>
      <c r="AF221" s="45">
        <v>0</v>
      </c>
      <c r="AG221" s="65"/>
      <c r="AH221" s="48">
        <f>SUM(E221:AF221)</f>
        <v>21055705</v>
      </c>
      <c r="AI221" s="48"/>
      <c r="AJ221" s="48">
        <v>0</v>
      </c>
      <c r="AK221" s="48"/>
      <c r="AL221" s="45">
        <v>1067590</v>
      </c>
      <c r="AM221" s="45"/>
      <c r="AN221" s="45">
        <v>-6260552</v>
      </c>
      <c r="AO221" s="45"/>
      <c r="AP221" s="45">
        <v>0</v>
      </c>
      <c r="AQ221" s="45"/>
      <c r="AR221" s="45">
        <f>+'GVFund Rev'!U221+'GVFund Rev'!W221-'GVFund Exp'!AH221-'GVFund Exp'!AL221+AJ221+AN221+AP221-'GV Fund BS'!S221</f>
        <v>0</v>
      </c>
      <c r="AS221" s="48"/>
    </row>
    <row r="222" spans="1:45" s="44" customFormat="1" ht="12.75" customHeight="1">
      <c r="A222" s="35" t="s">
        <v>252</v>
      </c>
      <c r="C222" s="35" t="s">
        <v>209</v>
      </c>
      <c r="E222" s="45">
        <v>4676746</v>
      </c>
      <c r="F222" s="48"/>
      <c r="G222" s="45">
        <v>9245869</v>
      </c>
      <c r="H222" s="48"/>
      <c r="I222" s="45">
        <v>660303</v>
      </c>
      <c r="J222" s="48"/>
      <c r="K222" s="45">
        <v>433203</v>
      </c>
      <c r="L222" s="48"/>
      <c r="M222" s="45">
        <v>1994218</v>
      </c>
      <c r="N222" s="48"/>
      <c r="O222" s="45">
        <v>1516300</v>
      </c>
      <c r="P222" s="48"/>
      <c r="Q222" s="45">
        <v>1146691</v>
      </c>
      <c r="R222" s="48"/>
      <c r="S222" s="45">
        <v>1424698</v>
      </c>
      <c r="T222" s="48"/>
      <c r="U222" s="45">
        <v>0</v>
      </c>
      <c r="V222" s="48"/>
      <c r="W222" s="48"/>
      <c r="X222" s="35"/>
      <c r="Z222" s="35"/>
      <c r="AA222" s="35"/>
      <c r="AB222" s="45">
        <v>554000</v>
      </c>
      <c r="AC222" s="65"/>
      <c r="AD222" s="45">
        <v>514124</v>
      </c>
      <c r="AE222" s="65"/>
      <c r="AF222" s="45">
        <v>0</v>
      </c>
      <c r="AG222" s="65"/>
      <c r="AH222" s="48">
        <f t="shared" si="10"/>
        <v>22166152</v>
      </c>
      <c r="AI222" s="48"/>
      <c r="AJ222" s="48">
        <v>0</v>
      </c>
      <c r="AK222" s="48"/>
      <c r="AL222" s="45">
        <v>2965589</v>
      </c>
      <c r="AM222" s="45"/>
      <c r="AN222" s="45">
        <v>45887957</v>
      </c>
      <c r="AO222" s="45"/>
      <c r="AP222" s="45">
        <v>0</v>
      </c>
      <c r="AQ222" s="45"/>
      <c r="AR222" s="45">
        <f>+'GVFund Rev'!U222+'GVFund Rev'!W222-'GVFund Exp'!AH222-'GVFund Exp'!AL222+AJ222+AN222+AP222-'GV Fund BS'!S222</f>
        <v>0</v>
      </c>
      <c r="AS222" s="48"/>
    </row>
    <row r="223" spans="1:45" s="44" customFormat="1" ht="12.75" customHeight="1">
      <c r="A223" s="35" t="s">
        <v>253</v>
      </c>
      <c r="C223" s="35" t="s">
        <v>13</v>
      </c>
      <c r="E223" s="45">
        <v>3572519</v>
      </c>
      <c r="F223" s="48"/>
      <c r="G223" s="45">
        <v>9621679</v>
      </c>
      <c r="H223" s="48"/>
      <c r="I223" s="45">
        <v>1413841</v>
      </c>
      <c r="J223" s="48"/>
      <c r="K223" s="45">
        <v>0</v>
      </c>
      <c r="L223" s="48"/>
      <c r="M223" s="45">
        <v>5228877</v>
      </c>
      <c r="N223" s="48"/>
      <c r="O223" s="45">
        <v>1791331</v>
      </c>
      <c r="P223" s="48"/>
      <c r="Q223" s="45">
        <v>0</v>
      </c>
      <c r="R223" s="48"/>
      <c r="S223" s="45">
        <v>2358999</v>
      </c>
      <c r="T223" s="48"/>
      <c r="U223" s="45">
        <v>0</v>
      </c>
      <c r="V223" s="48"/>
      <c r="W223" s="48"/>
      <c r="X223" s="35"/>
      <c r="Z223" s="35"/>
      <c r="AA223" s="35"/>
      <c r="AB223" s="45">
        <v>781645</v>
      </c>
      <c r="AC223" s="65"/>
      <c r="AD223" s="45">
        <v>841939</v>
      </c>
      <c r="AE223" s="65"/>
      <c r="AF223" s="45">
        <v>13467</v>
      </c>
      <c r="AG223" s="65"/>
      <c r="AH223" s="48">
        <f>SUM(E223:AF223)</f>
        <v>25624297</v>
      </c>
      <c r="AI223" s="48"/>
      <c r="AJ223" s="48">
        <v>0</v>
      </c>
      <c r="AK223" s="48"/>
      <c r="AL223" s="45">
        <v>1719499</v>
      </c>
      <c r="AM223" s="45"/>
      <c r="AN223" s="45">
        <v>20876421</v>
      </c>
      <c r="AO223" s="45"/>
      <c r="AP223" s="45">
        <v>0</v>
      </c>
      <c r="AQ223" s="45"/>
      <c r="AR223" s="45">
        <f>+'GVFund Rev'!U223+'GVFund Rev'!W223-'GVFund Exp'!AH223-'GVFund Exp'!AL223+AJ223+AN223+AP223-'GV Fund BS'!S223</f>
        <v>0</v>
      </c>
      <c r="AS223" s="48"/>
    </row>
    <row r="224" spans="1:45" s="46" customFormat="1" ht="12.75" customHeight="1">
      <c r="A224" s="35" t="s">
        <v>254</v>
      </c>
      <c r="B224" s="44"/>
      <c r="C224" s="35" t="s">
        <v>89</v>
      </c>
      <c r="D224" s="44"/>
      <c r="E224" s="45">
        <v>602325</v>
      </c>
      <c r="F224" s="48"/>
      <c r="G224" s="45">
        <v>1342760</v>
      </c>
      <c r="H224" s="48"/>
      <c r="I224" s="45">
        <v>285675</v>
      </c>
      <c r="J224" s="48"/>
      <c r="K224" s="45">
        <v>588982</v>
      </c>
      <c r="L224" s="48"/>
      <c r="M224" s="45">
        <v>1003122</v>
      </c>
      <c r="N224" s="48"/>
      <c r="O224" s="45">
        <v>8662</v>
      </c>
      <c r="P224" s="48"/>
      <c r="Q224" s="45">
        <v>0</v>
      </c>
      <c r="R224" s="48"/>
      <c r="S224" s="45">
        <v>1564791</v>
      </c>
      <c r="T224" s="48"/>
      <c r="U224" s="45">
        <v>0</v>
      </c>
      <c r="V224" s="48"/>
      <c r="W224" s="48"/>
      <c r="X224" s="35"/>
      <c r="Y224" s="44"/>
      <c r="Z224" s="35"/>
      <c r="AA224" s="35"/>
      <c r="AB224" s="45">
        <v>61092</v>
      </c>
      <c r="AC224" s="65"/>
      <c r="AD224" s="45">
        <v>38253</v>
      </c>
      <c r="AE224" s="65"/>
      <c r="AF224" s="45">
        <v>0</v>
      </c>
      <c r="AG224" s="65"/>
      <c r="AH224" s="48">
        <f t="shared" si="10"/>
        <v>5495662</v>
      </c>
      <c r="AI224" s="48"/>
      <c r="AJ224" s="48">
        <v>0</v>
      </c>
      <c r="AK224" s="48"/>
      <c r="AL224" s="45">
        <v>110000</v>
      </c>
      <c r="AM224" s="45"/>
      <c r="AN224" s="45">
        <v>2692555</v>
      </c>
      <c r="AO224" s="45"/>
      <c r="AP224" s="45">
        <v>0</v>
      </c>
      <c r="AQ224" s="45"/>
      <c r="AR224" s="45">
        <f>+'GVFund Rev'!U224+'GVFund Rev'!W224-'GVFund Exp'!AH224-'GVFund Exp'!AL224+AJ224+AN224+AP224-'GV Fund BS'!S224</f>
        <v>0</v>
      </c>
      <c r="AS224" s="48"/>
    </row>
    <row r="225" spans="1:46" s="44" customFormat="1" ht="12.75" customHeight="1">
      <c r="A225" s="35" t="s">
        <v>159</v>
      </c>
      <c r="C225" s="35" t="s">
        <v>66</v>
      </c>
      <c r="E225" s="45">
        <v>1209862</v>
      </c>
      <c r="F225" s="48"/>
      <c r="G225" s="45">
        <v>1793432</v>
      </c>
      <c r="H225" s="48"/>
      <c r="I225" s="45">
        <v>421479</v>
      </c>
      <c r="J225" s="48"/>
      <c r="K225" s="45">
        <v>13737</v>
      </c>
      <c r="L225" s="48"/>
      <c r="M225" s="45">
        <v>647964</v>
      </c>
      <c r="N225" s="48"/>
      <c r="O225" s="45">
        <v>102473</v>
      </c>
      <c r="P225" s="48"/>
      <c r="Q225" s="45"/>
      <c r="R225" s="48"/>
      <c r="S225" s="45">
        <v>0</v>
      </c>
      <c r="T225" s="48"/>
      <c r="U225" s="45">
        <v>0</v>
      </c>
      <c r="V225" s="48"/>
      <c r="W225" s="48"/>
      <c r="X225" s="35"/>
      <c r="Z225" s="35"/>
      <c r="AA225" s="35"/>
      <c r="AB225" s="45">
        <v>124872</v>
      </c>
      <c r="AC225" s="65"/>
      <c r="AD225" s="45">
        <v>74919</v>
      </c>
      <c r="AE225" s="65"/>
      <c r="AF225" s="45">
        <v>0</v>
      </c>
      <c r="AG225" s="65"/>
      <c r="AH225" s="48">
        <f>SUM(E225:AF225)</f>
        <v>4388738</v>
      </c>
      <c r="AI225" s="48"/>
      <c r="AJ225" s="48">
        <v>0</v>
      </c>
      <c r="AK225" s="48"/>
      <c r="AL225" s="45">
        <v>120942</v>
      </c>
      <c r="AM225" s="45"/>
      <c r="AN225" s="45">
        <v>1454913</v>
      </c>
      <c r="AO225" s="45"/>
      <c r="AP225" s="45">
        <v>0</v>
      </c>
      <c r="AQ225" s="45"/>
      <c r="AR225" s="45">
        <f>+'GVFund Rev'!U225+'GVFund Rev'!W225-'GVFund Exp'!AH225-'GVFund Exp'!AL225+AJ225+AN225+AP225-'GV Fund BS'!S225</f>
        <v>0</v>
      </c>
      <c r="AS225" s="48"/>
    </row>
    <row r="226" spans="1:46" s="44" customFormat="1" ht="12.75" customHeight="1">
      <c r="A226" s="35" t="s">
        <v>255</v>
      </c>
      <c r="C226" s="35" t="s">
        <v>27</v>
      </c>
      <c r="E226" s="45">
        <v>1754841</v>
      </c>
      <c r="F226" s="48"/>
      <c r="G226" s="45">
        <v>8269898</v>
      </c>
      <c r="H226" s="48"/>
      <c r="I226" s="45">
        <v>5228094</v>
      </c>
      <c r="J226" s="48"/>
      <c r="K226" s="45">
        <v>50926</v>
      </c>
      <c r="L226" s="48"/>
      <c r="M226" s="45">
        <v>1370077</v>
      </c>
      <c r="N226" s="48"/>
      <c r="O226" s="45">
        <v>395212</v>
      </c>
      <c r="P226" s="48"/>
      <c r="Q226" s="45">
        <v>2376918</v>
      </c>
      <c r="R226" s="48"/>
      <c r="S226" s="45">
        <v>569666</v>
      </c>
      <c r="T226" s="48"/>
      <c r="U226" s="45">
        <v>0</v>
      </c>
      <c r="V226" s="48"/>
      <c r="W226" s="48"/>
      <c r="X226" s="35"/>
      <c r="Z226" s="35"/>
      <c r="AA226" s="35"/>
      <c r="AB226" s="45">
        <v>3073090</v>
      </c>
      <c r="AC226" s="65"/>
      <c r="AD226" s="45">
        <v>243337</v>
      </c>
      <c r="AE226" s="65"/>
      <c r="AF226" s="45">
        <v>0</v>
      </c>
      <c r="AG226" s="65"/>
      <c r="AH226" s="48">
        <f t="shared" si="10"/>
        <v>23332059</v>
      </c>
      <c r="AI226" s="48"/>
      <c r="AJ226" s="48">
        <v>0</v>
      </c>
      <c r="AK226" s="48"/>
      <c r="AL226" s="45">
        <v>3424727</v>
      </c>
      <c r="AM226" s="45"/>
      <c r="AN226" s="45">
        <v>1774989</v>
      </c>
      <c r="AO226" s="45"/>
      <c r="AP226" s="45">
        <v>28091</v>
      </c>
      <c r="AQ226" s="45"/>
      <c r="AR226" s="45">
        <f>+'GVFund Rev'!U226+'GVFund Rev'!W226-'GVFund Exp'!AH226-'GVFund Exp'!AL226+AJ226+AN226+AP226-'GV Fund BS'!S226</f>
        <v>0</v>
      </c>
      <c r="AS226" s="160"/>
      <c r="AT226" s="160"/>
    </row>
    <row r="227" spans="1:46" s="44" customFormat="1" ht="12.75" customHeight="1">
      <c r="A227" s="35" t="s">
        <v>256</v>
      </c>
      <c r="C227" s="35" t="s">
        <v>43</v>
      </c>
      <c r="E227" s="45">
        <v>8510103</v>
      </c>
      <c r="F227" s="48"/>
      <c r="G227" s="45">
        <v>15188400</v>
      </c>
      <c r="H227" s="48"/>
      <c r="I227" s="45">
        <v>968152</v>
      </c>
      <c r="J227" s="48"/>
      <c r="K227" s="45">
        <v>0</v>
      </c>
      <c r="L227" s="48"/>
      <c r="M227" s="45">
        <v>0</v>
      </c>
      <c r="N227" s="48"/>
      <c r="O227" s="45">
        <v>3147033</v>
      </c>
      <c r="P227" s="48"/>
      <c r="Q227" s="45">
        <v>2997856</v>
      </c>
      <c r="R227" s="48"/>
      <c r="S227" s="45">
        <v>7114097</v>
      </c>
      <c r="T227" s="48"/>
      <c r="U227" s="45">
        <v>0</v>
      </c>
      <c r="V227" s="48"/>
      <c r="W227" s="48"/>
      <c r="X227" s="35"/>
      <c r="Z227" s="35"/>
      <c r="AA227" s="35"/>
      <c r="AB227" s="45">
        <v>4964359</v>
      </c>
      <c r="AC227" s="65"/>
      <c r="AD227" s="45">
        <f>1226708+120112</f>
        <v>1346820</v>
      </c>
      <c r="AE227" s="65"/>
      <c r="AF227" s="45">
        <v>0</v>
      </c>
      <c r="AG227" s="65"/>
      <c r="AH227" s="48">
        <f>SUM(E227:AF227)</f>
        <v>44236820</v>
      </c>
      <c r="AI227" s="48"/>
      <c r="AJ227" s="48">
        <v>0</v>
      </c>
      <c r="AK227" s="48"/>
      <c r="AL227" s="45">
        <v>3395661</v>
      </c>
      <c r="AM227" s="45"/>
      <c r="AN227" s="45">
        <v>44806193</v>
      </c>
      <c r="AO227" s="45"/>
      <c r="AP227" s="45">
        <v>0</v>
      </c>
      <c r="AQ227" s="45"/>
      <c r="AR227" s="45">
        <f>+'GVFund Rev'!U227+'GVFund Rev'!W227-'GVFund Exp'!AH227-'GVFund Exp'!AL227+AJ227+AN227+AP227-'GV Fund BS'!S227</f>
        <v>0</v>
      </c>
      <c r="AS227" s="48"/>
    </row>
    <row r="228" spans="1:46" s="44" customFormat="1" ht="12.75" customHeight="1">
      <c r="A228" s="35" t="s">
        <v>257</v>
      </c>
      <c r="C228" s="35" t="s">
        <v>258</v>
      </c>
      <c r="E228" s="45">
        <f>692549+762999</f>
        <v>1455548</v>
      </c>
      <c r="F228" s="48"/>
      <c r="G228" s="45">
        <v>1713404</v>
      </c>
      <c r="H228" s="48"/>
      <c r="I228" s="45">
        <v>126210</v>
      </c>
      <c r="J228" s="48"/>
      <c r="K228" s="45">
        <v>42899</v>
      </c>
      <c r="L228" s="48"/>
      <c r="M228" s="45">
        <v>571284</v>
      </c>
      <c r="N228" s="48"/>
      <c r="O228" s="45">
        <v>650003</v>
      </c>
      <c r="P228" s="48"/>
      <c r="Q228" s="45">
        <v>3153</v>
      </c>
      <c r="R228" s="48"/>
      <c r="S228" s="45">
        <v>0</v>
      </c>
      <c r="T228" s="48"/>
      <c r="U228" s="45">
        <v>0</v>
      </c>
      <c r="V228" s="48"/>
      <c r="W228" s="48"/>
      <c r="X228" s="35"/>
      <c r="Z228" s="35"/>
      <c r="AA228" s="35"/>
      <c r="AB228" s="45">
        <v>481914</v>
      </c>
      <c r="AC228" s="65"/>
      <c r="AD228" s="45">
        <v>289982</v>
      </c>
      <c r="AE228" s="65"/>
      <c r="AF228" s="45">
        <v>0</v>
      </c>
      <c r="AG228" s="65"/>
      <c r="AH228" s="48">
        <f>SUM(E228:AF228)</f>
        <v>5334397</v>
      </c>
      <c r="AI228" s="48"/>
      <c r="AJ228" s="48">
        <v>0</v>
      </c>
      <c r="AK228" s="48"/>
      <c r="AL228" s="45">
        <v>1103299</v>
      </c>
      <c r="AM228" s="45"/>
      <c r="AN228" s="45">
        <v>1473283</v>
      </c>
      <c r="AO228" s="45"/>
      <c r="AP228" s="45">
        <v>-1469</v>
      </c>
      <c r="AQ228" s="45"/>
      <c r="AR228" s="45">
        <f>+'GVFund Rev'!U228+'GVFund Rev'!W228-'GVFund Exp'!AH228-'GVFund Exp'!AL228+AJ228+AN228+AP228-'GV Fund BS'!S228</f>
        <v>0</v>
      </c>
      <c r="AS228" s="48"/>
    </row>
    <row r="229" spans="1:46" s="44" customFormat="1" ht="12.75" customHeight="1">
      <c r="A229" s="35" t="s">
        <v>259</v>
      </c>
      <c r="C229" s="35" t="s">
        <v>346</v>
      </c>
      <c r="E229" s="45">
        <v>1986332</v>
      </c>
      <c r="F229" s="48"/>
      <c r="G229" s="45">
        <v>4913657</v>
      </c>
      <c r="H229" s="48"/>
      <c r="I229" s="45">
        <v>223536</v>
      </c>
      <c r="J229" s="48"/>
      <c r="K229" s="45">
        <v>246845</v>
      </c>
      <c r="L229" s="48"/>
      <c r="M229" s="45">
        <v>1188929</v>
      </c>
      <c r="N229" s="48"/>
      <c r="O229" s="45">
        <v>344490</v>
      </c>
      <c r="P229" s="48"/>
      <c r="Q229" s="45">
        <v>0</v>
      </c>
      <c r="R229" s="48"/>
      <c r="S229" s="45">
        <v>2075152</v>
      </c>
      <c r="T229" s="48"/>
      <c r="U229" s="45">
        <v>0</v>
      </c>
      <c r="V229" s="48"/>
      <c r="W229" s="48"/>
      <c r="X229" s="35"/>
      <c r="Z229" s="35"/>
      <c r="AA229" s="35"/>
      <c r="AB229" s="45">
        <v>432401</v>
      </c>
      <c r="AC229" s="65"/>
      <c r="AD229" s="45">
        <v>140697</v>
      </c>
      <c r="AE229" s="65"/>
      <c r="AF229" s="45">
        <v>0</v>
      </c>
      <c r="AG229" s="65"/>
      <c r="AH229" s="48">
        <f t="shared" si="10"/>
        <v>11552039</v>
      </c>
      <c r="AI229" s="48"/>
      <c r="AJ229" s="48">
        <v>0</v>
      </c>
      <c r="AK229" s="48"/>
      <c r="AL229" s="45">
        <v>300000</v>
      </c>
      <c r="AM229" s="45"/>
      <c r="AN229" s="45">
        <v>4915371</v>
      </c>
      <c r="AO229" s="45"/>
      <c r="AP229" s="45">
        <v>0</v>
      </c>
      <c r="AQ229" s="45"/>
      <c r="AR229" s="45">
        <f>+'GVFund Rev'!U229+'GVFund Rev'!W229-'GVFund Exp'!AH229-'GVFund Exp'!AL229+AJ229+AN229+AP229-'GV Fund BS'!S229</f>
        <v>0</v>
      </c>
      <c r="AS229" s="48"/>
    </row>
    <row r="230" spans="1:46" s="44" customFormat="1" ht="12.75" customHeight="1">
      <c r="A230" s="35" t="s">
        <v>261</v>
      </c>
      <c r="C230" s="35" t="s">
        <v>66</v>
      </c>
      <c r="E230" s="45">
        <f>3920939+2155336</f>
        <v>6076275</v>
      </c>
      <c r="F230" s="48"/>
      <c r="G230" s="45">
        <f>4248735+1857200</f>
        <v>6105935</v>
      </c>
      <c r="H230" s="48"/>
      <c r="I230" s="45">
        <v>0</v>
      </c>
      <c r="J230" s="48"/>
      <c r="K230" s="45">
        <v>0</v>
      </c>
      <c r="L230" s="48"/>
      <c r="M230" s="45">
        <v>0</v>
      </c>
      <c r="N230" s="48"/>
      <c r="O230" s="45">
        <v>3418795</v>
      </c>
      <c r="P230" s="48"/>
      <c r="Q230" s="45">
        <f>1027815+1671014+754679</f>
        <v>3453508</v>
      </c>
      <c r="R230" s="48"/>
      <c r="S230" s="45">
        <v>3787251</v>
      </c>
      <c r="T230" s="48"/>
      <c r="U230" s="45">
        <v>0</v>
      </c>
      <c r="V230" s="48"/>
      <c r="W230" s="48"/>
      <c r="X230" s="35"/>
      <c r="Z230" s="35"/>
      <c r="AA230" s="35"/>
      <c r="AB230" s="45">
        <v>632844</v>
      </c>
      <c r="AC230" s="65"/>
      <c r="AD230" s="45">
        <v>606004</v>
      </c>
      <c r="AE230" s="65"/>
      <c r="AF230" s="45">
        <v>0</v>
      </c>
      <c r="AG230" s="65"/>
      <c r="AH230" s="48">
        <f t="shared" si="10"/>
        <v>24080612</v>
      </c>
      <c r="AI230" s="48"/>
      <c r="AJ230" s="48">
        <v>0</v>
      </c>
      <c r="AK230" s="48"/>
      <c r="AL230" s="45">
        <v>4439244</v>
      </c>
      <c r="AM230" s="45"/>
      <c r="AN230" s="45">
        <v>24501250</v>
      </c>
      <c r="AO230" s="45"/>
      <c r="AP230" s="45">
        <v>0</v>
      </c>
      <c r="AQ230" s="45"/>
      <c r="AR230" s="45">
        <f>+'GVFund Rev'!U230+'GVFund Rev'!W230-'GVFund Exp'!AH230-'GVFund Exp'!AL230+AJ230+AN230+AP230-'GV Fund BS'!S230</f>
        <v>0</v>
      </c>
      <c r="AS230" s="48"/>
    </row>
    <row r="231" spans="1:46" s="44" customFormat="1" ht="12.75" hidden="1" customHeight="1">
      <c r="A231" s="35" t="s">
        <v>262</v>
      </c>
      <c r="C231" s="35" t="s">
        <v>132</v>
      </c>
      <c r="E231" s="45"/>
      <c r="F231" s="48"/>
      <c r="G231" s="45"/>
      <c r="H231" s="48"/>
      <c r="I231" s="45"/>
      <c r="J231" s="48"/>
      <c r="K231" s="45"/>
      <c r="L231" s="48"/>
      <c r="M231" s="45"/>
      <c r="N231" s="48"/>
      <c r="O231" s="45"/>
      <c r="P231" s="48"/>
      <c r="Q231" s="45"/>
      <c r="R231" s="48"/>
      <c r="S231" s="45"/>
      <c r="T231" s="48"/>
      <c r="U231" s="45"/>
      <c r="V231" s="48"/>
      <c r="W231" s="48"/>
      <c r="X231" s="35"/>
      <c r="Z231" s="35"/>
      <c r="AA231" s="35"/>
      <c r="AB231" s="45"/>
      <c r="AC231" s="65"/>
      <c r="AD231" s="45"/>
      <c r="AE231" s="65"/>
      <c r="AF231" s="45"/>
      <c r="AG231" s="65"/>
      <c r="AH231" s="48">
        <f t="shared" si="10"/>
        <v>0</v>
      </c>
      <c r="AI231" s="48"/>
      <c r="AJ231" s="48">
        <v>0</v>
      </c>
      <c r="AK231" s="48"/>
      <c r="AL231" s="45"/>
      <c r="AM231" s="45"/>
      <c r="AN231" s="45"/>
      <c r="AO231" s="45"/>
      <c r="AP231" s="45"/>
      <c r="AQ231" s="45"/>
      <c r="AR231" s="45">
        <f>+'GVFund Rev'!U231+'GVFund Rev'!W231-'GVFund Exp'!AH231-'GVFund Exp'!AL231+AJ231+AN231+AP231-'GV Fund BS'!S231</f>
        <v>0</v>
      </c>
      <c r="AS231" s="48"/>
    </row>
    <row r="232" spans="1:46" s="44" customFormat="1" ht="12.75" customHeight="1">
      <c r="A232" s="35" t="s">
        <v>263</v>
      </c>
      <c r="C232" s="35" t="s">
        <v>53</v>
      </c>
      <c r="E232" s="45">
        <v>6118002</v>
      </c>
      <c r="F232" s="48"/>
      <c r="G232" s="45">
        <v>5643693</v>
      </c>
      <c r="H232" s="48"/>
      <c r="I232" s="45">
        <v>739088</v>
      </c>
      <c r="J232" s="48"/>
      <c r="K232" s="45">
        <v>95258</v>
      </c>
      <c r="L232" s="48"/>
      <c r="M232" s="45">
        <v>2314431</v>
      </c>
      <c r="N232" s="48"/>
      <c r="O232" s="45">
        <v>2103211</v>
      </c>
      <c r="P232" s="48"/>
      <c r="Q232" s="45">
        <v>7928</v>
      </c>
      <c r="R232" s="48"/>
      <c r="S232" s="45">
        <v>2591116</v>
      </c>
      <c r="T232" s="48"/>
      <c r="U232" s="45">
        <v>11057</v>
      </c>
      <c r="V232" s="48"/>
      <c r="W232" s="48"/>
      <c r="X232" s="35"/>
      <c r="Z232" s="35"/>
      <c r="AA232" s="35"/>
      <c r="AB232" s="45">
        <v>356987</v>
      </c>
      <c r="AC232" s="65"/>
      <c r="AD232" s="45">
        <v>152676</v>
      </c>
      <c r="AE232" s="65"/>
      <c r="AF232" s="45">
        <v>0</v>
      </c>
      <c r="AG232" s="65"/>
      <c r="AH232" s="48">
        <f t="shared" ref="AH232:AH255" si="11">SUM(E232:AF232)</f>
        <v>20133447</v>
      </c>
      <c r="AI232" s="48"/>
      <c r="AJ232" s="48">
        <v>0</v>
      </c>
      <c r="AK232" s="48"/>
      <c r="AL232" s="45">
        <v>5611000</v>
      </c>
      <c r="AM232" s="45"/>
      <c r="AN232" s="45">
        <v>14095624</v>
      </c>
      <c r="AO232" s="45"/>
      <c r="AP232" s="45">
        <v>0</v>
      </c>
      <c r="AQ232" s="45"/>
      <c r="AR232" s="45">
        <f>+'GVFund Rev'!U232+'GVFund Rev'!W232-'GVFund Exp'!AH232-'GVFund Exp'!AL232+AJ232+AN232+AP232-'GV Fund BS'!S232</f>
        <v>0</v>
      </c>
      <c r="AS232" s="48"/>
    </row>
    <row r="233" spans="1:46" s="44" customFormat="1" ht="12.75" customHeight="1">
      <c r="A233" s="35" t="s">
        <v>264</v>
      </c>
      <c r="C233" s="35" t="s">
        <v>239</v>
      </c>
      <c r="E233" s="45">
        <v>472094</v>
      </c>
      <c r="F233" s="48"/>
      <c r="G233" s="45">
        <f>1335039+1228768+27847</f>
        <v>2591654</v>
      </c>
      <c r="H233" s="48"/>
      <c r="I233" s="45">
        <v>105721</v>
      </c>
      <c r="J233" s="48"/>
      <c r="K233" s="45">
        <v>270897</v>
      </c>
      <c r="L233" s="48"/>
      <c r="M233" s="45">
        <v>1790505</v>
      </c>
      <c r="N233" s="48"/>
      <c r="O233" s="45">
        <v>1874381</v>
      </c>
      <c r="P233" s="48"/>
      <c r="Q233" s="45">
        <v>0</v>
      </c>
      <c r="R233" s="48"/>
      <c r="S233" s="45">
        <v>0</v>
      </c>
      <c r="T233" s="48"/>
      <c r="U233" s="45">
        <v>0</v>
      </c>
      <c r="V233" s="48"/>
      <c r="W233" s="48"/>
      <c r="X233" s="35"/>
      <c r="Z233" s="35"/>
      <c r="AA233" s="35"/>
      <c r="AB233" s="45">
        <v>449624</v>
      </c>
      <c r="AC233" s="65"/>
      <c r="AD233" s="45">
        <v>61042</v>
      </c>
      <c r="AE233" s="65"/>
      <c r="AF233" s="45">
        <v>0</v>
      </c>
      <c r="AG233" s="65"/>
      <c r="AH233" s="48">
        <f t="shared" si="11"/>
        <v>7615918</v>
      </c>
      <c r="AI233" s="48"/>
      <c r="AJ233" s="48">
        <v>0</v>
      </c>
      <c r="AK233" s="48"/>
      <c r="AL233" s="45">
        <v>1665000</v>
      </c>
      <c r="AM233" s="45"/>
      <c r="AN233" s="45">
        <v>7886452</v>
      </c>
      <c r="AO233" s="45"/>
      <c r="AP233" s="45">
        <v>-2082</v>
      </c>
      <c r="AQ233" s="45"/>
      <c r="AR233" s="45">
        <f>+'GVFund Rev'!U233+'GVFund Rev'!W233-'GVFund Exp'!AH233-'GVFund Exp'!AL233+AJ233+AN233+AP233-'GV Fund BS'!S233</f>
        <v>0</v>
      </c>
      <c r="AS233" s="48"/>
    </row>
    <row r="234" spans="1:46" s="44" customFormat="1" ht="12.75" customHeight="1">
      <c r="A234" s="35" t="s">
        <v>111</v>
      </c>
      <c r="C234" s="44" t="s">
        <v>80</v>
      </c>
      <c r="E234" s="45">
        <v>7939782</v>
      </c>
      <c r="F234" s="48"/>
      <c r="G234" s="45">
        <v>17976545</v>
      </c>
      <c r="H234" s="48"/>
      <c r="I234" s="45">
        <v>1909315</v>
      </c>
      <c r="J234" s="48"/>
      <c r="K234" s="45">
        <v>1242486</v>
      </c>
      <c r="L234" s="48"/>
      <c r="M234" s="45">
        <v>2391917</v>
      </c>
      <c r="N234" s="48"/>
      <c r="O234" s="45">
        <v>656999</v>
      </c>
      <c r="P234" s="48"/>
      <c r="Q234" s="45">
        <v>2966215</v>
      </c>
      <c r="R234" s="48"/>
      <c r="S234" s="45">
        <v>2782967</v>
      </c>
      <c r="T234" s="48"/>
      <c r="U234" s="45">
        <v>0</v>
      </c>
      <c r="V234" s="48"/>
      <c r="W234" s="48"/>
      <c r="X234" s="35"/>
      <c r="Z234" s="35"/>
      <c r="AA234" s="35"/>
      <c r="AB234" s="45">
        <v>1538405</v>
      </c>
      <c r="AC234" s="65"/>
      <c r="AD234" s="45">
        <v>585924</v>
      </c>
      <c r="AE234" s="65"/>
      <c r="AF234" s="45">
        <v>0</v>
      </c>
      <c r="AG234" s="65"/>
      <c r="AH234" s="48">
        <f>SUM(E234:AF234)</f>
        <v>39990555</v>
      </c>
      <c r="AI234" s="48"/>
      <c r="AJ234" s="48">
        <v>0</v>
      </c>
      <c r="AK234" s="48"/>
      <c r="AL234" s="45">
        <v>1654843</v>
      </c>
      <c r="AM234" s="45"/>
      <c r="AN234" s="45">
        <v>14241461</v>
      </c>
      <c r="AO234" s="45"/>
      <c r="AP234" s="45">
        <v>0</v>
      </c>
      <c r="AQ234" s="45"/>
      <c r="AR234" s="45">
        <f>+'GVFund Rev'!U234+'GVFund Rev'!W234-'GVFund Exp'!AH234-'GVFund Exp'!AL234+AJ234+AN234+AP234-'GV Fund BS'!S234</f>
        <v>0</v>
      </c>
      <c r="AS234" s="48"/>
    </row>
    <row r="235" spans="1:46" s="44" customFormat="1" ht="12.75" customHeight="1">
      <c r="A235" s="35" t="s">
        <v>265</v>
      </c>
      <c r="C235" s="44" t="s">
        <v>27</v>
      </c>
      <c r="E235" s="45">
        <v>2947051</v>
      </c>
      <c r="F235" s="48"/>
      <c r="G235" s="45">
        <f>5826037+3726265</f>
        <v>9552302</v>
      </c>
      <c r="H235" s="48"/>
      <c r="I235" s="45">
        <v>1267359</v>
      </c>
      <c r="J235" s="48"/>
      <c r="K235" s="45">
        <v>54392</v>
      </c>
      <c r="L235" s="48"/>
      <c r="M235" s="45">
        <v>1593785</v>
      </c>
      <c r="N235" s="48"/>
      <c r="O235" s="45">
        <v>301870</v>
      </c>
      <c r="P235" s="48"/>
      <c r="Q235" s="45">
        <v>1677865</v>
      </c>
      <c r="R235" s="48"/>
      <c r="S235" s="45">
        <v>760435</v>
      </c>
      <c r="T235" s="48"/>
      <c r="U235" s="45">
        <v>0</v>
      </c>
      <c r="V235" s="48"/>
      <c r="W235" s="48"/>
      <c r="X235" s="35"/>
      <c r="Z235" s="35"/>
      <c r="AA235" s="35"/>
      <c r="AB235" s="45">
        <v>730000</v>
      </c>
      <c r="AC235" s="65"/>
      <c r="AD235" s="45">
        <v>610612</v>
      </c>
      <c r="AE235" s="65"/>
      <c r="AF235" s="45">
        <v>0</v>
      </c>
      <c r="AG235" s="65"/>
      <c r="AH235" s="48">
        <f t="shared" si="11"/>
        <v>19495671</v>
      </c>
      <c r="AI235" s="48"/>
      <c r="AJ235" s="48">
        <v>0</v>
      </c>
      <c r="AK235" s="48"/>
      <c r="AL235" s="45">
        <f>9602000+130640</f>
        <v>9732640</v>
      </c>
      <c r="AM235" s="45"/>
      <c r="AN235" s="45">
        <v>-1438487</v>
      </c>
      <c r="AO235" s="45"/>
      <c r="AP235" s="45">
        <v>0</v>
      </c>
      <c r="AQ235" s="45"/>
      <c r="AR235" s="45">
        <f>+'GVFund Rev'!U235+'GVFund Rev'!W235-'GVFund Exp'!AH235-'GVFund Exp'!AL235+AJ235+AN235+AP235-'GV Fund BS'!S235</f>
        <v>0</v>
      </c>
      <c r="AS235" s="48"/>
    </row>
    <row r="236" spans="1:46" s="44" customFormat="1" ht="12.75" customHeight="1">
      <c r="A236" s="35" t="s">
        <v>40</v>
      </c>
      <c r="C236" s="47" t="s">
        <v>451</v>
      </c>
      <c r="E236" s="45">
        <v>3096320</v>
      </c>
      <c r="F236" s="48"/>
      <c r="G236" s="45">
        <v>4212907</v>
      </c>
      <c r="H236" s="48"/>
      <c r="I236" s="45">
        <v>1541429</v>
      </c>
      <c r="J236" s="48"/>
      <c r="K236" s="45">
        <v>310051</v>
      </c>
      <c r="L236" s="48"/>
      <c r="M236" s="45">
        <v>1388673</v>
      </c>
      <c r="N236" s="48"/>
      <c r="O236" s="45">
        <v>66154</v>
      </c>
      <c r="P236" s="48"/>
      <c r="Q236" s="45">
        <v>0</v>
      </c>
      <c r="R236" s="48"/>
      <c r="S236" s="45">
        <v>3962362</v>
      </c>
      <c r="T236" s="48"/>
      <c r="U236" s="45">
        <v>0</v>
      </c>
      <c r="V236" s="48"/>
      <c r="W236" s="48"/>
      <c r="X236" s="35"/>
      <c r="Z236" s="35"/>
      <c r="AA236" s="35"/>
      <c r="AB236" s="45">
        <v>270000</v>
      </c>
      <c r="AC236" s="65"/>
      <c r="AD236" s="45">
        <v>762781</v>
      </c>
      <c r="AE236" s="65"/>
      <c r="AF236" s="45">
        <v>0</v>
      </c>
      <c r="AG236" s="65"/>
      <c r="AH236" s="48">
        <f t="shared" si="11"/>
        <v>15610677</v>
      </c>
      <c r="AI236" s="48"/>
      <c r="AJ236" s="48">
        <v>0</v>
      </c>
      <c r="AK236" s="48"/>
      <c r="AL236" s="45">
        <v>109362</v>
      </c>
      <c r="AM236" s="45"/>
      <c r="AN236" s="45">
        <v>11232178</v>
      </c>
      <c r="AO236" s="45"/>
      <c r="AP236" s="45">
        <v>0</v>
      </c>
      <c r="AQ236" s="45"/>
      <c r="AR236" s="45">
        <f>+'GVFund Rev'!U236+'GVFund Rev'!W236-'GVFund Exp'!AH236-'GVFund Exp'!AL236+AJ236+AN236+AP236-'GV Fund BS'!S236</f>
        <v>0</v>
      </c>
      <c r="AS236" s="48"/>
    </row>
    <row r="237" spans="1:46" s="44" customFormat="1" ht="12.75" customHeight="1">
      <c r="A237" s="64" t="s">
        <v>266</v>
      </c>
      <c r="B237" s="46"/>
      <c r="C237" s="64" t="s">
        <v>267</v>
      </c>
      <c r="D237" s="46"/>
      <c r="E237" s="45">
        <v>730902</v>
      </c>
      <c r="F237" s="48"/>
      <c r="G237" s="45">
        <v>2239721</v>
      </c>
      <c r="H237" s="48"/>
      <c r="I237" s="45">
        <v>262296</v>
      </c>
      <c r="J237" s="48"/>
      <c r="K237" s="45">
        <v>0</v>
      </c>
      <c r="L237" s="48"/>
      <c r="M237" s="45">
        <v>607397</v>
      </c>
      <c r="N237" s="48"/>
      <c r="O237" s="45">
        <v>658821</v>
      </c>
      <c r="P237" s="48"/>
      <c r="Q237" s="45">
        <v>43916</v>
      </c>
      <c r="R237" s="48"/>
      <c r="S237" s="45">
        <v>992986</v>
      </c>
      <c r="T237" s="48"/>
      <c r="U237" s="45">
        <v>0</v>
      </c>
      <c r="V237" s="48"/>
      <c r="W237" s="48"/>
      <c r="X237" s="35"/>
      <c r="Z237" s="35"/>
      <c r="AA237" s="35"/>
      <c r="AB237" s="45">
        <v>300000</v>
      </c>
      <c r="AC237" s="65"/>
      <c r="AD237" s="45">
        <v>150668</v>
      </c>
      <c r="AE237" s="65"/>
      <c r="AF237" s="45">
        <v>0</v>
      </c>
      <c r="AG237" s="65"/>
      <c r="AH237" s="48">
        <f t="shared" si="11"/>
        <v>5986707</v>
      </c>
      <c r="AI237" s="48"/>
      <c r="AJ237" s="48">
        <v>0</v>
      </c>
      <c r="AK237" s="48"/>
      <c r="AL237" s="45">
        <v>69789</v>
      </c>
      <c r="AM237" s="45"/>
      <c r="AN237" s="45">
        <v>5277154</v>
      </c>
      <c r="AO237" s="45"/>
      <c r="AP237" s="45">
        <v>36310</v>
      </c>
      <c r="AQ237" s="45"/>
      <c r="AR237" s="45">
        <f>+'GVFund Rev'!U237+'GVFund Rev'!W237-'GVFund Exp'!AH237-'GVFund Exp'!AL237+AJ237+AN237+AP237-'GV Fund BS'!S237</f>
        <v>0</v>
      </c>
      <c r="AS237" s="48"/>
    </row>
    <row r="238" spans="1:46" s="46" customFormat="1" ht="12.75" customHeight="1">
      <c r="A238" s="35" t="s">
        <v>268</v>
      </c>
      <c r="B238" s="44"/>
      <c r="C238" s="35" t="s">
        <v>269</v>
      </c>
      <c r="D238" s="44"/>
      <c r="E238" s="45">
        <v>980104</v>
      </c>
      <c r="F238" s="48"/>
      <c r="G238" s="45">
        <v>1623317</v>
      </c>
      <c r="H238" s="48"/>
      <c r="I238" s="45">
        <v>3907</v>
      </c>
      <c r="J238" s="48"/>
      <c r="K238" s="45">
        <v>1470</v>
      </c>
      <c r="L238" s="48"/>
      <c r="M238" s="45">
        <v>578254</v>
      </c>
      <c r="N238" s="48"/>
      <c r="O238" s="45">
        <v>7975</v>
      </c>
      <c r="P238" s="48"/>
      <c r="Q238" s="45">
        <v>0</v>
      </c>
      <c r="R238" s="48"/>
      <c r="S238" s="45">
        <v>747268</v>
      </c>
      <c r="T238" s="48"/>
      <c r="U238" s="45">
        <v>0</v>
      </c>
      <c r="V238" s="48"/>
      <c r="W238" s="48"/>
      <c r="X238" s="35"/>
      <c r="Y238" s="44"/>
      <c r="Z238" s="35"/>
      <c r="AA238" s="35"/>
      <c r="AB238" s="45">
        <v>1036837</v>
      </c>
      <c r="AC238" s="65"/>
      <c r="AD238" s="45">
        <v>33581</v>
      </c>
      <c r="AE238" s="65"/>
      <c r="AF238" s="45">
        <v>0</v>
      </c>
      <c r="AG238" s="65"/>
      <c r="AH238" s="48">
        <f t="shared" si="11"/>
        <v>5012713</v>
      </c>
      <c r="AI238" s="48"/>
      <c r="AJ238" s="48">
        <v>0</v>
      </c>
      <c r="AK238" s="48"/>
      <c r="AL238" s="45">
        <v>1103575</v>
      </c>
      <c r="AM238" s="45"/>
      <c r="AN238" s="45">
        <v>1750147</v>
      </c>
      <c r="AO238" s="45"/>
      <c r="AP238" s="45">
        <v>0</v>
      </c>
      <c r="AQ238" s="45"/>
      <c r="AR238" s="45">
        <f>+'GVFund Rev'!U238+'GVFund Rev'!W238-'GVFund Exp'!AH238-'GVFund Exp'!AL238+AJ238+AN238+AP238-'GV Fund BS'!S238</f>
        <v>0</v>
      </c>
      <c r="AS238" s="48"/>
    </row>
    <row r="239" spans="1:46" s="44" customFormat="1" ht="12.75" hidden="1" customHeight="1">
      <c r="A239" s="35" t="s">
        <v>270</v>
      </c>
      <c r="C239" s="35" t="s">
        <v>136</v>
      </c>
      <c r="E239" s="45"/>
      <c r="F239" s="48"/>
      <c r="G239" s="45"/>
      <c r="H239" s="48"/>
      <c r="I239" s="45"/>
      <c r="J239" s="48"/>
      <c r="K239" s="45"/>
      <c r="L239" s="48"/>
      <c r="M239" s="45"/>
      <c r="N239" s="48"/>
      <c r="O239" s="45"/>
      <c r="P239" s="48"/>
      <c r="Q239" s="45"/>
      <c r="R239" s="48"/>
      <c r="S239" s="45"/>
      <c r="T239" s="48"/>
      <c r="U239" s="45"/>
      <c r="V239" s="48"/>
      <c r="W239" s="48"/>
      <c r="X239" s="35"/>
      <c r="Z239" s="35"/>
      <c r="AA239" s="35"/>
      <c r="AB239" s="45"/>
      <c r="AC239" s="65"/>
      <c r="AD239" s="45"/>
      <c r="AE239" s="65"/>
      <c r="AF239" s="45"/>
      <c r="AG239" s="65"/>
      <c r="AH239" s="48">
        <f>SUM(E239:AF239)</f>
        <v>0</v>
      </c>
      <c r="AI239" s="48"/>
      <c r="AJ239" s="48">
        <v>0</v>
      </c>
      <c r="AK239" s="48"/>
      <c r="AL239" s="45"/>
      <c r="AM239" s="45"/>
      <c r="AN239" s="45"/>
      <c r="AO239" s="45"/>
      <c r="AP239" s="45"/>
      <c r="AQ239" s="45"/>
      <c r="AR239" s="45">
        <f>+'GVFund Rev'!U239+'GVFund Rev'!W239-'GVFund Exp'!AH239-'GVFund Exp'!AL239+AJ239+AN239+AP239-'GV Fund BS'!S239</f>
        <v>0</v>
      </c>
      <c r="AS239" s="48"/>
    </row>
    <row r="240" spans="1:46" s="44" customFormat="1" ht="12.75" customHeight="1">
      <c r="A240" s="64" t="s">
        <v>271</v>
      </c>
      <c r="B240" s="46"/>
      <c r="C240" s="64" t="s">
        <v>66</v>
      </c>
      <c r="D240" s="46"/>
      <c r="E240" s="45">
        <v>1251992</v>
      </c>
      <c r="F240" s="48"/>
      <c r="G240" s="45">
        <v>4899645</v>
      </c>
      <c r="H240" s="48"/>
      <c r="I240" s="45">
        <v>2094794</v>
      </c>
      <c r="J240" s="48"/>
      <c r="K240" s="45">
        <v>0</v>
      </c>
      <c r="L240" s="48"/>
      <c r="M240" s="45">
        <v>792603</v>
      </c>
      <c r="N240" s="48"/>
      <c r="O240" s="45">
        <v>976786</v>
      </c>
      <c r="P240" s="48"/>
      <c r="Q240" s="45">
        <v>0</v>
      </c>
      <c r="R240" s="48"/>
      <c r="S240" s="45">
        <v>590097</v>
      </c>
      <c r="T240" s="48"/>
      <c r="U240" s="45">
        <v>0</v>
      </c>
      <c r="V240" s="48"/>
      <c r="W240" s="48"/>
      <c r="X240" s="35"/>
      <c r="Z240" s="35"/>
      <c r="AA240" s="35"/>
      <c r="AB240" s="45">
        <v>315000</v>
      </c>
      <c r="AC240" s="65"/>
      <c r="AD240" s="45">
        <v>175802</v>
      </c>
      <c r="AE240" s="65"/>
      <c r="AF240" s="45">
        <v>0</v>
      </c>
      <c r="AG240" s="65"/>
      <c r="AH240" s="48">
        <f t="shared" si="11"/>
        <v>11096719</v>
      </c>
      <c r="AI240" s="48"/>
      <c r="AJ240" s="48">
        <v>0</v>
      </c>
      <c r="AK240" s="48"/>
      <c r="AL240" s="45">
        <v>2652684</v>
      </c>
      <c r="AM240" s="45"/>
      <c r="AN240" s="45">
        <v>3931461</v>
      </c>
      <c r="AO240" s="45"/>
      <c r="AP240" s="45">
        <v>0</v>
      </c>
      <c r="AQ240" s="45"/>
      <c r="AR240" s="45">
        <f>+'GVFund Rev'!U240+'GVFund Rev'!W240-'GVFund Exp'!AH240-'GVFund Exp'!AL240+AJ240+AN240+AP240-'GV Fund BS'!S240</f>
        <v>0</v>
      </c>
      <c r="AS240" s="48"/>
    </row>
    <row r="241" spans="1:46" s="44" customFormat="1" ht="12.75" customHeight="1">
      <c r="A241" s="35" t="s">
        <v>272</v>
      </c>
      <c r="C241" s="35" t="s">
        <v>43</v>
      </c>
      <c r="E241" s="45">
        <v>10901565</v>
      </c>
      <c r="F241" s="48"/>
      <c r="G241" s="45">
        <v>23003087</v>
      </c>
      <c r="H241" s="48"/>
      <c r="I241" s="45">
        <v>2421397</v>
      </c>
      <c r="J241" s="48"/>
      <c r="K241" s="45">
        <v>53589</v>
      </c>
      <c r="L241" s="48"/>
      <c r="M241" s="45">
        <v>2183713</v>
      </c>
      <c r="N241" s="48"/>
      <c r="O241" s="45">
        <v>7229515</v>
      </c>
      <c r="P241" s="48"/>
      <c r="Q241" s="45">
        <v>571237</v>
      </c>
      <c r="R241" s="48"/>
      <c r="S241" s="45">
        <v>3874933</v>
      </c>
      <c r="T241" s="48"/>
      <c r="U241" s="45">
        <v>0</v>
      </c>
      <c r="V241" s="48"/>
      <c r="W241" s="48"/>
      <c r="X241" s="35"/>
      <c r="Z241" s="35"/>
      <c r="AA241" s="35"/>
      <c r="AB241" s="45">
        <v>1658981</v>
      </c>
      <c r="AC241" s="65"/>
      <c r="AD241" s="45">
        <v>1181804</v>
      </c>
      <c r="AE241" s="65"/>
      <c r="AF241" s="45">
        <v>0</v>
      </c>
      <c r="AG241" s="65"/>
      <c r="AH241" s="48">
        <f t="shared" si="11"/>
        <v>53079821</v>
      </c>
      <c r="AI241" s="48"/>
      <c r="AJ241" s="48">
        <v>0</v>
      </c>
      <c r="AK241" s="48"/>
      <c r="AL241" s="45">
        <v>11933847</v>
      </c>
      <c r="AM241" s="45"/>
      <c r="AN241" s="45">
        <v>43590823</v>
      </c>
      <c r="AO241" s="45"/>
      <c r="AP241" s="45">
        <v>0</v>
      </c>
      <c r="AQ241" s="45"/>
      <c r="AR241" s="45">
        <f>+'GVFund Rev'!U241+'GVFund Rev'!W241-'GVFund Exp'!AH241-'GVFund Exp'!AL241+AJ241+AN241+AP241-'GV Fund BS'!S241</f>
        <v>0</v>
      </c>
      <c r="AS241" s="48"/>
    </row>
    <row r="242" spans="1:46" s="44" customFormat="1" ht="12.75" customHeight="1">
      <c r="A242" s="35" t="s">
        <v>273</v>
      </c>
      <c r="C242" s="35" t="s">
        <v>27</v>
      </c>
      <c r="E242" s="45">
        <v>21996767</v>
      </c>
      <c r="F242" s="48"/>
      <c r="G242" s="45">
        <v>13994489</v>
      </c>
      <c r="H242" s="48"/>
      <c r="I242" s="45">
        <v>1399183</v>
      </c>
      <c r="J242" s="48"/>
      <c r="K242" s="45">
        <v>932305</v>
      </c>
      <c r="L242" s="48"/>
      <c r="M242" s="45">
        <v>6694353</v>
      </c>
      <c r="N242" s="48"/>
      <c r="O242" s="45">
        <v>3275678</v>
      </c>
      <c r="P242" s="48"/>
      <c r="Q242" s="45">
        <v>771254</v>
      </c>
      <c r="R242" s="48"/>
      <c r="S242" s="45">
        <v>8267256</v>
      </c>
      <c r="T242" s="48"/>
      <c r="U242" s="45">
        <v>0</v>
      </c>
      <c r="V242" s="48"/>
      <c r="W242" s="48"/>
      <c r="X242" s="35"/>
      <c r="Z242" s="35"/>
      <c r="AA242" s="35"/>
      <c r="AB242" s="45">
        <v>1463142</v>
      </c>
      <c r="AC242" s="65"/>
      <c r="AD242" s="45">
        <f>1093366+178495</f>
        <v>1271861</v>
      </c>
      <c r="AE242" s="65"/>
      <c r="AF242" s="45">
        <v>0</v>
      </c>
      <c r="AG242" s="65"/>
      <c r="AH242" s="48">
        <f t="shared" si="11"/>
        <v>60066288</v>
      </c>
      <c r="AI242" s="48"/>
      <c r="AJ242" s="48">
        <v>0</v>
      </c>
      <c r="AK242" s="48"/>
      <c r="AL242" s="45">
        <f>9814657+1966471</f>
        <v>11781128</v>
      </c>
      <c r="AM242" s="45"/>
      <c r="AN242" s="45">
        <v>64090513</v>
      </c>
      <c r="AO242" s="45"/>
      <c r="AP242" s="45">
        <v>0</v>
      </c>
      <c r="AQ242" s="45"/>
      <c r="AR242" s="45">
        <f>+'GVFund Rev'!U242+'GVFund Rev'!W242-'GVFund Exp'!AH242-'GVFund Exp'!AL242+AJ242+AN242+AP242-'GV Fund BS'!S242</f>
        <v>0</v>
      </c>
      <c r="AS242" s="48"/>
    </row>
    <row r="243" spans="1:46" s="44" customFormat="1" ht="12.75" customHeight="1">
      <c r="A243" s="35" t="s">
        <v>274</v>
      </c>
      <c r="C243" s="35" t="s">
        <v>43</v>
      </c>
      <c r="E243" s="45">
        <v>5186618</v>
      </c>
      <c r="F243" s="48"/>
      <c r="G243" s="45">
        <v>10190037</v>
      </c>
      <c r="H243" s="48"/>
      <c r="I243" s="45">
        <v>61247</v>
      </c>
      <c r="J243" s="48"/>
      <c r="K243" s="45">
        <v>124476</v>
      </c>
      <c r="L243" s="48"/>
      <c r="M243" s="45">
        <v>1474466</v>
      </c>
      <c r="N243" s="48"/>
      <c r="O243" s="45">
        <v>594411</v>
      </c>
      <c r="P243" s="48"/>
      <c r="Q243" s="45">
        <v>849300</v>
      </c>
      <c r="R243" s="48"/>
      <c r="S243" s="45">
        <v>1530477</v>
      </c>
      <c r="T243" s="48"/>
      <c r="U243" s="45">
        <v>0</v>
      </c>
      <c r="V243" s="48"/>
      <c r="W243" s="48"/>
      <c r="X243" s="35"/>
      <c r="Z243" s="35"/>
      <c r="AA243" s="35"/>
      <c r="AB243" s="45">
        <v>365981</v>
      </c>
      <c r="AC243" s="65"/>
      <c r="AD243" s="45">
        <v>117010</v>
      </c>
      <c r="AE243" s="65"/>
      <c r="AF243" s="45">
        <v>0</v>
      </c>
      <c r="AG243" s="65"/>
      <c r="AH243" s="48">
        <f t="shared" si="11"/>
        <v>20494023</v>
      </c>
      <c r="AI243" s="48"/>
      <c r="AJ243" s="48">
        <v>0</v>
      </c>
      <c r="AK243" s="48"/>
      <c r="AL243" s="45">
        <v>1109777</v>
      </c>
      <c r="AM243" s="45"/>
      <c r="AN243" s="45">
        <v>9908032</v>
      </c>
      <c r="AO243" s="45"/>
      <c r="AP243" s="45">
        <v>0</v>
      </c>
      <c r="AQ243" s="45"/>
      <c r="AR243" s="45">
        <f>+'GVFund Rev'!U243+'GVFund Rev'!W243-'GVFund Exp'!AH243-'GVFund Exp'!AL243+AJ243+AN243+AP243-'GV Fund BS'!S243</f>
        <v>0</v>
      </c>
      <c r="AS243" s="48"/>
    </row>
    <row r="244" spans="1:46" s="44" customFormat="1" ht="12.75" customHeight="1">
      <c r="A244" s="35" t="s">
        <v>275</v>
      </c>
      <c r="C244" s="35" t="s">
        <v>92</v>
      </c>
      <c r="E244" s="45">
        <v>4235350</v>
      </c>
      <c r="F244" s="48"/>
      <c r="G244" s="45">
        <v>6320266</v>
      </c>
      <c r="H244" s="48"/>
      <c r="I244" s="45">
        <v>219231</v>
      </c>
      <c r="J244" s="48"/>
      <c r="K244" s="45">
        <v>98114</v>
      </c>
      <c r="L244" s="48"/>
      <c r="M244" s="45">
        <v>2132439</v>
      </c>
      <c r="N244" s="48"/>
      <c r="O244" s="45">
        <v>924889</v>
      </c>
      <c r="P244" s="48"/>
      <c r="Q244" s="45">
        <v>1190070</v>
      </c>
      <c r="R244" s="48"/>
      <c r="S244" s="45">
        <v>5562097</v>
      </c>
      <c r="T244" s="48"/>
      <c r="U244" s="45">
        <v>0</v>
      </c>
      <c r="V244" s="48"/>
      <c r="W244" s="48"/>
      <c r="X244" s="35"/>
      <c r="Z244" s="35"/>
      <c r="AA244" s="35"/>
      <c r="AB244" s="45">
        <v>100000</v>
      </c>
      <c r="AC244" s="65"/>
      <c r="AD244" s="45">
        <v>102259</v>
      </c>
      <c r="AE244" s="65"/>
      <c r="AF244" s="45">
        <v>0</v>
      </c>
      <c r="AG244" s="65"/>
      <c r="AH244" s="48">
        <f t="shared" si="11"/>
        <v>20884715</v>
      </c>
      <c r="AI244" s="48"/>
      <c r="AJ244" s="48">
        <v>0</v>
      </c>
      <c r="AK244" s="48"/>
      <c r="AL244" s="45">
        <v>432143</v>
      </c>
      <c r="AM244" s="45"/>
      <c r="AN244" s="45">
        <v>11183454</v>
      </c>
      <c r="AO244" s="45"/>
      <c r="AP244" s="45">
        <v>377</v>
      </c>
      <c r="AQ244" s="45"/>
      <c r="AR244" s="45">
        <f>+'GVFund Rev'!U244+'GVFund Rev'!W244-'GVFund Exp'!AH244-'GVFund Exp'!AL244+AJ244+AN244+AP244-'GV Fund BS'!S244</f>
        <v>0</v>
      </c>
      <c r="AS244" s="48"/>
    </row>
    <row r="245" spans="1:46" s="44" customFormat="1" ht="12.75" customHeight="1">
      <c r="A245" s="35" t="s">
        <v>276</v>
      </c>
      <c r="C245" s="35" t="s">
        <v>38</v>
      </c>
      <c r="E245" s="45">
        <v>603225</v>
      </c>
      <c r="F245" s="48"/>
      <c r="G245" s="45">
        <v>2385468</v>
      </c>
      <c r="H245" s="48"/>
      <c r="I245" s="45">
        <v>193413</v>
      </c>
      <c r="J245" s="48"/>
      <c r="K245" s="45">
        <v>44414</v>
      </c>
      <c r="L245" s="48"/>
      <c r="M245" s="45">
        <v>823866</v>
      </c>
      <c r="N245" s="48"/>
      <c r="O245" s="45">
        <v>251771</v>
      </c>
      <c r="P245" s="48"/>
      <c r="Q245" s="45">
        <v>0</v>
      </c>
      <c r="R245" s="48"/>
      <c r="S245" s="45">
        <v>1300113</v>
      </c>
      <c r="T245" s="48"/>
      <c r="U245" s="45">
        <v>0</v>
      </c>
      <c r="V245" s="48"/>
      <c r="W245" s="48"/>
      <c r="X245" s="35"/>
      <c r="Z245" s="35"/>
      <c r="AA245" s="35"/>
      <c r="AB245" s="45">
        <v>29174</v>
      </c>
      <c r="AC245" s="65"/>
      <c r="AD245" s="45">
        <v>56420</v>
      </c>
      <c r="AE245" s="65"/>
      <c r="AF245" s="45">
        <v>0</v>
      </c>
      <c r="AG245" s="65"/>
      <c r="AH245" s="48">
        <f t="shared" si="11"/>
        <v>5687864</v>
      </c>
      <c r="AI245" s="48"/>
      <c r="AJ245" s="48">
        <v>0</v>
      </c>
      <c r="AK245" s="48"/>
      <c r="AL245" s="45">
        <v>187042</v>
      </c>
      <c r="AM245" s="45"/>
      <c r="AN245" s="45">
        <v>5535873</v>
      </c>
      <c r="AO245" s="45"/>
      <c r="AP245" s="45">
        <v>0</v>
      </c>
      <c r="AQ245" s="45"/>
      <c r="AR245" s="45">
        <f>+'GVFund Rev'!U245+'GVFund Rev'!W245-'GVFund Exp'!AH245-'GVFund Exp'!AL245+AJ245+AN245+AP245-'GV Fund BS'!S245</f>
        <v>0</v>
      </c>
      <c r="AS245" s="48"/>
    </row>
    <row r="246" spans="1:46" s="44" customFormat="1" ht="12.75" customHeight="1">
      <c r="A246" s="35" t="s">
        <v>277</v>
      </c>
      <c r="C246" s="35" t="s">
        <v>92</v>
      </c>
      <c r="E246" s="45">
        <v>7120266</v>
      </c>
      <c r="F246" s="48"/>
      <c r="G246" s="45">
        <v>13075937</v>
      </c>
      <c r="H246" s="48"/>
      <c r="I246" s="45">
        <v>963604</v>
      </c>
      <c r="J246" s="48"/>
      <c r="K246" s="45">
        <v>470008</v>
      </c>
      <c r="L246" s="48"/>
      <c r="M246" s="45">
        <v>1897053</v>
      </c>
      <c r="N246" s="48"/>
      <c r="O246" s="45">
        <v>1932142</v>
      </c>
      <c r="P246" s="48"/>
      <c r="Q246" s="45">
        <v>1229993</v>
      </c>
      <c r="R246" s="48"/>
      <c r="S246" s="45">
        <v>2284020</v>
      </c>
      <c r="T246" s="48"/>
      <c r="U246" s="45">
        <v>0</v>
      </c>
      <c r="V246" s="48"/>
      <c r="W246" s="48"/>
      <c r="X246" s="35"/>
      <c r="Z246" s="35"/>
      <c r="AA246" s="35"/>
      <c r="AB246" s="45">
        <v>822786</v>
      </c>
      <c r="AC246" s="65"/>
      <c r="AD246" s="45">
        <v>819742</v>
      </c>
      <c r="AE246" s="65"/>
      <c r="AF246" s="45">
        <v>0</v>
      </c>
      <c r="AG246" s="65"/>
      <c r="AH246" s="48">
        <f t="shared" si="11"/>
        <v>30615551</v>
      </c>
      <c r="AI246" s="48"/>
      <c r="AJ246" s="48">
        <v>0</v>
      </c>
      <c r="AK246" s="48"/>
      <c r="AL246" s="45">
        <v>2938521</v>
      </c>
      <c r="AM246" s="45"/>
      <c r="AN246" s="45">
        <v>16471647</v>
      </c>
      <c r="AO246" s="45"/>
      <c r="AP246" s="45">
        <v>60015</v>
      </c>
      <c r="AQ246" s="45"/>
      <c r="AR246" s="45">
        <f>+'GVFund Rev'!U246+'GVFund Rev'!W246-'GVFund Exp'!AH246-'GVFund Exp'!AL246+AJ246+AN246+AP246-'GV Fund BS'!S246</f>
        <v>0</v>
      </c>
      <c r="AS246" s="48"/>
    </row>
    <row r="247" spans="1:46" s="44" customFormat="1" ht="12.75" customHeight="1">
      <c r="A247" s="64" t="s">
        <v>278</v>
      </c>
      <c r="B247" s="46"/>
      <c r="C247" s="64" t="s">
        <v>92</v>
      </c>
      <c r="D247" s="46"/>
      <c r="E247" s="45">
        <v>1606915</v>
      </c>
      <c r="F247" s="48"/>
      <c r="G247" s="45">
        <f>3014644+2038853</f>
        <v>5053497</v>
      </c>
      <c r="H247" s="48"/>
      <c r="I247" s="45">
        <v>127018</v>
      </c>
      <c r="J247" s="48"/>
      <c r="K247" s="45">
        <v>0</v>
      </c>
      <c r="L247" s="48"/>
      <c r="M247" s="45">
        <v>1218709</v>
      </c>
      <c r="N247" s="48"/>
      <c r="O247" s="45">
        <v>256063</v>
      </c>
      <c r="P247" s="48"/>
      <c r="Q247" s="45">
        <v>0</v>
      </c>
      <c r="R247" s="48"/>
      <c r="S247" s="45">
        <v>1286893</v>
      </c>
      <c r="T247" s="48"/>
      <c r="U247" s="45">
        <v>0</v>
      </c>
      <c r="V247" s="48"/>
      <c r="W247" s="48"/>
      <c r="X247" s="35"/>
      <c r="Z247" s="35"/>
      <c r="AA247" s="35"/>
      <c r="AB247" s="45">
        <v>110129</v>
      </c>
      <c r="AC247" s="65"/>
      <c r="AD247" s="45">
        <v>69861</v>
      </c>
      <c r="AE247" s="65"/>
      <c r="AF247" s="45">
        <v>0</v>
      </c>
      <c r="AG247" s="65"/>
      <c r="AH247" s="48">
        <f t="shared" si="11"/>
        <v>9729085</v>
      </c>
      <c r="AI247" s="48"/>
      <c r="AJ247" s="48">
        <v>0</v>
      </c>
      <c r="AK247" s="48"/>
      <c r="AL247" s="45">
        <v>1093264</v>
      </c>
      <c r="AM247" s="45"/>
      <c r="AN247" s="45">
        <v>805875</v>
      </c>
      <c r="AO247" s="45"/>
      <c r="AP247" s="45">
        <v>0</v>
      </c>
      <c r="AQ247" s="45"/>
      <c r="AR247" s="45">
        <f>+'GVFund Rev'!U247+'GVFund Rev'!W247-'GVFund Exp'!AH247-'GVFund Exp'!AL247+AJ247+AN247+AP247-'GV Fund BS'!S247</f>
        <v>0</v>
      </c>
      <c r="AS247" s="48"/>
    </row>
    <row r="248" spans="1:46" s="44" customFormat="1" ht="12.75" customHeight="1">
      <c r="A248" s="35" t="s">
        <v>279</v>
      </c>
      <c r="C248" s="35" t="s">
        <v>92</v>
      </c>
      <c r="E248" s="45">
        <v>1702059</v>
      </c>
      <c r="F248" s="48"/>
      <c r="G248" s="45">
        <v>5155627</v>
      </c>
      <c r="H248" s="48"/>
      <c r="I248" s="45">
        <v>470997</v>
      </c>
      <c r="J248" s="48"/>
      <c r="K248" s="45">
        <v>117568</v>
      </c>
      <c r="L248" s="48"/>
      <c r="M248" s="45">
        <v>1048290</v>
      </c>
      <c r="N248" s="48"/>
      <c r="O248" s="45">
        <v>958170</v>
      </c>
      <c r="P248" s="48"/>
      <c r="Q248" s="45">
        <v>922150</v>
      </c>
      <c r="R248" s="48"/>
      <c r="S248" s="45">
        <v>2080365</v>
      </c>
      <c r="T248" s="48"/>
      <c r="U248" s="45">
        <v>0</v>
      </c>
      <c r="V248" s="48"/>
      <c r="W248" s="48"/>
      <c r="X248" s="35"/>
      <c r="Z248" s="35"/>
      <c r="AA248" s="35"/>
      <c r="AB248" s="45">
        <v>2661903</v>
      </c>
      <c r="AC248" s="65"/>
      <c r="AD248" s="45">
        <v>107227</v>
      </c>
      <c r="AE248" s="65"/>
      <c r="AF248" s="45">
        <v>0</v>
      </c>
      <c r="AG248" s="65"/>
      <c r="AH248" s="48">
        <f t="shared" si="11"/>
        <v>15224356</v>
      </c>
      <c r="AI248" s="48"/>
      <c r="AJ248" s="48">
        <v>0</v>
      </c>
      <c r="AK248" s="48"/>
      <c r="AL248" s="45">
        <v>3290880</v>
      </c>
      <c r="AM248" s="45"/>
      <c r="AN248" s="45">
        <v>7314016</v>
      </c>
      <c r="AO248" s="45"/>
      <c r="AP248" s="45">
        <v>0</v>
      </c>
      <c r="AQ248" s="45"/>
      <c r="AR248" s="45">
        <f>+'GVFund Rev'!U248+'GVFund Rev'!W248-'GVFund Exp'!AH248-'GVFund Exp'!AL248+AJ248+AN248+AP248-'GV Fund BS'!S248</f>
        <v>0</v>
      </c>
      <c r="AS248" s="48"/>
    </row>
    <row r="249" spans="1:46" s="44" customFormat="1" ht="12.75" customHeight="1">
      <c r="A249" s="35" t="s">
        <v>280</v>
      </c>
      <c r="C249" s="35" t="s">
        <v>281</v>
      </c>
      <c r="E249" s="45">
        <v>4849645</v>
      </c>
      <c r="F249" s="48"/>
      <c r="G249" s="45">
        <v>4971331</v>
      </c>
      <c r="H249" s="48"/>
      <c r="I249" s="45">
        <v>0</v>
      </c>
      <c r="J249" s="48"/>
      <c r="K249" s="45">
        <v>380559</v>
      </c>
      <c r="L249" s="48"/>
      <c r="M249" s="45">
        <v>2728044</v>
      </c>
      <c r="N249" s="48"/>
      <c r="O249" s="45">
        <v>765266</v>
      </c>
      <c r="P249" s="48"/>
      <c r="Q249" s="45">
        <v>0</v>
      </c>
      <c r="R249" s="48"/>
      <c r="S249" s="45">
        <v>1174097</v>
      </c>
      <c r="T249" s="48"/>
      <c r="U249" s="45">
        <v>0</v>
      </c>
      <c r="V249" s="48"/>
      <c r="W249" s="48"/>
      <c r="X249" s="35"/>
      <c r="Z249" s="35"/>
      <c r="AA249" s="35"/>
      <c r="AB249" s="45">
        <v>377053</v>
      </c>
      <c r="AC249" s="65"/>
      <c r="AD249" s="45">
        <v>323465</v>
      </c>
      <c r="AE249" s="65"/>
      <c r="AF249" s="45">
        <v>0</v>
      </c>
      <c r="AG249" s="65"/>
      <c r="AH249" s="48">
        <f t="shared" si="11"/>
        <v>15569460</v>
      </c>
      <c r="AI249" s="48"/>
      <c r="AJ249" s="48">
        <v>0</v>
      </c>
      <c r="AK249" s="48"/>
      <c r="AL249" s="45">
        <v>5233030</v>
      </c>
      <c r="AM249" s="45"/>
      <c r="AN249" s="45">
        <v>4962548</v>
      </c>
      <c r="AO249" s="45"/>
      <c r="AP249" s="45">
        <v>0</v>
      </c>
      <c r="AQ249" s="45"/>
      <c r="AR249" s="45">
        <f>+'GVFund Rev'!U249+'GVFund Rev'!W249-'GVFund Exp'!AH249-'GVFund Exp'!AL249+AJ249+AN249+AP249-'GV Fund BS'!S249</f>
        <v>0</v>
      </c>
      <c r="AS249" s="48"/>
    </row>
    <row r="250" spans="1:46" s="44" customFormat="1" ht="12.75" customHeight="1">
      <c r="A250" s="35" t="s">
        <v>282</v>
      </c>
      <c r="C250" s="35" t="s">
        <v>199</v>
      </c>
      <c r="E250" s="45">
        <v>3599640</v>
      </c>
      <c r="F250" s="48"/>
      <c r="G250" s="45">
        <v>10250661</v>
      </c>
      <c r="H250" s="48"/>
      <c r="I250" s="45">
        <v>1263227</v>
      </c>
      <c r="J250" s="48"/>
      <c r="K250" s="45">
        <v>148865</v>
      </c>
      <c r="L250" s="48"/>
      <c r="M250" s="45">
        <v>2460893</v>
      </c>
      <c r="N250" s="48"/>
      <c r="O250" s="45">
        <v>2006716</v>
      </c>
      <c r="P250" s="48"/>
      <c r="Q250" s="45">
        <v>0</v>
      </c>
      <c r="R250" s="48"/>
      <c r="S250" s="45">
        <v>4231061</v>
      </c>
      <c r="T250" s="48"/>
      <c r="U250" s="45">
        <v>0</v>
      </c>
      <c r="V250" s="48"/>
      <c r="W250" s="48"/>
      <c r="X250" s="35"/>
      <c r="Z250" s="35"/>
      <c r="AA250" s="35"/>
      <c r="AB250" s="45">
        <v>1419809</v>
      </c>
      <c r="AC250" s="65"/>
      <c r="AD250" s="45">
        <v>199157</v>
      </c>
      <c r="AE250" s="65"/>
      <c r="AF250" s="45">
        <v>0</v>
      </c>
      <c r="AG250" s="65"/>
      <c r="AH250" s="48">
        <f t="shared" si="11"/>
        <v>25580029</v>
      </c>
      <c r="AI250" s="48"/>
      <c r="AJ250" s="48">
        <v>0</v>
      </c>
      <c r="AK250" s="48"/>
      <c r="AL250" s="45">
        <v>1797400</v>
      </c>
      <c r="AM250" s="45"/>
      <c r="AN250" s="45">
        <v>26082079</v>
      </c>
      <c r="AO250" s="45"/>
      <c r="AP250" s="45">
        <v>0</v>
      </c>
      <c r="AQ250" s="45"/>
      <c r="AR250" s="45">
        <f>+'GVFund Rev'!U250+'GVFund Rev'!W250-'GVFund Exp'!AH250-'GVFund Exp'!AL250+AJ250+AN250+AP250-'GV Fund BS'!S250</f>
        <v>0</v>
      </c>
      <c r="AS250" s="48"/>
    </row>
    <row r="251" spans="1:46" s="44" customFormat="1" ht="12.75" customHeight="1">
      <c r="A251" s="35" t="s">
        <v>283</v>
      </c>
      <c r="C251" s="35" t="s">
        <v>43</v>
      </c>
      <c r="E251" s="45">
        <v>5069232</v>
      </c>
      <c r="F251" s="48"/>
      <c r="G251" s="45">
        <v>9632613</v>
      </c>
      <c r="H251" s="48"/>
      <c r="I251" s="45">
        <v>664570</v>
      </c>
      <c r="J251" s="48"/>
      <c r="K251" s="45">
        <v>37381</v>
      </c>
      <c r="L251" s="48"/>
      <c r="M251" s="45">
        <v>2430205</v>
      </c>
      <c r="N251" s="48"/>
      <c r="O251" s="45">
        <v>3575467</v>
      </c>
      <c r="P251" s="48"/>
      <c r="Q251" s="45">
        <v>1762940</v>
      </c>
      <c r="R251" s="48"/>
      <c r="S251" s="45">
        <v>3562739</v>
      </c>
      <c r="T251" s="48"/>
      <c r="U251" s="45">
        <v>0</v>
      </c>
      <c r="V251" s="48"/>
      <c r="W251" s="48"/>
      <c r="X251" s="35"/>
      <c r="Z251" s="35"/>
      <c r="AA251" s="35"/>
      <c r="AB251" s="45">
        <v>488905</v>
      </c>
      <c r="AC251" s="65"/>
      <c r="AD251" s="45">
        <v>354315</v>
      </c>
      <c r="AE251" s="65"/>
      <c r="AF251" s="45">
        <v>0</v>
      </c>
      <c r="AG251" s="65"/>
      <c r="AH251" s="48">
        <f t="shared" si="11"/>
        <v>27578367</v>
      </c>
      <c r="AI251" s="48"/>
      <c r="AJ251" s="48">
        <v>0</v>
      </c>
      <c r="AK251" s="48"/>
      <c r="AL251" s="45">
        <f>1618580+30000+44491</f>
        <v>1693071</v>
      </c>
      <c r="AM251" s="45"/>
      <c r="AN251" s="45">
        <v>16637468</v>
      </c>
      <c r="AO251" s="45"/>
      <c r="AP251" s="45">
        <v>0</v>
      </c>
      <c r="AQ251" s="45"/>
      <c r="AR251" s="45">
        <f>+'GVFund Rev'!U251+'GVFund Rev'!W251-'GVFund Exp'!AH251-'GVFund Exp'!AL251+AJ251+AN251+AP251-'GV Fund BS'!S251</f>
        <v>0</v>
      </c>
      <c r="AS251" s="48"/>
    </row>
    <row r="252" spans="1:46" s="44" customFormat="1" ht="12.75" customHeight="1">
      <c r="A252" s="35" t="s">
        <v>284</v>
      </c>
      <c r="C252" s="35" t="s">
        <v>45</v>
      </c>
      <c r="E252" s="45">
        <v>3806276</v>
      </c>
      <c r="F252" s="48"/>
      <c r="G252" s="45">
        <v>2777577</v>
      </c>
      <c r="H252" s="48"/>
      <c r="I252" s="45">
        <v>222513</v>
      </c>
      <c r="J252" s="48"/>
      <c r="K252" s="45">
        <v>66179</v>
      </c>
      <c r="L252" s="48"/>
      <c r="M252" s="45">
        <v>968897</v>
      </c>
      <c r="N252" s="48"/>
      <c r="O252" s="45">
        <v>1287370</v>
      </c>
      <c r="P252" s="48"/>
      <c r="Q252" s="45">
        <v>547843</v>
      </c>
      <c r="R252" s="48"/>
      <c r="S252" s="45">
        <v>3351802</v>
      </c>
      <c r="T252" s="48"/>
      <c r="U252" s="45">
        <v>0</v>
      </c>
      <c r="V252" s="48"/>
      <c r="W252" s="48"/>
      <c r="X252" s="35"/>
      <c r="Z252" s="35"/>
      <c r="AA252" s="35"/>
      <c r="AB252" s="45">
        <v>365908</v>
      </c>
      <c r="AC252" s="65"/>
      <c r="AD252" s="45">
        <v>380944</v>
      </c>
      <c r="AE252" s="65"/>
      <c r="AF252" s="45">
        <v>0</v>
      </c>
      <c r="AG252" s="65"/>
      <c r="AH252" s="48">
        <f t="shared" si="11"/>
        <v>13775309</v>
      </c>
      <c r="AI252" s="48"/>
      <c r="AJ252" s="48">
        <v>0</v>
      </c>
      <c r="AK252" s="48"/>
      <c r="AL252" s="45">
        <v>1576646</v>
      </c>
      <c r="AM252" s="45"/>
      <c r="AN252" s="45">
        <v>7762706</v>
      </c>
      <c r="AO252" s="45"/>
      <c r="AP252" s="45">
        <v>-1175</v>
      </c>
      <c r="AQ252" s="45"/>
      <c r="AR252" s="45">
        <f>+'GVFund Rev'!U252+'GVFund Rev'!W252-'GVFund Exp'!AH252-'GVFund Exp'!AL252+AJ252+AN252+AP252-'GV Fund BS'!S252</f>
        <v>0</v>
      </c>
      <c r="AS252" s="48"/>
    </row>
    <row r="253" spans="1:46" s="44" customFormat="1" ht="12.75" customHeight="1">
      <c r="A253" s="35" t="s">
        <v>285</v>
      </c>
      <c r="C253" s="35" t="s">
        <v>30</v>
      </c>
      <c r="E253" s="45">
        <v>3702693</v>
      </c>
      <c r="F253" s="48"/>
      <c r="G253" s="45">
        <v>10853395</v>
      </c>
      <c r="H253" s="48"/>
      <c r="I253" s="45">
        <v>344549</v>
      </c>
      <c r="J253" s="48"/>
      <c r="K253" s="45">
        <v>64843</v>
      </c>
      <c r="L253" s="48"/>
      <c r="M253" s="45">
        <v>1641621</v>
      </c>
      <c r="N253" s="48"/>
      <c r="O253" s="45">
        <v>390777</v>
      </c>
      <c r="P253" s="48"/>
      <c r="Q253" s="45">
        <v>0</v>
      </c>
      <c r="R253" s="48"/>
      <c r="S253" s="45">
        <v>2420322</v>
      </c>
      <c r="T253" s="48"/>
      <c r="U253" s="45">
        <v>0</v>
      </c>
      <c r="V253" s="48"/>
      <c r="W253" s="48"/>
      <c r="X253" s="35"/>
      <c r="Z253" s="35"/>
      <c r="AA253" s="35"/>
      <c r="AB253" s="45">
        <v>381681</v>
      </c>
      <c r="AC253" s="65"/>
      <c r="AD253" s="45">
        <v>132540</v>
      </c>
      <c r="AE253" s="65"/>
      <c r="AF253" s="45">
        <v>0</v>
      </c>
      <c r="AG253" s="65"/>
      <c r="AH253" s="48">
        <f t="shared" si="11"/>
        <v>19932421</v>
      </c>
      <c r="AI253" s="48"/>
      <c r="AJ253" s="48">
        <v>0</v>
      </c>
      <c r="AK253" s="48"/>
      <c r="AL253" s="45">
        <v>704000</v>
      </c>
      <c r="AM253" s="45"/>
      <c r="AN253" s="45">
        <v>8273869</v>
      </c>
      <c r="AO253" s="45"/>
      <c r="AP253" s="45">
        <v>23214</v>
      </c>
      <c r="AQ253" s="45"/>
      <c r="AR253" s="45">
        <f>+'GVFund Rev'!U253+'GVFund Rev'!W253-'GVFund Exp'!AH253-'GVFund Exp'!AL253+AJ253+AN253+AP253-'GV Fund BS'!S253</f>
        <v>0</v>
      </c>
      <c r="AS253" s="48"/>
    </row>
    <row r="254" spans="1:46" s="44" customFormat="1" ht="12.75" customHeight="1">
      <c r="A254" s="35" t="s">
        <v>286</v>
      </c>
      <c r="C254" s="35" t="s">
        <v>61</v>
      </c>
      <c r="E254" s="45">
        <v>13121695</v>
      </c>
      <c r="F254" s="48"/>
      <c r="G254" s="45">
        <v>38010276</v>
      </c>
      <c r="H254" s="48"/>
      <c r="I254" s="45">
        <v>3884394</v>
      </c>
      <c r="J254" s="48"/>
      <c r="K254" s="45">
        <v>2504015</v>
      </c>
      <c r="L254" s="48"/>
      <c r="M254" s="45">
        <v>8269175</v>
      </c>
      <c r="N254" s="48"/>
      <c r="O254" s="45">
        <v>2839915</v>
      </c>
      <c r="P254" s="48"/>
      <c r="Q254" s="45">
        <v>3144131</v>
      </c>
      <c r="R254" s="48"/>
      <c r="S254" s="45">
        <v>4981347</v>
      </c>
      <c r="T254" s="48"/>
      <c r="U254" s="45">
        <v>0</v>
      </c>
      <c r="V254" s="48"/>
      <c r="W254" s="48"/>
      <c r="X254" s="35"/>
      <c r="Z254" s="35"/>
      <c r="AA254" s="35"/>
      <c r="AB254" s="45">
        <v>2328052</v>
      </c>
      <c r="AC254" s="65"/>
      <c r="AD254" s="45">
        <v>2274766</v>
      </c>
      <c r="AE254" s="65"/>
      <c r="AF254" s="45">
        <v>0</v>
      </c>
      <c r="AG254" s="65"/>
      <c r="AH254" s="48">
        <f t="shared" si="11"/>
        <v>81357766</v>
      </c>
      <c r="AI254" s="48"/>
      <c r="AJ254" s="48">
        <v>0</v>
      </c>
      <c r="AK254" s="48"/>
      <c r="AL254" s="45">
        <v>28583190</v>
      </c>
      <c r="AM254" s="45"/>
      <c r="AN254" s="45">
        <v>-5172620</v>
      </c>
      <c r="AO254" s="45"/>
      <c r="AP254" s="45">
        <v>0</v>
      </c>
      <c r="AQ254" s="45"/>
      <c r="AR254" s="45">
        <f>+'GVFund Rev'!U254+'GVFund Rev'!W254-'GVFund Exp'!AH254-'GVFund Exp'!AL254+AJ254+AN254+AP254-'GV Fund BS'!S254</f>
        <v>0</v>
      </c>
      <c r="AS254" s="48"/>
    </row>
    <row r="255" spans="1:46" s="44" customFormat="1" ht="12.75" customHeight="1">
      <c r="A255" s="35" t="s">
        <v>287</v>
      </c>
      <c r="C255" s="35" t="s">
        <v>288</v>
      </c>
      <c r="E255" s="45">
        <v>3956788</v>
      </c>
      <c r="F255" s="48"/>
      <c r="G255" s="45">
        <v>12847392</v>
      </c>
      <c r="H255" s="48"/>
      <c r="I255" s="45">
        <v>950308</v>
      </c>
      <c r="J255" s="48"/>
      <c r="K255" s="45">
        <v>1849204</v>
      </c>
      <c r="L255" s="48"/>
      <c r="M255" s="45">
        <v>2276868</v>
      </c>
      <c r="N255" s="48"/>
      <c r="O255" s="45">
        <v>1079251</v>
      </c>
      <c r="P255" s="48"/>
      <c r="Q255" s="45">
        <v>0</v>
      </c>
      <c r="R255" s="48"/>
      <c r="S255" s="45">
        <v>1967829</v>
      </c>
      <c r="T255" s="48"/>
      <c r="U255" s="45">
        <v>0</v>
      </c>
      <c r="V255" s="48"/>
      <c r="W255" s="48"/>
      <c r="X255" s="35"/>
      <c r="Z255" s="35"/>
      <c r="AA255" s="35"/>
      <c r="AB255" s="45">
        <v>530882</v>
      </c>
      <c r="AC255" s="65"/>
      <c r="AD255" s="45">
        <v>242365</v>
      </c>
      <c r="AE255" s="65"/>
      <c r="AF255" s="45">
        <v>0</v>
      </c>
      <c r="AG255" s="65"/>
      <c r="AH255" s="48">
        <f t="shared" si="11"/>
        <v>25700887</v>
      </c>
      <c r="AI255" s="48"/>
      <c r="AJ255" s="48">
        <v>0</v>
      </c>
      <c r="AK255" s="48"/>
      <c r="AL255" s="45">
        <v>7863255</v>
      </c>
      <c r="AM255" s="45"/>
      <c r="AN255" s="45">
        <v>6951903</v>
      </c>
      <c r="AO255" s="45"/>
      <c r="AP255" s="45">
        <v>0</v>
      </c>
      <c r="AQ255" s="45"/>
      <c r="AR255" s="45">
        <f>+'GVFund Rev'!U255+'GVFund Rev'!W255-'GVFund Exp'!AH255-'GVFund Exp'!AL255+AJ255+AN255+AP255-'GV Fund BS'!S255</f>
        <v>0</v>
      </c>
      <c r="AS255" s="48"/>
    </row>
    <row r="256" spans="1:46" s="47" customFormat="1" ht="12.75" customHeight="1">
      <c r="A256" s="49"/>
      <c r="C256" s="49"/>
      <c r="E256" s="49"/>
      <c r="F256" s="44"/>
      <c r="G256" s="49"/>
      <c r="H256" s="44"/>
      <c r="I256" s="49"/>
      <c r="J256" s="44"/>
      <c r="K256" s="49"/>
      <c r="L256" s="44"/>
      <c r="M256" s="49"/>
      <c r="N256" s="44"/>
      <c r="O256" s="49"/>
      <c r="P256" s="44"/>
      <c r="Q256" s="49"/>
      <c r="R256" s="44"/>
      <c r="S256" s="49"/>
      <c r="T256" s="44"/>
      <c r="U256" s="49"/>
      <c r="V256" s="44"/>
      <c r="W256" s="44"/>
      <c r="X256" s="44"/>
      <c r="Y256" s="44"/>
      <c r="Z256" s="44"/>
      <c r="AA256" s="44"/>
      <c r="AB256" s="49"/>
      <c r="AC256" s="65"/>
      <c r="AD256" s="49"/>
      <c r="AE256" s="65"/>
      <c r="AF256" s="49"/>
      <c r="AG256" s="65"/>
      <c r="AH256" s="44"/>
      <c r="AI256" s="44"/>
      <c r="AJ256" s="44"/>
      <c r="AK256" s="44"/>
      <c r="AL256" s="49"/>
      <c r="AM256" s="45"/>
      <c r="AN256" s="49"/>
      <c r="AO256" s="44"/>
      <c r="AP256" s="49"/>
      <c r="AQ256" s="44"/>
      <c r="AR256" s="45"/>
      <c r="AS256" s="44"/>
      <c r="AT256" s="51"/>
    </row>
    <row r="257" spans="1:46" s="47" customFormat="1" ht="12.75" customHeight="1">
      <c r="A257" s="49"/>
      <c r="C257" s="49"/>
      <c r="E257" s="49"/>
      <c r="F257" s="44"/>
      <c r="G257" s="49"/>
      <c r="H257" s="44"/>
      <c r="I257" s="49"/>
      <c r="J257" s="44"/>
      <c r="K257" s="49"/>
      <c r="L257" s="44"/>
      <c r="M257" s="49"/>
      <c r="N257" s="44"/>
      <c r="O257" s="49"/>
      <c r="P257" s="44"/>
      <c r="Q257" s="49"/>
      <c r="R257" s="44"/>
      <c r="S257" s="49"/>
      <c r="T257" s="44"/>
      <c r="U257" s="49"/>
      <c r="V257" s="44"/>
      <c r="W257" s="44"/>
      <c r="X257" s="44"/>
      <c r="Y257" s="44"/>
      <c r="Z257" s="44"/>
      <c r="AA257" s="44"/>
      <c r="AB257" s="49"/>
      <c r="AC257" s="65"/>
      <c r="AD257" s="49"/>
      <c r="AE257" s="65"/>
      <c r="AF257" s="49"/>
      <c r="AG257" s="65"/>
      <c r="AH257" s="44"/>
      <c r="AI257" s="44"/>
      <c r="AJ257" s="44"/>
      <c r="AK257" s="44"/>
      <c r="AL257" s="49"/>
      <c r="AM257" s="49"/>
      <c r="AN257" s="49"/>
      <c r="AO257" s="49"/>
      <c r="AP257" s="49"/>
      <c r="AQ257" s="49"/>
      <c r="AR257" s="45"/>
      <c r="AS257" s="44"/>
      <c r="AT257" s="51"/>
    </row>
    <row r="258" spans="1:46" s="47" customFormat="1" ht="12.75" customHeight="1">
      <c r="A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Z258" s="49"/>
      <c r="AA258" s="49"/>
      <c r="AB258" s="49"/>
      <c r="AC258" s="51"/>
      <c r="AD258" s="49"/>
      <c r="AE258" s="51"/>
      <c r="AF258" s="49"/>
      <c r="AG258" s="51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51"/>
    </row>
    <row r="259" spans="1:46" s="47" customFormat="1" ht="12.75" customHeight="1">
      <c r="A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Z259" s="49"/>
      <c r="AA259" s="49"/>
      <c r="AB259" s="49"/>
      <c r="AC259" s="51"/>
      <c r="AD259" s="49"/>
      <c r="AE259" s="51"/>
      <c r="AF259" s="49"/>
      <c r="AG259" s="51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51"/>
    </row>
    <row r="260" spans="1:46" s="47" customFormat="1" ht="12.75" customHeight="1">
      <c r="A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Z260" s="49"/>
      <c r="AA260" s="49"/>
      <c r="AB260" s="49"/>
      <c r="AC260" s="51"/>
      <c r="AD260" s="49"/>
      <c r="AE260" s="51"/>
      <c r="AF260" s="49"/>
      <c r="AG260" s="51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51"/>
    </row>
    <row r="261" spans="1:46" s="47" customFormat="1" ht="12.75" customHeight="1">
      <c r="A261" s="49"/>
      <c r="C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Z261" s="49"/>
      <c r="AA261" s="49"/>
      <c r="AB261" s="49"/>
      <c r="AC261" s="51"/>
      <c r="AD261" s="49"/>
      <c r="AE261" s="51"/>
      <c r="AF261" s="49"/>
      <c r="AG261" s="51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51"/>
    </row>
    <row r="262" spans="1:46" s="47" customFormat="1" ht="12.75" customHeight="1">
      <c r="A262" s="49"/>
      <c r="C262" s="49"/>
      <c r="E262" s="119"/>
      <c r="F262" s="49"/>
      <c r="G262" s="119"/>
      <c r="H262" s="49"/>
      <c r="I262" s="119"/>
      <c r="J262" s="49"/>
      <c r="K262" s="119"/>
      <c r="L262" s="49"/>
      <c r="M262" s="119"/>
      <c r="N262" s="49"/>
      <c r="O262" s="119"/>
      <c r="P262" s="49"/>
      <c r="Q262" s="119"/>
      <c r="R262" s="49"/>
      <c r="S262" s="119"/>
      <c r="T262" s="49"/>
      <c r="U262" s="119"/>
      <c r="V262" s="49"/>
      <c r="W262" s="49"/>
      <c r="X262" s="49"/>
      <c r="Z262" s="49"/>
      <c r="AA262" s="49"/>
      <c r="AB262" s="119"/>
      <c r="AC262" s="51"/>
      <c r="AD262" s="119"/>
      <c r="AE262" s="51"/>
      <c r="AF262" s="119"/>
      <c r="AG262" s="51"/>
      <c r="AH262" s="49"/>
      <c r="AI262" s="49"/>
      <c r="AJ262" s="49"/>
      <c r="AK262" s="49"/>
      <c r="AL262" s="119"/>
      <c r="AM262" s="49"/>
      <c r="AN262" s="119"/>
      <c r="AO262" s="49"/>
      <c r="AP262" s="119"/>
      <c r="AQ262" s="49"/>
      <c r="AR262" s="49"/>
      <c r="AS262" s="49"/>
      <c r="AT262" s="51"/>
    </row>
    <row r="263" spans="1:46" s="47" customFormat="1" ht="12.75" customHeight="1">
      <c r="A263" s="49"/>
      <c r="B263" s="51"/>
      <c r="C263" s="49"/>
      <c r="E263" s="119"/>
      <c r="F263" s="49"/>
      <c r="G263" s="119"/>
      <c r="H263" s="49"/>
      <c r="I263" s="119"/>
      <c r="J263" s="49"/>
      <c r="K263" s="119"/>
      <c r="L263" s="49"/>
      <c r="M263" s="119"/>
      <c r="N263" s="49"/>
      <c r="O263" s="119"/>
      <c r="P263" s="49"/>
      <c r="Q263" s="119"/>
      <c r="R263" s="49"/>
      <c r="S263" s="119"/>
      <c r="T263" s="49"/>
      <c r="U263" s="119"/>
      <c r="V263" s="49"/>
      <c r="W263" s="49"/>
      <c r="X263" s="49"/>
      <c r="Z263" s="49"/>
      <c r="AA263" s="49"/>
      <c r="AB263" s="119"/>
      <c r="AC263" s="51"/>
      <c r="AD263" s="119"/>
      <c r="AE263" s="51"/>
      <c r="AF263" s="119"/>
      <c r="AG263" s="51"/>
      <c r="AH263" s="49"/>
      <c r="AI263" s="49"/>
      <c r="AJ263" s="49"/>
      <c r="AK263" s="49"/>
      <c r="AL263" s="119"/>
      <c r="AM263" s="49"/>
      <c r="AN263" s="119"/>
      <c r="AO263" s="49"/>
      <c r="AP263" s="119"/>
      <c r="AQ263" s="49"/>
      <c r="AR263" s="49"/>
      <c r="AS263" s="49"/>
      <c r="AT263" s="51"/>
    </row>
    <row r="264" spans="1:46" s="47" customFormat="1" ht="12.75" customHeight="1">
      <c r="A264" s="49"/>
      <c r="B264" s="51"/>
      <c r="C264" s="49"/>
      <c r="E264" s="119"/>
      <c r="F264" s="49"/>
      <c r="G264" s="119"/>
      <c r="H264" s="49"/>
      <c r="I264" s="119"/>
      <c r="J264" s="49"/>
      <c r="K264" s="119"/>
      <c r="L264" s="49"/>
      <c r="M264" s="119"/>
      <c r="N264" s="49"/>
      <c r="O264" s="119"/>
      <c r="P264" s="49"/>
      <c r="Q264" s="119"/>
      <c r="R264" s="49"/>
      <c r="S264" s="119"/>
      <c r="T264" s="49"/>
      <c r="U264" s="119"/>
      <c r="V264" s="49"/>
      <c r="W264" s="49"/>
      <c r="X264" s="49"/>
      <c r="Z264" s="49"/>
      <c r="AA264" s="49"/>
      <c r="AB264" s="119"/>
      <c r="AC264" s="51"/>
      <c r="AD264" s="119"/>
      <c r="AE264" s="51"/>
      <c r="AF264" s="119"/>
      <c r="AG264" s="51"/>
      <c r="AH264" s="49"/>
      <c r="AI264" s="49"/>
      <c r="AJ264" s="49"/>
      <c r="AK264" s="49"/>
      <c r="AL264" s="119"/>
      <c r="AM264" s="49"/>
      <c r="AN264" s="119"/>
      <c r="AO264" s="49"/>
      <c r="AP264" s="119"/>
      <c r="AQ264" s="49"/>
      <c r="AR264" s="49"/>
      <c r="AS264" s="49"/>
      <c r="AT264" s="51"/>
    </row>
    <row r="265" spans="1:46" s="47" customFormat="1" ht="12.75" customHeight="1">
      <c r="A265" s="49"/>
      <c r="B265" s="51"/>
      <c r="C265" s="49"/>
      <c r="E265" s="119"/>
      <c r="F265" s="49"/>
      <c r="G265" s="119"/>
      <c r="H265" s="49"/>
      <c r="I265" s="119"/>
      <c r="J265" s="49"/>
      <c r="K265" s="119"/>
      <c r="L265" s="49"/>
      <c r="M265" s="119"/>
      <c r="N265" s="49"/>
      <c r="O265" s="119"/>
      <c r="P265" s="49"/>
      <c r="Q265" s="119"/>
      <c r="R265" s="49"/>
      <c r="S265" s="119"/>
      <c r="T265" s="49"/>
      <c r="U265" s="119"/>
      <c r="V265" s="49"/>
      <c r="W265" s="49"/>
      <c r="X265" s="49"/>
      <c r="Z265" s="49"/>
      <c r="AA265" s="49"/>
      <c r="AB265" s="119"/>
      <c r="AC265" s="51"/>
      <c r="AD265" s="119"/>
      <c r="AE265" s="51"/>
      <c r="AF265" s="119"/>
      <c r="AG265" s="51"/>
      <c r="AH265" s="49"/>
      <c r="AI265" s="49"/>
      <c r="AJ265" s="49"/>
      <c r="AK265" s="49"/>
      <c r="AL265" s="119"/>
      <c r="AM265" s="49"/>
      <c r="AN265" s="119"/>
      <c r="AO265" s="49"/>
      <c r="AP265" s="119"/>
      <c r="AQ265" s="49"/>
      <c r="AR265" s="49"/>
      <c r="AS265" s="49"/>
      <c r="AT265" s="51"/>
    </row>
    <row r="266" spans="1:46" s="47" customFormat="1" ht="12.75" customHeight="1">
      <c r="A266" s="49"/>
      <c r="B266" s="51"/>
      <c r="C266" s="49"/>
      <c r="E266" s="119"/>
      <c r="F266" s="49"/>
      <c r="G266" s="119"/>
      <c r="H266" s="49"/>
      <c r="I266" s="119"/>
      <c r="J266" s="49"/>
      <c r="K266" s="119"/>
      <c r="L266" s="49"/>
      <c r="M266" s="119"/>
      <c r="N266" s="49"/>
      <c r="O266" s="119"/>
      <c r="P266" s="49"/>
      <c r="Q266" s="119"/>
      <c r="R266" s="49"/>
      <c r="S266" s="119"/>
      <c r="T266" s="49"/>
      <c r="U266" s="119"/>
      <c r="V266" s="49"/>
      <c r="W266" s="49"/>
      <c r="X266" s="49"/>
      <c r="Z266" s="49"/>
      <c r="AA266" s="49"/>
      <c r="AB266" s="119"/>
      <c r="AC266" s="51"/>
      <c r="AD266" s="119"/>
      <c r="AE266" s="51"/>
      <c r="AF266" s="119"/>
      <c r="AG266" s="51"/>
      <c r="AH266" s="49"/>
      <c r="AI266" s="49"/>
      <c r="AJ266" s="49"/>
      <c r="AK266" s="49"/>
      <c r="AL266" s="119"/>
      <c r="AM266" s="49"/>
      <c r="AN266" s="119"/>
      <c r="AO266" s="49"/>
      <c r="AP266" s="119"/>
      <c r="AQ266" s="49"/>
      <c r="AR266" s="49"/>
      <c r="AS266" s="49"/>
      <c r="AT266" s="51"/>
    </row>
    <row r="267" spans="1:46" s="47" customFormat="1" ht="12.75" customHeight="1">
      <c r="A267" s="49"/>
      <c r="B267" s="51"/>
      <c r="C267" s="49"/>
      <c r="E267" s="119"/>
      <c r="F267" s="49"/>
      <c r="G267" s="119"/>
      <c r="H267" s="49"/>
      <c r="I267" s="119"/>
      <c r="J267" s="49"/>
      <c r="K267" s="119"/>
      <c r="L267" s="49"/>
      <c r="M267" s="119"/>
      <c r="N267" s="49"/>
      <c r="O267" s="119"/>
      <c r="P267" s="49"/>
      <c r="Q267" s="119"/>
      <c r="R267" s="49"/>
      <c r="S267" s="119"/>
      <c r="T267" s="49"/>
      <c r="U267" s="119"/>
      <c r="V267" s="49"/>
      <c r="W267" s="49"/>
      <c r="X267" s="49"/>
      <c r="Z267" s="49"/>
      <c r="AA267" s="49"/>
      <c r="AB267" s="119"/>
      <c r="AC267" s="51"/>
      <c r="AD267" s="119"/>
      <c r="AE267" s="51"/>
      <c r="AF267" s="119"/>
      <c r="AG267" s="51"/>
      <c r="AH267" s="49"/>
      <c r="AI267" s="49"/>
      <c r="AJ267" s="49"/>
      <c r="AK267" s="49"/>
      <c r="AL267" s="119"/>
      <c r="AM267" s="49"/>
      <c r="AN267" s="119"/>
      <c r="AO267" s="49"/>
      <c r="AP267" s="119"/>
      <c r="AQ267" s="49"/>
      <c r="AR267" s="49"/>
      <c r="AS267" s="49"/>
      <c r="AT267" s="51"/>
    </row>
    <row r="268" spans="1:46" s="47" customFormat="1" ht="12.75" customHeight="1">
      <c r="A268" s="49"/>
      <c r="B268" s="51"/>
      <c r="C268" s="49"/>
      <c r="E268" s="119"/>
      <c r="F268" s="49"/>
      <c r="G268" s="119"/>
      <c r="H268" s="49"/>
      <c r="I268" s="119"/>
      <c r="J268" s="49"/>
      <c r="K268" s="119"/>
      <c r="L268" s="49"/>
      <c r="M268" s="119"/>
      <c r="N268" s="49"/>
      <c r="O268" s="119"/>
      <c r="P268" s="49"/>
      <c r="Q268" s="119"/>
      <c r="R268" s="49"/>
      <c r="S268" s="119"/>
      <c r="T268" s="49"/>
      <c r="U268" s="119"/>
      <c r="V268" s="49"/>
      <c r="W268" s="49"/>
      <c r="X268" s="49"/>
      <c r="Z268" s="49"/>
      <c r="AA268" s="49"/>
      <c r="AB268" s="119"/>
      <c r="AC268" s="51"/>
      <c r="AD268" s="119"/>
      <c r="AE268" s="51"/>
      <c r="AF268" s="119"/>
      <c r="AG268" s="51"/>
      <c r="AH268" s="49"/>
      <c r="AI268" s="49"/>
      <c r="AJ268" s="49"/>
      <c r="AK268" s="49"/>
      <c r="AL268" s="119"/>
      <c r="AM268" s="49"/>
      <c r="AN268" s="119"/>
      <c r="AO268" s="49"/>
      <c r="AP268" s="119"/>
      <c r="AQ268" s="49"/>
      <c r="AR268" s="49"/>
      <c r="AS268" s="49"/>
      <c r="AT268" s="51"/>
    </row>
    <row r="269" spans="1:46" s="47" customFormat="1" ht="12.75" customHeight="1">
      <c r="A269" s="49"/>
      <c r="B269" s="51"/>
      <c r="C269" s="49"/>
      <c r="E269" s="119"/>
      <c r="F269" s="49"/>
      <c r="G269" s="119"/>
      <c r="H269" s="49"/>
      <c r="I269" s="119"/>
      <c r="J269" s="49"/>
      <c r="K269" s="119"/>
      <c r="L269" s="49"/>
      <c r="M269" s="119"/>
      <c r="N269" s="49"/>
      <c r="O269" s="119"/>
      <c r="P269" s="49"/>
      <c r="Q269" s="119"/>
      <c r="R269" s="49"/>
      <c r="S269" s="119"/>
      <c r="T269" s="49"/>
      <c r="U269" s="119"/>
      <c r="V269" s="49"/>
      <c r="W269" s="49"/>
      <c r="X269" s="49"/>
      <c r="Z269" s="49"/>
      <c r="AA269" s="49"/>
      <c r="AB269" s="119"/>
      <c r="AC269" s="51"/>
      <c r="AD269" s="119"/>
      <c r="AE269" s="51"/>
      <c r="AF269" s="119"/>
      <c r="AG269" s="51"/>
      <c r="AH269" s="49"/>
      <c r="AI269" s="49"/>
      <c r="AJ269" s="49"/>
      <c r="AK269" s="49"/>
      <c r="AL269" s="119"/>
      <c r="AM269" s="49"/>
      <c r="AN269" s="119"/>
      <c r="AO269" s="49"/>
      <c r="AP269" s="119"/>
      <c r="AQ269" s="49"/>
      <c r="AR269" s="49"/>
      <c r="AS269" s="49"/>
      <c r="AT269" s="51"/>
    </row>
    <row r="270" spans="1:46" s="47" customFormat="1" ht="12.75" customHeight="1">
      <c r="A270" s="49"/>
      <c r="B270" s="51"/>
      <c r="C270" s="49"/>
      <c r="E270" s="119"/>
      <c r="F270" s="49"/>
      <c r="G270" s="119"/>
      <c r="H270" s="49"/>
      <c r="I270" s="119"/>
      <c r="J270" s="49"/>
      <c r="K270" s="119"/>
      <c r="L270" s="49"/>
      <c r="M270" s="119"/>
      <c r="N270" s="49"/>
      <c r="O270" s="119"/>
      <c r="P270" s="49"/>
      <c r="Q270" s="119"/>
      <c r="R270" s="49"/>
      <c r="S270" s="119"/>
      <c r="T270" s="49"/>
      <c r="U270" s="119"/>
      <c r="V270" s="49"/>
      <c r="W270" s="49"/>
      <c r="X270" s="49"/>
      <c r="Z270" s="49"/>
      <c r="AA270" s="49"/>
      <c r="AB270" s="119"/>
      <c r="AC270" s="51"/>
      <c r="AD270" s="119"/>
      <c r="AE270" s="51"/>
      <c r="AF270" s="119"/>
      <c r="AG270" s="51"/>
      <c r="AH270" s="49"/>
      <c r="AI270" s="49"/>
      <c r="AJ270" s="49"/>
      <c r="AK270" s="49"/>
      <c r="AL270" s="119"/>
      <c r="AM270" s="49"/>
      <c r="AN270" s="119"/>
      <c r="AO270" s="49"/>
      <c r="AP270" s="119"/>
      <c r="AQ270" s="49"/>
      <c r="AR270" s="49"/>
      <c r="AS270" s="49"/>
      <c r="AT270" s="51"/>
    </row>
    <row r="271" spans="1:46" s="47" customFormat="1" ht="12.75" customHeight="1">
      <c r="A271" s="49"/>
      <c r="B271" s="51"/>
      <c r="C271" s="49"/>
      <c r="E271" s="119"/>
      <c r="F271" s="49"/>
      <c r="G271" s="119"/>
      <c r="H271" s="49"/>
      <c r="I271" s="119"/>
      <c r="J271" s="49"/>
      <c r="K271" s="119"/>
      <c r="L271" s="49"/>
      <c r="M271" s="119"/>
      <c r="N271" s="49"/>
      <c r="O271" s="119"/>
      <c r="P271" s="49"/>
      <c r="Q271" s="119"/>
      <c r="R271" s="49"/>
      <c r="S271" s="119"/>
      <c r="T271" s="49"/>
      <c r="U271" s="119"/>
      <c r="V271" s="49"/>
      <c r="W271" s="49"/>
      <c r="X271" s="49"/>
      <c r="Z271" s="49"/>
      <c r="AA271" s="49"/>
      <c r="AB271" s="119"/>
      <c r="AC271" s="51"/>
      <c r="AD271" s="119"/>
      <c r="AE271" s="51"/>
      <c r="AF271" s="119"/>
      <c r="AG271" s="51"/>
      <c r="AH271" s="49"/>
      <c r="AI271" s="49"/>
      <c r="AJ271" s="49"/>
      <c r="AK271" s="49"/>
      <c r="AL271" s="119"/>
      <c r="AM271" s="49"/>
      <c r="AN271" s="119"/>
      <c r="AO271" s="49"/>
      <c r="AP271" s="119"/>
      <c r="AQ271" s="49"/>
      <c r="AR271" s="49"/>
      <c r="AS271" s="49"/>
      <c r="AT271" s="51"/>
    </row>
    <row r="272" spans="1:46" s="47" customFormat="1" ht="12.75" customHeight="1">
      <c r="A272" s="49"/>
      <c r="B272" s="51"/>
      <c r="C272" s="49"/>
      <c r="E272" s="119"/>
      <c r="F272" s="49"/>
      <c r="G272" s="119"/>
      <c r="H272" s="49"/>
      <c r="I272" s="119"/>
      <c r="J272" s="49"/>
      <c r="K272" s="119"/>
      <c r="L272" s="49"/>
      <c r="M272" s="119"/>
      <c r="N272" s="49"/>
      <c r="O272" s="119"/>
      <c r="P272" s="49"/>
      <c r="Q272" s="119"/>
      <c r="R272" s="49"/>
      <c r="S272" s="119"/>
      <c r="T272" s="49"/>
      <c r="U272" s="119"/>
      <c r="V272" s="49"/>
      <c r="W272" s="49"/>
      <c r="X272" s="49"/>
      <c r="Z272" s="49"/>
      <c r="AA272" s="49"/>
      <c r="AB272" s="119"/>
      <c r="AC272" s="51"/>
      <c r="AD272" s="119"/>
      <c r="AE272" s="51"/>
      <c r="AF272" s="119"/>
      <c r="AG272" s="51"/>
      <c r="AH272" s="49"/>
      <c r="AI272" s="49"/>
      <c r="AJ272" s="49"/>
      <c r="AK272" s="49"/>
      <c r="AL272" s="119"/>
      <c r="AM272" s="49"/>
      <c r="AN272" s="119"/>
      <c r="AO272" s="49"/>
      <c r="AP272" s="119"/>
      <c r="AQ272" s="49"/>
      <c r="AR272" s="49"/>
      <c r="AS272" s="49"/>
      <c r="AT272" s="51"/>
    </row>
    <row r="273" spans="1:46" s="47" customFormat="1" ht="12.75" customHeight="1">
      <c r="A273" s="49"/>
      <c r="B273" s="51"/>
      <c r="C273" s="49"/>
      <c r="E273" s="119"/>
      <c r="F273" s="49"/>
      <c r="G273" s="119"/>
      <c r="H273" s="49"/>
      <c r="I273" s="119"/>
      <c r="J273" s="49"/>
      <c r="K273" s="119"/>
      <c r="L273" s="49"/>
      <c r="M273" s="119"/>
      <c r="N273" s="49"/>
      <c r="O273" s="119"/>
      <c r="P273" s="49"/>
      <c r="Q273" s="119"/>
      <c r="R273" s="49"/>
      <c r="S273" s="119"/>
      <c r="T273" s="49"/>
      <c r="U273" s="119"/>
      <c r="V273" s="49"/>
      <c r="W273" s="49"/>
      <c r="X273" s="49"/>
      <c r="Z273" s="49"/>
      <c r="AA273" s="49"/>
      <c r="AB273" s="119"/>
      <c r="AC273" s="51"/>
      <c r="AD273" s="119"/>
      <c r="AE273" s="51"/>
      <c r="AF273" s="119"/>
      <c r="AG273" s="51"/>
      <c r="AH273" s="49"/>
      <c r="AI273" s="49"/>
      <c r="AJ273" s="49"/>
      <c r="AK273" s="49"/>
      <c r="AL273" s="119"/>
      <c r="AM273" s="49"/>
      <c r="AN273" s="119"/>
      <c r="AO273" s="49"/>
      <c r="AP273" s="119"/>
      <c r="AQ273" s="49"/>
      <c r="AR273" s="49"/>
      <c r="AS273" s="49"/>
      <c r="AT273" s="51"/>
    </row>
    <row r="274" spans="1:46" s="47" customFormat="1" ht="12.75" customHeight="1">
      <c r="A274" s="49"/>
      <c r="B274" s="51"/>
      <c r="C274" s="49"/>
      <c r="E274" s="119"/>
      <c r="F274" s="49"/>
      <c r="G274" s="119"/>
      <c r="H274" s="49"/>
      <c r="I274" s="119"/>
      <c r="J274" s="49"/>
      <c r="K274" s="119"/>
      <c r="L274" s="49"/>
      <c r="M274" s="119"/>
      <c r="N274" s="49"/>
      <c r="O274" s="119"/>
      <c r="P274" s="49"/>
      <c r="Q274" s="119"/>
      <c r="R274" s="49"/>
      <c r="S274" s="119"/>
      <c r="T274" s="49"/>
      <c r="U274" s="119"/>
      <c r="V274" s="49"/>
      <c r="W274" s="49"/>
      <c r="X274" s="49"/>
      <c r="Z274" s="49"/>
      <c r="AA274" s="49"/>
      <c r="AB274" s="119"/>
      <c r="AC274" s="51"/>
      <c r="AD274" s="119"/>
      <c r="AE274" s="51"/>
      <c r="AF274" s="119"/>
      <c r="AG274" s="51"/>
      <c r="AH274" s="49"/>
      <c r="AI274" s="49"/>
      <c r="AJ274" s="49"/>
      <c r="AK274" s="49"/>
      <c r="AL274" s="119"/>
      <c r="AM274" s="49"/>
      <c r="AN274" s="119"/>
      <c r="AO274" s="49"/>
      <c r="AP274" s="119"/>
      <c r="AQ274" s="49"/>
      <c r="AR274" s="49"/>
      <c r="AS274" s="49"/>
      <c r="AT274" s="51"/>
    </row>
    <row r="275" spans="1:46" s="47" customFormat="1" ht="12.75" customHeight="1">
      <c r="A275" s="49"/>
      <c r="B275" s="51"/>
      <c r="C275" s="49"/>
      <c r="E275" s="119"/>
      <c r="F275" s="49"/>
      <c r="G275" s="119"/>
      <c r="H275" s="49"/>
      <c r="I275" s="119"/>
      <c r="J275" s="49"/>
      <c r="K275" s="119"/>
      <c r="L275" s="49"/>
      <c r="M275" s="119"/>
      <c r="N275" s="49"/>
      <c r="O275" s="119"/>
      <c r="P275" s="49"/>
      <c r="Q275" s="119"/>
      <c r="R275" s="49"/>
      <c r="S275" s="119"/>
      <c r="T275" s="49"/>
      <c r="U275" s="119"/>
      <c r="V275" s="49"/>
      <c r="W275" s="49"/>
      <c r="X275" s="49"/>
      <c r="Z275" s="49"/>
      <c r="AA275" s="49"/>
      <c r="AB275" s="119"/>
      <c r="AC275" s="51"/>
      <c r="AD275" s="119"/>
      <c r="AE275" s="51"/>
      <c r="AF275" s="119"/>
      <c r="AG275" s="51"/>
      <c r="AH275" s="49"/>
      <c r="AI275" s="49"/>
      <c r="AJ275" s="49"/>
      <c r="AK275" s="49"/>
      <c r="AL275" s="119"/>
      <c r="AM275" s="49"/>
      <c r="AN275" s="119"/>
      <c r="AO275" s="49"/>
      <c r="AP275" s="119"/>
      <c r="AQ275" s="49"/>
      <c r="AR275" s="49"/>
      <c r="AS275" s="49"/>
      <c r="AT275" s="51"/>
    </row>
    <row r="276" spans="1:46" s="47" customFormat="1" ht="12.75" customHeight="1">
      <c r="A276" s="49"/>
      <c r="B276" s="51"/>
      <c r="C276" s="49"/>
      <c r="E276" s="119"/>
      <c r="F276" s="49"/>
      <c r="G276" s="119"/>
      <c r="H276" s="49"/>
      <c r="I276" s="119"/>
      <c r="J276" s="49"/>
      <c r="K276" s="119"/>
      <c r="L276" s="49"/>
      <c r="M276" s="119"/>
      <c r="N276" s="49"/>
      <c r="O276" s="119"/>
      <c r="P276" s="49"/>
      <c r="Q276" s="119"/>
      <c r="R276" s="49"/>
      <c r="S276" s="119"/>
      <c r="T276" s="49"/>
      <c r="U276" s="119"/>
      <c r="V276" s="49"/>
      <c r="W276" s="49"/>
      <c r="X276" s="49"/>
      <c r="Z276" s="49"/>
      <c r="AA276" s="49"/>
      <c r="AB276" s="119"/>
      <c r="AC276" s="51"/>
      <c r="AD276" s="119"/>
      <c r="AE276" s="51"/>
      <c r="AF276" s="119"/>
      <c r="AG276" s="51"/>
      <c r="AH276" s="49"/>
      <c r="AI276" s="49"/>
      <c r="AJ276" s="49"/>
      <c r="AK276" s="49"/>
      <c r="AL276" s="119"/>
      <c r="AM276" s="49"/>
      <c r="AN276" s="119"/>
      <c r="AO276" s="49"/>
      <c r="AP276" s="119"/>
      <c r="AQ276" s="49"/>
      <c r="AR276" s="49"/>
      <c r="AS276" s="49"/>
      <c r="AT276" s="51"/>
    </row>
    <row r="277" spans="1:46" s="47" customFormat="1" ht="12.75" customHeight="1">
      <c r="A277" s="49"/>
      <c r="B277" s="51"/>
      <c r="C277" s="49"/>
      <c r="E277" s="119"/>
      <c r="F277" s="49"/>
      <c r="G277" s="119"/>
      <c r="H277" s="49"/>
      <c r="I277" s="119"/>
      <c r="J277" s="49"/>
      <c r="K277" s="119"/>
      <c r="L277" s="49"/>
      <c r="M277" s="119"/>
      <c r="N277" s="49"/>
      <c r="O277" s="119"/>
      <c r="P277" s="49"/>
      <c r="Q277" s="119"/>
      <c r="R277" s="49"/>
      <c r="S277" s="119"/>
      <c r="T277" s="49"/>
      <c r="U277" s="119"/>
      <c r="V277" s="49"/>
      <c r="W277" s="49"/>
      <c r="X277" s="49"/>
      <c r="Z277" s="49"/>
      <c r="AA277" s="49"/>
      <c r="AB277" s="119"/>
      <c r="AC277" s="51"/>
      <c r="AD277" s="119"/>
      <c r="AE277" s="51"/>
      <c r="AF277" s="119"/>
      <c r="AG277" s="51"/>
      <c r="AH277" s="49"/>
      <c r="AI277" s="49"/>
      <c r="AJ277" s="49"/>
      <c r="AK277" s="49"/>
      <c r="AL277" s="119"/>
      <c r="AM277" s="49"/>
      <c r="AN277" s="119"/>
      <c r="AO277" s="49"/>
      <c r="AP277" s="119"/>
      <c r="AQ277" s="49"/>
      <c r="AR277" s="49"/>
      <c r="AS277" s="49"/>
      <c r="AT277" s="51"/>
    </row>
    <row r="278" spans="1:46" s="47" customFormat="1" ht="12.75" customHeight="1">
      <c r="A278" s="49"/>
      <c r="B278" s="51"/>
      <c r="C278" s="49"/>
      <c r="E278" s="119"/>
      <c r="F278" s="49"/>
      <c r="G278" s="119"/>
      <c r="H278" s="49"/>
      <c r="I278" s="119"/>
      <c r="J278" s="49"/>
      <c r="K278" s="119"/>
      <c r="L278" s="49"/>
      <c r="M278" s="119"/>
      <c r="N278" s="49"/>
      <c r="O278" s="119"/>
      <c r="P278" s="49"/>
      <c r="Q278" s="119"/>
      <c r="R278" s="49"/>
      <c r="S278" s="119"/>
      <c r="T278" s="49"/>
      <c r="U278" s="119"/>
      <c r="V278" s="49"/>
      <c r="W278" s="49"/>
      <c r="X278" s="49"/>
      <c r="Z278" s="49"/>
      <c r="AA278" s="49"/>
      <c r="AB278" s="119"/>
      <c r="AC278" s="51"/>
      <c r="AD278" s="119"/>
      <c r="AE278" s="51"/>
      <c r="AF278" s="119"/>
      <c r="AG278" s="51"/>
      <c r="AH278" s="49"/>
      <c r="AI278" s="49"/>
      <c r="AJ278" s="49"/>
      <c r="AK278" s="49"/>
      <c r="AL278" s="119"/>
      <c r="AM278" s="49"/>
      <c r="AN278" s="119"/>
      <c r="AO278" s="49"/>
      <c r="AP278" s="119"/>
      <c r="AQ278" s="49"/>
      <c r="AR278" s="49"/>
      <c r="AS278" s="49"/>
      <c r="AT278" s="51"/>
    </row>
    <row r="279" spans="1:46" s="47" customFormat="1" ht="12.75" customHeight="1">
      <c r="A279" s="49"/>
      <c r="B279" s="51"/>
      <c r="C279" s="49"/>
      <c r="E279" s="119"/>
      <c r="F279" s="49"/>
      <c r="G279" s="119"/>
      <c r="H279" s="49"/>
      <c r="I279" s="119"/>
      <c r="J279" s="49"/>
      <c r="K279" s="119"/>
      <c r="L279" s="49"/>
      <c r="M279" s="119"/>
      <c r="N279" s="49"/>
      <c r="O279" s="119"/>
      <c r="P279" s="49"/>
      <c r="Q279" s="119"/>
      <c r="R279" s="49"/>
      <c r="S279" s="119"/>
      <c r="T279" s="49"/>
      <c r="U279" s="119"/>
      <c r="V279" s="49"/>
      <c r="W279" s="49"/>
      <c r="X279" s="49"/>
      <c r="Z279" s="49"/>
      <c r="AA279" s="49"/>
      <c r="AB279" s="119"/>
      <c r="AC279" s="51"/>
      <c r="AD279" s="119"/>
      <c r="AE279" s="51"/>
      <c r="AF279" s="119"/>
      <c r="AG279" s="51"/>
      <c r="AH279" s="49"/>
      <c r="AI279" s="49"/>
      <c r="AJ279" s="49"/>
      <c r="AK279" s="49"/>
      <c r="AL279" s="119"/>
      <c r="AM279" s="49"/>
      <c r="AN279" s="119"/>
      <c r="AO279" s="49"/>
      <c r="AP279" s="119"/>
      <c r="AQ279" s="49"/>
      <c r="AR279" s="49"/>
      <c r="AS279" s="49"/>
      <c r="AT279" s="51"/>
    </row>
    <row r="280" spans="1:46" s="47" customFormat="1" ht="12.75" customHeight="1">
      <c r="A280" s="49"/>
      <c r="B280" s="51"/>
      <c r="C280" s="49"/>
      <c r="E280" s="119"/>
      <c r="F280" s="49"/>
      <c r="G280" s="119"/>
      <c r="H280" s="49"/>
      <c r="I280" s="119"/>
      <c r="J280" s="49"/>
      <c r="K280" s="119"/>
      <c r="L280" s="49"/>
      <c r="M280" s="119"/>
      <c r="N280" s="49"/>
      <c r="O280" s="119"/>
      <c r="P280" s="49"/>
      <c r="Q280" s="119"/>
      <c r="R280" s="49"/>
      <c r="S280" s="119"/>
      <c r="T280" s="49"/>
      <c r="U280" s="119"/>
      <c r="V280" s="49"/>
      <c r="W280" s="49"/>
      <c r="X280" s="49"/>
      <c r="Z280" s="49"/>
      <c r="AA280" s="49"/>
      <c r="AB280" s="119"/>
      <c r="AC280" s="51"/>
      <c r="AD280" s="119"/>
      <c r="AE280" s="51"/>
      <c r="AF280" s="119"/>
      <c r="AG280" s="51"/>
      <c r="AH280" s="49"/>
      <c r="AI280" s="49"/>
      <c r="AJ280" s="49"/>
      <c r="AK280" s="49"/>
      <c r="AL280" s="119"/>
      <c r="AM280" s="49"/>
      <c r="AN280" s="119"/>
      <c r="AO280" s="49"/>
      <c r="AP280" s="119"/>
      <c r="AQ280" s="49"/>
      <c r="AR280" s="49"/>
      <c r="AS280" s="49"/>
      <c r="AT280" s="51"/>
    </row>
    <row r="281" spans="1:46" s="47" customFormat="1" ht="12.75" customHeight="1">
      <c r="A281" s="49"/>
      <c r="B281" s="51"/>
      <c r="C281" s="49"/>
      <c r="E281" s="119"/>
      <c r="F281" s="49"/>
      <c r="G281" s="119"/>
      <c r="H281" s="49"/>
      <c r="I281" s="119"/>
      <c r="J281" s="49"/>
      <c r="K281" s="119"/>
      <c r="L281" s="49"/>
      <c r="M281" s="119"/>
      <c r="N281" s="49"/>
      <c r="O281" s="119"/>
      <c r="P281" s="49"/>
      <c r="Q281" s="119"/>
      <c r="R281" s="49"/>
      <c r="S281" s="119"/>
      <c r="T281" s="49"/>
      <c r="U281" s="119"/>
      <c r="V281" s="49"/>
      <c r="W281" s="49"/>
      <c r="X281" s="49"/>
      <c r="Z281" s="49"/>
      <c r="AA281" s="49"/>
      <c r="AB281" s="119"/>
      <c r="AC281" s="51"/>
      <c r="AD281" s="119"/>
      <c r="AE281" s="51"/>
      <c r="AF281" s="119"/>
      <c r="AG281" s="51"/>
      <c r="AH281" s="49"/>
      <c r="AI281" s="49"/>
      <c r="AJ281" s="49"/>
      <c r="AK281" s="49"/>
      <c r="AL281" s="119"/>
      <c r="AM281" s="49"/>
      <c r="AN281" s="119"/>
      <c r="AO281" s="49"/>
      <c r="AP281" s="119"/>
      <c r="AQ281" s="49"/>
      <c r="AR281" s="49"/>
      <c r="AS281" s="49"/>
      <c r="AT281" s="51"/>
    </row>
    <row r="282" spans="1:46" s="47" customFormat="1" ht="12.75" customHeight="1">
      <c r="A282" s="49"/>
      <c r="B282" s="51"/>
      <c r="C282" s="49"/>
      <c r="E282" s="119"/>
      <c r="F282" s="49"/>
      <c r="G282" s="119"/>
      <c r="H282" s="49"/>
      <c r="I282" s="119"/>
      <c r="J282" s="49"/>
      <c r="K282" s="119"/>
      <c r="L282" s="49"/>
      <c r="M282" s="119"/>
      <c r="N282" s="49"/>
      <c r="O282" s="119"/>
      <c r="P282" s="49"/>
      <c r="Q282" s="119"/>
      <c r="R282" s="49"/>
      <c r="S282" s="119"/>
      <c r="T282" s="49"/>
      <c r="U282" s="119"/>
      <c r="V282" s="49"/>
      <c r="W282" s="49"/>
      <c r="X282" s="49"/>
      <c r="Z282" s="49"/>
      <c r="AA282" s="49"/>
      <c r="AB282" s="119"/>
      <c r="AC282" s="51"/>
      <c r="AD282" s="119"/>
      <c r="AE282" s="51"/>
      <c r="AF282" s="119"/>
      <c r="AG282" s="51"/>
      <c r="AH282" s="49"/>
      <c r="AI282" s="49"/>
      <c r="AJ282" s="49"/>
      <c r="AK282" s="49"/>
      <c r="AL282" s="119"/>
      <c r="AM282" s="49"/>
      <c r="AN282" s="119"/>
      <c r="AO282" s="49"/>
      <c r="AP282" s="119"/>
      <c r="AQ282" s="49"/>
      <c r="AR282" s="49"/>
      <c r="AS282" s="49"/>
      <c r="AT282" s="51"/>
    </row>
    <row r="283" spans="1:46" s="47" customFormat="1" ht="12.75" customHeight="1">
      <c r="A283" s="49"/>
      <c r="B283" s="51"/>
      <c r="C283" s="49"/>
      <c r="E283" s="119"/>
      <c r="F283" s="49"/>
      <c r="G283" s="119"/>
      <c r="H283" s="49"/>
      <c r="I283" s="119"/>
      <c r="J283" s="49"/>
      <c r="K283" s="119"/>
      <c r="L283" s="49"/>
      <c r="M283" s="119"/>
      <c r="N283" s="49"/>
      <c r="O283" s="119"/>
      <c r="P283" s="49"/>
      <c r="Q283" s="119"/>
      <c r="R283" s="49"/>
      <c r="S283" s="119"/>
      <c r="T283" s="49"/>
      <c r="U283" s="119"/>
      <c r="V283" s="49"/>
      <c r="W283" s="49"/>
      <c r="X283" s="49"/>
      <c r="Z283" s="49"/>
      <c r="AA283" s="49"/>
      <c r="AB283" s="119"/>
      <c r="AC283" s="51"/>
      <c r="AD283" s="119"/>
      <c r="AE283" s="51"/>
      <c r="AF283" s="119"/>
      <c r="AG283" s="51"/>
      <c r="AH283" s="49"/>
      <c r="AI283" s="49"/>
      <c r="AJ283" s="49"/>
      <c r="AK283" s="49"/>
      <c r="AL283" s="119"/>
      <c r="AM283" s="49"/>
      <c r="AN283" s="119"/>
      <c r="AO283" s="49"/>
      <c r="AP283" s="119"/>
      <c r="AQ283" s="49"/>
      <c r="AR283" s="49"/>
      <c r="AS283" s="49"/>
      <c r="AT283" s="51"/>
    </row>
    <row r="284" spans="1:46" s="47" customFormat="1" ht="12.75" customHeight="1">
      <c r="A284" s="49"/>
      <c r="B284" s="51"/>
      <c r="C284" s="49"/>
      <c r="E284" s="119"/>
      <c r="F284" s="49"/>
      <c r="G284" s="119"/>
      <c r="H284" s="49"/>
      <c r="I284" s="119"/>
      <c r="J284" s="49"/>
      <c r="K284" s="119"/>
      <c r="L284" s="49"/>
      <c r="M284" s="119"/>
      <c r="N284" s="49"/>
      <c r="O284" s="119"/>
      <c r="P284" s="49"/>
      <c r="Q284" s="119"/>
      <c r="R284" s="49"/>
      <c r="S284" s="119"/>
      <c r="T284" s="49"/>
      <c r="U284" s="119"/>
      <c r="V284" s="49"/>
      <c r="W284" s="49"/>
      <c r="X284" s="49"/>
      <c r="Z284" s="49"/>
      <c r="AA284" s="49"/>
      <c r="AB284" s="119"/>
      <c r="AC284" s="51"/>
      <c r="AD284" s="119"/>
      <c r="AE284" s="51"/>
      <c r="AF284" s="119"/>
      <c r="AG284" s="51"/>
      <c r="AH284" s="49"/>
      <c r="AI284" s="49"/>
      <c r="AJ284" s="49"/>
      <c r="AK284" s="49"/>
      <c r="AL284" s="119"/>
      <c r="AM284" s="49"/>
      <c r="AN284" s="119"/>
      <c r="AO284" s="49"/>
      <c r="AP284" s="119"/>
      <c r="AQ284" s="49"/>
      <c r="AR284" s="49"/>
      <c r="AS284" s="49"/>
      <c r="AT284" s="51"/>
    </row>
    <row r="285" spans="1:46" s="47" customFormat="1" ht="12.75" customHeight="1">
      <c r="A285" s="49"/>
      <c r="B285" s="51"/>
      <c r="C285" s="49"/>
      <c r="E285" s="119"/>
      <c r="F285" s="49"/>
      <c r="G285" s="119"/>
      <c r="H285" s="49"/>
      <c r="I285" s="119"/>
      <c r="J285" s="49"/>
      <c r="K285" s="119"/>
      <c r="L285" s="49"/>
      <c r="M285" s="119"/>
      <c r="N285" s="49"/>
      <c r="O285" s="119"/>
      <c r="P285" s="49"/>
      <c r="Q285" s="119"/>
      <c r="R285" s="49"/>
      <c r="S285" s="119"/>
      <c r="T285" s="49"/>
      <c r="U285" s="119"/>
      <c r="V285" s="49"/>
      <c r="W285" s="49"/>
      <c r="X285" s="49"/>
      <c r="Z285" s="49"/>
      <c r="AA285" s="49"/>
      <c r="AB285" s="119"/>
      <c r="AC285" s="51"/>
      <c r="AD285" s="119"/>
      <c r="AE285" s="51"/>
      <c r="AF285" s="119"/>
      <c r="AG285" s="51"/>
      <c r="AH285" s="49"/>
      <c r="AI285" s="49"/>
      <c r="AJ285" s="49"/>
      <c r="AK285" s="49"/>
      <c r="AL285" s="119"/>
      <c r="AM285" s="49"/>
      <c r="AN285" s="119"/>
      <c r="AO285" s="49"/>
      <c r="AP285" s="119"/>
      <c r="AQ285" s="49"/>
      <c r="AR285" s="49"/>
      <c r="AS285" s="49"/>
      <c r="AT285" s="51"/>
    </row>
    <row r="286" spans="1:46" s="47" customFormat="1" ht="12.75" customHeight="1">
      <c r="A286" s="49"/>
      <c r="B286" s="51"/>
      <c r="C286" s="49"/>
      <c r="E286" s="119"/>
      <c r="F286" s="49"/>
      <c r="G286" s="119"/>
      <c r="H286" s="49"/>
      <c r="I286" s="119"/>
      <c r="J286" s="49"/>
      <c r="K286" s="119"/>
      <c r="L286" s="49"/>
      <c r="M286" s="119"/>
      <c r="N286" s="49"/>
      <c r="O286" s="119"/>
      <c r="P286" s="49"/>
      <c r="Q286" s="119"/>
      <c r="R286" s="49"/>
      <c r="S286" s="119"/>
      <c r="T286" s="49"/>
      <c r="U286" s="119"/>
      <c r="V286" s="49"/>
      <c r="W286" s="49"/>
      <c r="X286" s="49"/>
      <c r="Z286" s="49"/>
      <c r="AA286" s="49"/>
      <c r="AB286" s="119"/>
      <c r="AC286" s="51"/>
      <c r="AD286" s="119"/>
      <c r="AE286" s="51"/>
      <c r="AF286" s="119"/>
      <c r="AG286" s="51"/>
      <c r="AH286" s="49"/>
      <c r="AI286" s="49"/>
      <c r="AJ286" s="49"/>
      <c r="AK286" s="49"/>
      <c r="AL286" s="119"/>
      <c r="AM286" s="49"/>
      <c r="AN286" s="119"/>
      <c r="AO286" s="49"/>
      <c r="AP286" s="119"/>
      <c r="AQ286" s="49"/>
      <c r="AR286" s="49"/>
      <c r="AS286" s="49"/>
      <c r="AT286" s="51"/>
    </row>
    <row r="287" spans="1:46" s="47" customFormat="1" ht="12.75" customHeight="1">
      <c r="A287" s="49"/>
      <c r="B287" s="51"/>
      <c r="C287" s="49"/>
      <c r="E287" s="119"/>
      <c r="F287" s="49"/>
      <c r="G287" s="119"/>
      <c r="H287" s="49"/>
      <c r="I287" s="119"/>
      <c r="J287" s="49"/>
      <c r="K287" s="119"/>
      <c r="L287" s="49"/>
      <c r="M287" s="119"/>
      <c r="N287" s="49"/>
      <c r="O287" s="119"/>
      <c r="P287" s="49"/>
      <c r="Q287" s="119"/>
      <c r="R287" s="49"/>
      <c r="S287" s="119"/>
      <c r="T287" s="49"/>
      <c r="U287" s="119"/>
      <c r="V287" s="49"/>
      <c r="W287" s="49"/>
      <c r="X287" s="49"/>
      <c r="Z287" s="49"/>
      <c r="AA287" s="49"/>
      <c r="AB287" s="119"/>
      <c r="AC287" s="51"/>
      <c r="AD287" s="119"/>
      <c r="AE287" s="51"/>
      <c r="AF287" s="119"/>
      <c r="AG287" s="51"/>
      <c r="AH287" s="49"/>
      <c r="AI287" s="49"/>
      <c r="AJ287" s="49"/>
      <c r="AK287" s="49"/>
      <c r="AL287" s="119"/>
      <c r="AM287" s="49"/>
      <c r="AN287" s="119"/>
      <c r="AO287" s="49"/>
      <c r="AP287" s="119"/>
      <c r="AQ287" s="49"/>
      <c r="AR287" s="49"/>
      <c r="AS287" s="49"/>
      <c r="AT287" s="51"/>
    </row>
    <row r="288" spans="1:46" s="47" customFormat="1" ht="12.75" customHeight="1">
      <c r="A288" s="49"/>
      <c r="B288" s="51"/>
      <c r="C288" s="49"/>
      <c r="E288" s="119"/>
      <c r="F288" s="49"/>
      <c r="G288" s="119"/>
      <c r="H288" s="49"/>
      <c r="I288" s="119"/>
      <c r="J288" s="49"/>
      <c r="K288" s="119"/>
      <c r="L288" s="49"/>
      <c r="M288" s="119"/>
      <c r="N288" s="49"/>
      <c r="O288" s="119"/>
      <c r="P288" s="49"/>
      <c r="Q288" s="119"/>
      <c r="R288" s="49"/>
      <c r="S288" s="119"/>
      <c r="T288" s="49"/>
      <c r="U288" s="119"/>
      <c r="V288" s="49"/>
      <c r="W288" s="49"/>
      <c r="X288" s="49"/>
      <c r="Z288" s="49"/>
      <c r="AA288" s="49"/>
      <c r="AB288" s="119"/>
      <c r="AC288" s="51"/>
      <c r="AD288" s="119"/>
      <c r="AE288" s="51"/>
      <c r="AF288" s="119"/>
      <c r="AG288" s="51"/>
      <c r="AH288" s="49"/>
      <c r="AI288" s="49"/>
      <c r="AJ288" s="49"/>
      <c r="AK288" s="49"/>
      <c r="AL288" s="119"/>
      <c r="AM288" s="49"/>
      <c r="AN288" s="119"/>
      <c r="AO288" s="49"/>
      <c r="AP288" s="119"/>
      <c r="AQ288" s="49"/>
      <c r="AR288" s="49"/>
      <c r="AS288" s="49"/>
      <c r="AT288" s="51"/>
    </row>
    <row r="289" spans="1:46" s="47" customFormat="1" ht="12.75" customHeight="1">
      <c r="A289" s="49"/>
      <c r="B289" s="51"/>
      <c r="C289" s="49"/>
      <c r="E289" s="119"/>
      <c r="F289" s="49"/>
      <c r="G289" s="119"/>
      <c r="H289" s="49"/>
      <c r="I289" s="119"/>
      <c r="J289" s="49"/>
      <c r="K289" s="119"/>
      <c r="L289" s="49"/>
      <c r="M289" s="119"/>
      <c r="N289" s="49"/>
      <c r="O289" s="119"/>
      <c r="P289" s="49"/>
      <c r="Q289" s="119"/>
      <c r="R289" s="49"/>
      <c r="S289" s="119"/>
      <c r="T289" s="49"/>
      <c r="U289" s="119"/>
      <c r="V289" s="49"/>
      <c r="W289" s="49"/>
      <c r="X289" s="49"/>
      <c r="Z289" s="49"/>
      <c r="AA289" s="49"/>
      <c r="AB289" s="119"/>
      <c r="AC289" s="51"/>
      <c r="AD289" s="119"/>
      <c r="AE289" s="51"/>
      <c r="AF289" s="119"/>
      <c r="AG289" s="51"/>
      <c r="AH289" s="49"/>
      <c r="AI289" s="49"/>
      <c r="AJ289" s="49"/>
      <c r="AK289" s="49"/>
      <c r="AL289" s="119"/>
      <c r="AM289" s="49"/>
      <c r="AN289" s="119"/>
      <c r="AO289" s="49"/>
      <c r="AP289" s="119"/>
      <c r="AQ289" s="49"/>
      <c r="AR289" s="49"/>
      <c r="AS289" s="49"/>
      <c r="AT289" s="51"/>
    </row>
    <row r="290" spans="1:46" s="47" customFormat="1" ht="12.75" customHeight="1">
      <c r="A290" s="49"/>
      <c r="B290" s="51"/>
      <c r="C290" s="49"/>
      <c r="E290" s="119"/>
      <c r="F290" s="49"/>
      <c r="G290" s="119"/>
      <c r="H290" s="49"/>
      <c r="I290" s="119"/>
      <c r="J290" s="49"/>
      <c r="K290" s="119"/>
      <c r="L290" s="49"/>
      <c r="M290" s="119"/>
      <c r="N290" s="49"/>
      <c r="O290" s="119"/>
      <c r="P290" s="49"/>
      <c r="Q290" s="119"/>
      <c r="R290" s="49"/>
      <c r="S290" s="119"/>
      <c r="T290" s="49"/>
      <c r="U290" s="119"/>
      <c r="V290" s="49"/>
      <c r="W290" s="49"/>
      <c r="X290" s="49"/>
      <c r="Z290" s="49"/>
      <c r="AA290" s="49"/>
      <c r="AB290" s="119"/>
      <c r="AC290" s="51"/>
      <c r="AD290" s="119"/>
      <c r="AE290" s="51"/>
      <c r="AF290" s="119"/>
      <c r="AG290" s="51"/>
      <c r="AH290" s="49"/>
      <c r="AI290" s="49"/>
      <c r="AJ290" s="49"/>
      <c r="AK290" s="49"/>
      <c r="AL290" s="119"/>
      <c r="AM290" s="49"/>
      <c r="AN290" s="119"/>
      <c r="AO290" s="49"/>
      <c r="AP290" s="119"/>
      <c r="AQ290" s="49"/>
      <c r="AR290" s="49"/>
      <c r="AS290" s="49"/>
      <c r="AT290" s="51"/>
    </row>
    <row r="291" spans="1:46" s="47" customFormat="1" ht="12.75" customHeight="1">
      <c r="A291" s="49"/>
      <c r="B291" s="51"/>
      <c r="C291" s="49"/>
      <c r="E291" s="119"/>
      <c r="F291" s="49"/>
      <c r="G291" s="119"/>
      <c r="H291" s="49"/>
      <c r="I291" s="119"/>
      <c r="J291" s="49"/>
      <c r="K291" s="119"/>
      <c r="L291" s="49"/>
      <c r="M291" s="119"/>
      <c r="N291" s="49"/>
      <c r="O291" s="119"/>
      <c r="P291" s="49"/>
      <c r="Q291" s="119"/>
      <c r="R291" s="49"/>
      <c r="S291" s="119"/>
      <c r="T291" s="49"/>
      <c r="U291" s="119"/>
      <c r="V291" s="49"/>
      <c r="W291" s="49"/>
      <c r="X291" s="49"/>
      <c r="Z291" s="49"/>
      <c r="AA291" s="49"/>
      <c r="AB291" s="119"/>
      <c r="AC291" s="51"/>
      <c r="AD291" s="119"/>
      <c r="AE291" s="51"/>
      <c r="AF291" s="119"/>
      <c r="AG291" s="51"/>
      <c r="AH291" s="49"/>
      <c r="AI291" s="49"/>
      <c r="AJ291" s="49"/>
      <c r="AK291" s="49"/>
      <c r="AL291" s="119"/>
      <c r="AM291" s="49"/>
      <c r="AN291" s="119"/>
      <c r="AO291" s="49"/>
      <c r="AP291" s="119"/>
      <c r="AQ291" s="49"/>
      <c r="AR291" s="49"/>
      <c r="AS291" s="49"/>
      <c r="AT291" s="51"/>
    </row>
    <row r="292" spans="1:46" s="47" customFormat="1" ht="12.75" customHeight="1">
      <c r="A292" s="49"/>
      <c r="B292" s="51"/>
      <c r="C292" s="49"/>
      <c r="E292" s="119"/>
      <c r="F292" s="49"/>
      <c r="G292" s="119"/>
      <c r="H292" s="49"/>
      <c r="I292" s="119"/>
      <c r="J292" s="49"/>
      <c r="K292" s="119"/>
      <c r="L292" s="49"/>
      <c r="M292" s="119"/>
      <c r="N292" s="49"/>
      <c r="O292" s="119"/>
      <c r="P292" s="49"/>
      <c r="Q292" s="119"/>
      <c r="R292" s="49"/>
      <c r="S292" s="119"/>
      <c r="T292" s="49"/>
      <c r="U292" s="119"/>
      <c r="V292" s="49"/>
      <c r="W292" s="49"/>
      <c r="X292" s="49"/>
      <c r="Z292" s="49"/>
      <c r="AA292" s="49"/>
      <c r="AB292" s="119"/>
      <c r="AC292" s="51"/>
      <c r="AD292" s="119"/>
      <c r="AE292" s="51"/>
      <c r="AF292" s="119"/>
      <c r="AG292" s="51"/>
      <c r="AH292" s="49"/>
      <c r="AI292" s="49"/>
      <c r="AJ292" s="49"/>
      <c r="AK292" s="49"/>
      <c r="AL292" s="119"/>
      <c r="AM292" s="49"/>
      <c r="AN292" s="119"/>
      <c r="AO292" s="49"/>
      <c r="AP292" s="119"/>
      <c r="AQ292" s="49"/>
      <c r="AR292" s="49"/>
      <c r="AS292" s="49"/>
      <c r="AT292" s="51"/>
    </row>
    <row r="293" spans="1:46" s="47" customFormat="1" ht="12.75" customHeight="1">
      <c r="A293" s="49"/>
      <c r="B293" s="51"/>
      <c r="C293" s="49"/>
      <c r="E293" s="119"/>
      <c r="F293" s="49"/>
      <c r="G293" s="119"/>
      <c r="H293" s="49"/>
      <c r="I293" s="119"/>
      <c r="J293" s="49"/>
      <c r="K293" s="119"/>
      <c r="L293" s="49"/>
      <c r="M293" s="119"/>
      <c r="N293" s="49"/>
      <c r="O293" s="119"/>
      <c r="P293" s="49"/>
      <c r="Q293" s="119"/>
      <c r="R293" s="49"/>
      <c r="S293" s="119"/>
      <c r="T293" s="49"/>
      <c r="U293" s="119"/>
      <c r="V293" s="49"/>
      <c r="W293" s="49"/>
      <c r="X293" s="49"/>
      <c r="Z293" s="49"/>
      <c r="AA293" s="49"/>
      <c r="AB293" s="119"/>
      <c r="AC293" s="51"/>
      <c r="AD293" s="119"/>
      <c r="AE293" s="51"/>
      <c r="AF293" s="119"/>
      <c r="AG293" s="51"/>
      <c r="AH293" s="49"/>
      <c r="AI293" s="49"/>
      <c r="AJ293" s="49"/>
      <c r="AK293" s="49"/>
      <c r="AL293" s="119"/>
      <c r="AM293" s="49"/>
      <c r="AN293" s="119"/>
      <c r="AO293" s="49"/>
      <c r="AP293" s="119"/>
      <c r="AQ293" s="49"/>
      <c r="AR293" s="49"/>
      <c r="AS293" s="49"/>
      <c r="AT293" s="51"/>
    </row>
    <row r="294" spans="1:46" s="47" customFormat="1" ht="12.75" customHeight="1">
      <c r="A294" s="49"/>
      <c r="B294" s="51"/>
      <c r="C294" s="49"/>
      <c r="E294" s="119"/>
      <c r="F294" s="49"/>
      <c r="G294" s="119"/>
      <c r="H294" s="49"/>
      <c r="I294" s="119"/>
      <c r="J294" s="49"/>
      <c r="K294" s="119"/>
      <c r="L294" s="49"/>
      <c r="M294" s="119"/>
      <c r="N294" s="49"/>
      <c r="O294" s="119"/>
      <c r="P294" s="49"/>
      <c r="Q294" s="119"/>
      <c r="R294" s="49"/>
      <c r="S294" s="119"/>
      <c r="T294" s="49"/>
      <c r="U294" s="119"/>
      <c r="V294" s="49"/>
      <c r="W294" s="49"/>
      <c r="X294" s="49"/>
      <c r="Z294" s="49"/>
      <c r="AA294" s="49"/>
      <c r="AB294" s="119"/>
      <c r="AC294" s="51"/>
      <c r="AD294" s="119"/>
      <c r="AE294" s="51"/>
      <c r="AF294" s="119"/>
      <c r="AG294" s="51"/>
      <c r="AH294" s="49"/>
      <c r="AI294" s="49"/>
      <c r="AJ294" s="49"/>
      <c r="AK294" s="49"/>
      <c r="AL294" s="119"/>
      <c r="AM294" s="49"/>
      <c r="AN294" s="119"/>
      <c r="AO294" s="49"/>
      <c r="AP294" s="119"/>
      <c r="AQ294" s="49"/>
      <c r="AR294" s="49"/>
      <c r="AS294" s="49"/>
      <c r="AT294" s="51"/>
    </row>
    <row r="295" spans="1:46" s="47" customFormat="1" ht="12.75" customHeight="1">
      <c r="A295" s="49"/>
      <c r="B295" s="51"/>
      <c r="C295" s="49"/>
      <c r="E295" s="119"/>
      <c r="F295" s="49"/>
      <c r="G295" s="119"/>
      <c r="H295" s="49"/>
      <c r="I295" s="119"/>
      <c r="J295" s="49"/>
      <c r="K295" s="119"/>
      <c r="L295" s="49"/>
      <c r="M295" s="119"/>
      <c r="N295" s="49"/>
      <c r="O295" s="119"/>
      <c r="P295" s="49"/>
      <c r="Q295" s="119"/>
      <c r="R295" s="49"/>
      <c r="S295" s="119"/>
      <c r="T295" s="49"/>
      <c r="U295" s="119"/>
      <c r="V295" s="49"/>
      <c r="W295" s="49"/>
      <c r="X295" s="49"/>
      <c r="Z295" s="49"/>
      <c r="AA295" s="49"/>
      <c r="AB295" s="119"/>
      <c r="AC295" s="51"/>
      <c r="AD295" s="119"/>
      <c r="AE295" s="51"/>
      <c r="AF295" s="119"/>
      <c r="AG295" s="51"/>
      <c r="AH295" s="49"/>
      <c r="AI295" s="49"/>
      <c r="AJ295" s="49"/>
      <c r="AK295" s="49"/>
      <c r="AL295" s="119"/>
      <c r="AM295" s="49"/>
      <c r="AN295" s="119"/>
      <c r="AO295" s="49"/>
      <c r="AP295" s="119"/>
      <c r="AQ295" s="49"/>
      <c r="AR295" s="49"/>
      <c r="AS295" s="49"/>
      <c r="AT295" s="51"/>
    </row>
    <row r="296" spans="1:46" s="47" customFormat="1" ht="12.75" customHeight="1">
      <c r="A296" s="49"/>
      <c r="B296" s="51"/>
      <c r="C296" s="49"/>
      <c r="E296" s="119"/>
      <c r="F296" s="49"/>
      <c r="G296" s="119"/>
      <c r="H296" s="49"/>
      <c r="I296" s="119"/>
      <c r="J296" s="49"/>
      <c r="K296" s="119"/>
      <c r="L296" s="49"/>
      <c r="M296" s="119"/>
      <c r="N296" s="49"/>
      <c r="O296" s="119"/>
      <c r="P296" s="49"/>
      <c r="Q296" s="119"/>
      <c r="R296" s="49"/>
      <c r="S296" s="119"/>
      <c r="T296" s="49"/>
      <c r="U296" s="119"/>
      <c r="V296" s="49"/>
      <c r="W296" s="49"/>
      <c r="X296" s="49"/>
      <c r="Z296" s="49"/>
      <c r="AA296" s="49"/>
      <c r="AB296" s="119"/>
      <c r="AC296" s="51"/>
      <c r="AD296" s="119"/>
      <c r="AE296" s="51"/>
      <c r="AF296" s="119"/>
      <c r="AG296" s="51"/>
      <c r="AH296" s="49"/>
      <c r="AI296" s="49"/>
      <c r="AJ296" s="49"/>
      <c r="AK296" s="49"/>
      <c r="AL296" s="119"/>
      <c r="AM296" s="49"/>
      <c r="AN296" s="119"/>
      <c r="AO296" s="49"/>
      <c r="AP296" s="119"/>
      <c r="AQ296" s="49"/>
      <c r="AR296" s="49"/>
      <c r="AS296" s="49"/>
      <c r="AT296" s="51"/>
    </row>
    <row r="297" spans="1:46" s="47" customFormat="1" ht="12.75" customHeight="1">
      <c r="A297" s="49"/>
      <c r="B297" s="51"/>
      <c r="C297" s="49"/>
      <c r="E297" s="119"/>
      <c r="F297" s="49"/>
      <c r="G297" s="119"/>
      <c r="H297" s="49"/>
      <c r="I297" s="119"/>
      <c r="J297" s="49"/>
      <c r="K297" s="119"/>
      <c r="L297" s="49"/>
      <c r="M297" s="119"/>
      <c r="N297" s="49"/>
      <c r="O297" s="119"/>
      <c r="P297" s="49"/>
      <c r="Q297" s="119"/>
      <c r="R297" s="49"/>
      <c r="S297" s="119"/>
      <c r="T297" s="49"/>
      <c r="U297" s="119"/>
      <c r="V297" s="49"/>
      <c r="W297" s="49"/>
      <c r="X297" s="49"/>
      <c r="Z297" s="49"/>
      <c r="AA297" s="49"/>
      <c r="AB297" s="119"/>
      <c r="AC297" s="51"/>
      <c r="AD297" s="119"/>
      <c r="AE297" s="51"/>
      <c r="AF297" s="119"/>
      <c r="AG297" s="51"/>
      <c r="AH297" s="49"/>
      <c r="AI297" s="49"/>
      <c r="AJ297" s="49"/>
      <c r="AK297" s="49"/>
      <c r="AL297" s="119"/>
      <c r="AM297" s="49"/>
      <c r="AN297" s="119"/>
      <c r="AO297" s="49"/>
      <c r="AP297" s="119"/>
      <c r="AQ297" s="49"/>
      <c r="AR297" s="49"/>
      <c r="AS297" s="49"/>
      <c r="AT297" s="51"/>
    </row>
    <row r="298" spans="1:46" s="47" customFormat="1" ht="12.75" customHeight="1">
      <c r="A298" s="49"/>
      <c r="B298" s="51"/>
      <c r="C298" s="49"/>
      <c r="E298" s="119"/>
      <c r="F298" s="49"/>
      <c r="G298" s="119"/>
      <c r="H298" s="49"/>
      <c r="I298" s="119"/>
      <c r="J298" s="49"/>
      <c r="K298" s="119"/>
      <c r="L298" s="49"/>
      <c r="M298" s="119"/>
      <c r="N298" s="49"/>
      <c r="O298" s="119"/>
      <c r="P298" s="49"/>
      <c r="Q298" s="119"/>
      <c r="R298" s="49"/>
      <c r="S298" s="119"/>
      <c r="T298" s="49"/>
      <c r="U298" s="119"/>
      <c r="V298" s="49"/>
      <c r="W298" s="49"/>
      <c r="X298" s="49"/>
      <c r="Z298" s="49"/>
      <c r="AA298" s="49"/>
      <c r="AB298" s="119"/>
      <c r="AC298" s="51"/>
      <c r="AD298" s="119"/>
      <c r="AE298" s="51"/>
      <c r="AF298" s="119"/>
      <c r="AG298" s="51"/>
      <c r="AH298" s="49"/>
      <c r="AI298" s="49"/>
      <c r="AJ298" s="49"/>
      <c r="AK298" s="49"/>
      <c r="AL298" s="119"/>
      <c r="AM298" s="49"/>
      <c r="AN298" s="119"/>
      <c r="AO298" s="49"/>
      <c r="AP298" s="119"/>
      <c r="AQ298" s="49"/>
      <c r="AR298" s="49"/>
      <c r="AS298" s="49"/>
      <c r="AT298" s="51"/>
    </row>
    <row r="299" spans="1:46" s="47" customFormat="1" ht="12.75" customHeight="1">
      <c r="A299" s="49"/>
      <c r="B299" s="51"/>
      <c r="C299" s="49"/>
      <c r="E299" s="119"/>
      <c r="F299" s="49"/>
      <c r="G299" s="119"/>
      <c r="H299" s="49"/>
      <c r="I299" s="119"/>
      <c r="J299" s="49"/>
      <c r="K299" s="119"/>
      <c r="L299" s="49"/>
      <c r="M299" s="119"/>
      <c r="N299" s="49"/>
      <c r="O299" s="119"/>
      <c r="P299" s="49"/>
      <c r="Q299" s="119"/>
      <c r="R299" s="49"/>
      <c r="S299" s="119"/>
      <c r="T299" s="49"/>
      <c r="U299" s="119"/>
      <c r="V299" s="49"/>
      <c r="W299" s="49"/>
      <c r="X299" s="49"/>
      <c r="Z299" s="49"/>
      <c r="AA299" s="49"/>
      <c r="AB299" s="119"/>
      <c r="AC299" s="51"/>
      <c r="AD299" s="119"/>
      <c r="AE299" s="51"/>
      <c r="AF299" s="119"/>
      <c r="AG299" s="51"/>
      <c r="AH299" s="49"/>
      <c r="AI299" s="49"/>
      <c r="AJ299" s="49"/>
      <c r="AK299" s="49"/>
      <c r="AL299" s="119"/>
      <c r="AM299" s="49"/>
      <c r="AN299" s="119"/>
      <c r="AO299" s="49"/>
      <c r="AP299" s="119"/>
      <c r="AQ299" s="49"/>
      <c r="AR299" s="49"/>
      <c r="AS299" s="49"/>
      <c r="AT299" s="51"/>
    </row>
    <row r="300" spans="1:46" s="47" customFormat="1" ht="12.75" customHeight="1">
      <c r="A300" s="49"/>
      <c r="B300" s="51"/>
      <c r="C300" s="49"/>
      <c r="E300" s="119"/>
      <c r="F300" s="49"/>
      <c r="G300" s="119"/>
      <c r="H300" s="49"/>
      <c r="I300" s="119"/>
      <c r="J300" s="49"/>
      <c r="K300" s="119"/>
      <c r="L300" s="49"/>
      <c r="M300" s="119"/>
      <c r="N300" s="49"/>
      <c r="O300" s="119"/>
      <c r="P300" s="49"/>
      <c r="Q300" s="119"/>
      <c r="R300" s="49"/>
      <c r="S300" s="119"/>
      <c r="T300" s="49"/>
      <c r="U300" s="119"/>
      <c r="V300" s="49"/>
      <c r="W300" s="49"/>
      <c r="X300" s="49"/>
      <c r="Z300" s="49"/>
      <c r="AA300" s="49"/>
      <c r="AB300" s="119"/>
      <c r="AC300" s="51"/>
      <c r="AD300" s="119"/>
      <c r="AE300" s="51"/>
      <c r="AF300" s="119"/>
      <c r="AG300" s="51"/>
      <c r="AH300" s="49"/>
      <c r="AI300" s="49"/>
      <c r="AJ300" s="49"/>
      <c r="AK300" s="49"/>
      <c r="AL300" s="119"/>
      <c r="AM300" s="49"/>
      <c r="AN300" s="119"/>
      <c r="AO300" s="49"/>
      <c r="AP300" s="119"/>
      <c r="AQ300" s="49"/>
      <c r="AR300" s="49"/>
      <c r="AS300" s="49"/>
      <c r="AT300" s="51"/>
    </row>
    <row r="301" spans="1:46" s="47" customFormat="1" ht="12.75" customHeight="1">
      <c r="A301" s="49"/>
      <c r="B301" s="51"/>
      <c r="C301" s="49"/>
      <c r="E301" s="119"/>
      <c r="F301" s="49"/>
      <c r="G301" s="119"/>
      <c r="H301" s="49"/>
      <c r="I301" s="119"/>
      <c r="J301" s="49"/>
      <c r="K301" s="119"/>
      <c r="L301" s="49"/>
      <c r="M301" s="119"/>
      <c r="N301" s="49"/>
      <c r="O301" s="119"/>
      <c r="P301" s="49"/>
      <c r="Q301" s="119"/>
      <c r="R301" s="49"/>
      <c r="S301" s="119"/>
      <c r="T301" s="49"/>
      <c r="U301" s="119"/>
      <c r="V301" s="49"/>
      <c r="W301" s="49"/>
      <c r="X301" s="49"/>
      <c r="Z301" s="49"/>
      <c r="AA301" s="49"/>
      <c r="AB301" s="119"/>
      <c r="AC301" s="51"/>
      <c r="AD301" s="119"/>
      <c r="AE301" s="51"/>
      <c r="AF301" s="119"/>
      <c r="AG301" s="51"/>
      <c r="AH301" s="49"/>
      <c r="AI301" s="49"/>
      <c r="AJ301" s="49"/>
      <c r="AK301" s="49"/>
      <c r="AL301" s="119"/>
      <c r="AM301" s="49"/>
      <c r="AN301" s="119"/>
      <c r="AO301" s="49"/>
      <c r="AP301" s="119"/>
      <c r="AQ301" s="49"/>
      <c r="AR301" s="49"/>
      <c r="AS301" s="49"/>
      <c r="AT301" s="51"/>
    </row>
    <row r="302" spans="1:46" s="47" customFormat="1" ht="12.75" customHeight="1">
      <c r="A302" s="49"/>
      <c r="B302" s="51"/>
      <c r="C302" s="49"/>
      <c r="E302" s="119"/>
      <c r="F302" s="49"/>
      <c r="G302" s="119"/>
      <c r="H302" s="49"/>
      <c r="I302" s="119"/>
      <c r="J302" s="49"/>
      <c r="K302" s="119"/>
      <c r="L302" s="49"/>
      <c r="M302" s="119"/>
      <c r="N302" s="49"/>
      <c r="O302" s="119"/>
      <c r="P302" s="49"/>
      <c r="Q302" s="119"/>
      <c r="R302" s="49"/>
      <c r="S302" s="119"/>
      <c r="T302" s="49"/>
      <c r="U302" s="119"/>
      <c r="V302" s="49"/>
      <c r="W302" s="49"/>
      <c r="X302" s="49"/>
      <c r="Z302" s="49"/>
      <c r="AA302" s="49"/>
      <c r="AB302" s="119"/>
      <c r="AC302" s="51"/>
      <c r="AD302" s="119"/>
      <c r="AE302" s="51"/>
      <c r="AF302" s="119"/>
      <c r="AG302" s="51"/>
      <c r="AH302" s="49"/>
      <c r="AI302" s="49"/>
      <c r="AJ302" s="49"/>
      <c r="AK302" s="49"/>
      <c r="AL302" s="119"/>
      <c r="AM302" s="49"/>
      <c r="AN302" s="119"/>
      <c r="AO302" s="49"/>
      <c r="AP302" s="119"/>
      <c r="AQ302" s="49"/>
      <c r="AR302" s="49"/>
      <c r="AS302" s="49"/>
      <c r="AT302" s="51"/>
    </row>
    <row r="303" spans="1:46" ht="12.75" customHeight="1">
      <c r="E303" s="119"/>
      <c r="G303" s="119"/>
      <c r="I303" s="119"/>
      <c r="K303" s="119"/>
      <c r="M303" s="119"/>
      <c r="O303" s="119"/>
      <c r="Q303" s="119"/>
      <c r="S303" s="119"/>
      <c r="U303" s="119"/>
      <c r="AB303" s="119"/>
      <c r="AD303" s="119"/>
      <c r="AF303" s="119"/>
      <c r="AL303" s="119"/>
      <c r="AN303" s="119"/>
      <c r="AP303" s="119"/>
    </row>
  </sheetData>
  <mergeCells count="2">
    <mergeCell ref="AS122:AT122"/>
    <mergeCell ref="AS226:AT226"/>
  </mergeCells>
  <phoneticPr fontId="4" type="noConversion"/>
  <pageMargins left="0.75" right="0.75" top="0.5" bottom="0.5" header="0" footer="0.3"/>
  <pageSetup scale="84" firstPageNumber="68" pageOrder="overThenDown" orientation="portrait" useFirstPageNumber="1" r:id="rId1"/>
  <headerFooter alignWithMargins="0">
    <oddFooter>&amp;C&amp;"Times New Roman,Regular"&amp;12&amp;P</oddFooter>
  </headerFooter>
  <rowBreaks count="3" manualBreakCount="3">
    <brk id="69" max="37" man="1"/>
    <brk id="130" max="37" man="1"/>
    <brk id="195" max="3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26</vt:i4>
      </vt:variant>
    </vt:vector>
  </HeadingPairs>
  <TitlesOfParts>
    <vt:vector size="40" baseType="lpstr">
      <vt:lpstr>Stmt net assets</vt:lpstr>
      <vt:lpstr>Stmt of activities-GA rev</vt:lpstr>
      <vt:lpstr>Stmt of activities-GAexp</vt:lpstr>
      <vt:lpstr>Gen Bal</vt:lpstr>
      <vt:lpstr>GV Fund BS</vt:lpstr>
      <vt:lpstr>Gen rev</vt:lpstr>
      <vt:lpstr>Gen exp</vt:lpstr>
      <vt:lpstr>GVFund Rev</vt:lpstr>
      <vt:lpstr>GVFund Exp</vt:lpstr>
      <vt:lpstr>Water</vt:lpstr>
      <vt:lpstr>Sewer</vt:lpstr>
      <vt:lpstr>Electric</vt:lpstr>
      <vt:lpstr>Sanitation</vt:lpstr>
      <vt:lpstr>LT Lia GA</vt:lpstr>
      <vt:lpstr>Electric!Print_Area</vt:lpstr>
      <vt:lpstr>'Gen Bal'!Print_Area</vt:lpstr>
      <vt:lpstr>'Gen exp'!Print_Area</vt:lpstr>
      <vt:lpstr>'Gen rev'!Print_Area</vt:lpstr>
      <vt:lpstr>'GV Fund BS'!Print_Area</vt:lpstr>
      <vt:lpstr>'GVFund Exp'!Print_Area</vt:lpstr>
      <vt:lpstr>'GVFund Rev'!Print_Area</vt:lpstr>
      <vt:lpstr>'LT Lia GA'!Print_Area</vt:lpstr>
      <vt:lpstr>Sewer!Print_Area</vt:lpstr>
      <vt:lpstr>'Stmt net assets'!Print_Area</vt:lpstr>
      <vt:lpstr>'Stmt of activities-GA rev'!Print_Area</vt:lpstr>
      <vt:lpstr>'Stmt of activities-GAexp'!Print_Area</vt:lpstr>
      <vt:lpstr>Water!Print_Area</vt:lpstr>
      <vt:lpstr>Electric!Print_Titles</vt:lpstr>
      <vt:lpstr>'Gen Bal'!Print_Titles</vt:lpstr>
      <vt:lpstr>'Gen exp'!Print_Titles</vt:lpstr>
      <vt:lpstr>'Gen rev'!Print_Titles</vt:lpstr>
      <vt:lpstr>'GV Fund BS'!Print_Titles</vt:lpstr>
      <vt:lpstr>'GVFund Exp'!Print_Titles</vt:lpstr>
      <vt:lpstr>'GVFund Rev'!Print_Titles</vt:lpstr>
      <vt:lpstr>'LT Lia GA'!Print_Titles</vt:lpstr>
      <vt:lpstr>Sewer!Print_Titles</vt:lpstr>
      <vt:lpstr>'Stmt net assets'!Print_Titles</vt:lpstr>
      <vt:lpstr>'Stmt of activities-GA rev'!Print_Titles</vt:lpstr>
      <vt:lpstr>'Stmt of activities-GAexp'!Print_Titles</vt:lpstr>
      <vt:lpstr>Water!Print_Titles</vt:lpstr>
    </vt:vector>
  </TitlesOfParts>
  <Company>Auditor of State of Ohio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Kim A. Kirkbride</cp:lastModifiedBy>
  <cp:lastPrinted>2010-05-12T20:06:33Z</cp:lastPrinted>
  <dcterms:created xsi:type="dcterms:W3CDTF">2004-05-27T13:05:31Z</dcterms:created>
  <dcterms:modified xsi:type="dcterms:W3CDTF">2010-05-12T20:24:20Z</dcterms:modified>
</cp:coreProperties>
</file>