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8145" tabRatio="769" activeTab="0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ov Fd BS" sheetId="5" r:id="rId5"/>
    <sheet name="GenRev" sheetId="6" r:id="rId6"/>
    <sheet name="GenExp" sheetId="7" r:id="rId7"/>
    <sheet name="Gov Fd Rv" sheetId="8" r:id="rId8"/>
    <sheet name="Gov Fnd Exp" sheetId="9" r:id="rId9"/>
    <sheet name="Water 1" sheetId="10" r:id="rId10"/>
    <sheet name="Sewer 1" sheetId="11" r:id="rId11"/>
    <sheet name="LT _Lia - GA" sheetId="12" r:id="rId12"/>
  </sheets>
  <externalReferences>
    <externalReference r:id="rId15"/>
    <externalReference r:id="rId16"/>
  </externalReferences>
  <definedNames>
    <definedName name="_xlnm.Print_Area" localSheetId="3">'Gen Fd BS'!$A$9:$O$32</definedName>
    <definedName name="_xlnm.Print_Area" localSheetId="6">'GenExp'!$A$11:$AC$30</definedName>
    <definedName name="_xlnm.Print_Area" localSheetId="5">'GenRev'!$A$11:$Q$31</definedName>
    <definedName name="_xlnm.Print_Area" localSheetId="4">'Gov Fd BS'!$A$1:$T$31</definedName>
    <definedName name="_xlnm.Print_Area" localSheetId="7">'Gov Fd Rv'!$A$11:$Q$32</definedName>
    <definedName name="_xlnm.Print_Area" localSheetId="8">'Gov Fnd Exp'!$A$1:$AC$32</definedName>
    <definedName name="_xlnm.Print_Area" localSheetId="11">'LT _Lia - GA'!$A$11:$Q$100</definedName>
    <definedName name="_xlnm.Print_Area" localSheetId="10">'Sewer 1'!$A$1:$BK$30</definedName>
    <definedName name="_xlnm.Print_Area" localSheetId="2">'St of Activities - GA Exp'!$A$1:$Y$32</definedName>
    <definedName name="_xlnm.Print_Area" localSheetId="1">'St of Activities - GA Rev'!$A$1:$Y$33</definedName>
    <definedName name="_xlnm.Print_Area" localSheetId="0">'St of Net Assets - GA'!$A$1:$W$30</definedName>
    <definedName name="_xlnm.Print_Area" localSheetId="9">'Water 1'!$A$1:$BJ$32</definedName>
    <definedName name="_xlnm.Print_Titles" localSheetId="3">'Gen Fd BS'!$1:$9</definedName>
    <definedName name="_xlnm.Print_Titles" localSheetId="6">'GenExp'!$1:$9</definedName>
    <definedName name="_xlnm.Print_Titles" localSheetId="5">'GenRev'!$1:$9</definedName>
    <definedName name="_xlnm.Print_Titles" localSheetId="4">'Gov Fd BS'!$1:$10</definedName>
    <definedName name="_xlnm.Print_Titles" localSheetId="7">'Gov Fd Rv'!$1:$9</definedName>
    <definedName name="_xlnm.Print_Titles" localSheetId="8">'Gov Fnd Exp'!$1:$9</definedName>
    <definedName name="_xlnm.Print_Titles" localSheetId="11">'LT _Lia - GA'!$1:$9</definedName>
    <definedName name="_xlnm.Print_Titles" localSheetId="10">'Sewer 1'!$1:$9</definedName>
    <definedName name="_xlnm.Print_Titles" localSheetId="2">'St of Activities - GA Exp'!$1:$9</definedName>
    <definedName name="_xlnm.Print_Titles" localSheetId="1">'St of Activities - GA Rev'!$1:$9</definedName>
    <definedName name="_xlnm.Print_Titles" localSheetId="0">'St of Net Assets - GA'!$1:$9</definedName>
    <definedName name="_xlnm.Print_Titles" localSheetId="9">'Water 1'!$1:$9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<sst xmlns="http://schemas.openxmlformats.org/spreadsheetml/2006/main" count="840" uniqueCount="252">
  <si>
    <t>Charges for</t>
  </si>
  <si>
    <t>Inter-</t>
  </si>
  <si>
    <t>Special</t>
  </si>
  <si>
    <t>All Other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</si>
  <si>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</si>
  <si>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</si>
  <si>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</si>
  <si>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</si>
  <si>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</si>
  <si>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</si>
  <si>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</si>
  <si>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</si>
  <si>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</si>
  <si>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</si>
  <si>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</si>
  <si>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</si>
  <si>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</si>
  <si>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</si>
  <si>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</si>
  <si>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</si>
  <si>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</si>
  <si>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</si>
  <si>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</si>
  <si>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</si>
  <si>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</si>
  <si>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</si>
  <si>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</si>
  <si>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</si>
  <si>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</si>
  <si>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</si>
  <si>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</si>
  <si>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Franklin</t>
  </si>
  <si>
    <t>Fulton</t>
  </si>
  <si>
    <t>Gallia</t>
  </si>
  <si>
    <t>Geauga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</si>
  <si>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</si>
  <si>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</si>
  <si>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</si>
  <si>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</si>
  <si>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</si>
  <si>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</si>
  <si>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</si>
  <si>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</si>
  <si>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</si>
  <si>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</si>
  <si>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</si>
  <si>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</si>
  <si>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</si>
  <si>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</si>
  <si>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</si>
  <si>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</si>
  <si>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</si>
  <si>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</si>
  <si>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</si>
  <si>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</si>
  <si>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</si>
  <si>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</si>
  <si>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</si>
  <si>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</si>
  <si>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</si>
  <si>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</si>
  <si>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</si>
  <si>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</si>
  <si>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</si>
  <si>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</si>
  <si>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</si>
  <si>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</si>
  <si>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</si>
  <si>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</si>
  <si>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</si>
  <si>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</si>
  <si>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</si>
  <si>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</si>
  <si>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</si>
  <si>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</si>
  <si>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</si>
  <si>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</si>
  <si>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</si>
  <si>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</si>
  <si>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</si>
  <si>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</si>
  <si>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</si>
  <si>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</si>
  <si>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</si>
  <si>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</si>
  <si>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</si>
  <si>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</si>
  <si>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</si>
  <si>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</si>
  <si>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</si>
  <si>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</si>
  <si>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</si>
  <si>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</si>
  <si>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Morrow</t>
  </si>
  <si>
    <t>Sandusky</t>
  </si>
  <si>
    <t>Other Current</t>
  </si>
  <si>
    <t>Interest and</t>
  </si>
  <si>
    <t>Operating</t>
  </si>
  <si>
    <t>Long-Term Obligations</t>
  </si>
  <si>
    <t>General</t>
  </si>
  <si>
    <t>Mortgage and</t>
  </si>
  <si>
    <t>Other</t>
  </si>
  <si>
    <t>Net Working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</si>
  <si>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</si>
  <si>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</si>
  <si>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</si>
  <si>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</si>
  <si>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</si>
  <si>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</si>
  <si>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</si>
  <si>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</si>
  <si>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</si>
  <si>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</si>
  <si>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Reserved</t>
  </si>
  <si>
    <t>Cash and</t>
  </si>
  <si>
    <t>Deferred</t>
  </si>
  <si>
    <t>Fund</t>
  </si>
  <si>
    <t>Investments</t>
  </si>
  <si>
    <t>Liabilities</t>
  </si>
  <si>
    <t>Balance</t>
  </si>
  <si>
    <t>All</t>
  </si>
  <si>
    <t>Compensated</t>
  </si>
  <si>
    <t>Notes</t>
  </si>
  <si>
    <t>Assessment</t>
  </si>
  <si>
    <t>Leases</t>
  </si>
  <si>
    <t>Absences</t>
  </si>
  <si>
    <t>Payables</t>
  </si>
  <si>
    <t>Payable</t>
  </si>
  <si>
    <t>Paulding (cash)</t>
  </si>
  <si>
    <t>Current</t>
  </si>
  <si>
    <t>Statement of Net Assets</t>
  </si>
  <si>
    <t>Net Assets</t>
  </si>
  <si>
    <t>Invested in</t>
  </si>
  <si>
    <t>Charges</t>
  </si>
  <si>
    <t>Cap Assets</t>
  </si>
  <si>
    <t>Restricted</t>
  </si>
  <si>
    <t>Unrestricted</t>
  </si>
  <si>
    <t>Program Revenues - Governmental Activities</t>
  </si>
  <si>
    <t>General Revenues</t>
  </si>
  <si>
    <t>Expenses - Governmental Activities</t>
  </si>
  <si>
    <t>Op. Grants</t>
  </si>
  <si>
    <t>Property</t>
  </si>
  <si>
    <t>Investment</t>
  </si>
  <si>
    <t>Changes in</t>
  </si>
  <si>
    <t>Contrib &amp; Int</t>
  </si>
  <si>
    <t>Grants</t>
  </si>
  <si>
    <t>Earnings</t>
  </si>
  <si>
    <t>Transfers</t>
  </si>
  <si>
    <t>Property,</t>
  </si>
  <si>
    <t>Non-Current</t>
  </si>
  <si>
    <t>Expenses Less</t>
  </si>
  <si>
    <t>Non-Operating</t>
  </si>
  <si>
    <t>Plant, &amp; Equip</t>
  </si>
  <si>
    <t>Rev/(Exp)</t>
  </si>
  <si>
    <t>Contributions</t>
  </si>
  <si>
    <t>Additions</t>
  </si>
  <si>
    <t>(Deletions)</t>
  </si>
  <si>
    <t xml:space="preserve">Other </t>
  </si>
  <si>
    <t>Community</t>
  </si>
  <si>
    <t>Development</t>
  </si>
  <si>
    <t>Sales</t>
  </si>
  <si>
    <t>Hardin (cash)</t>
  </si>
  <si>
    <t>Lawrence (cash)</t>
  </si>
  <si>
    <t>Meigs (cash)</t>
  </si>
  <si>
    <t>Champaign (cash)</t>
  </si>
  <si>
    <t>Williams (cash)</t>
  </si>
  <si>
    <t>Wyandot (cash)</t>
  </si>
  <si>
    <t>Putnam (cash)</t>
  </si>
  <si>
    <t>General and</t>
  </si>
  <si>
    <t>Richland</t>
  </si>
  <si>
    <t>Clermont</t>
  </si>
  <si>
    <t>Greene</t>
  </si>
  <si>
    <t>Lucas</t>
  </si>
  <si>
    <t>All Counties Reporting Under GAAP</t>
  </si>
  <si>
    <t>Legislative</t>
  </si>
  <si>
    <t>and Executive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</si>
  <si>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</si>
  <si>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</si>
  <si>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</si>
  <si>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</si>
  <si>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</si>
  <si>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</si>
  <si>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</si>
  <si>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Sewer Enterprise Fund</t>
  </si>
  <si>
    <t>Revenues from the Statement of Activities</t>
  </si>
  <si>
    <t>Summary Data from the General Fund Balance Sheet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</si>
  <si>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</si>
  <si>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</si>
  <si>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</si>
  <si>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>Governmental Fund Revenues</t>
  </si>
  <si>
    <t>Due in More</t>
  </si>
  <si>
    <t>Than 1 Year</t>
  </si>
  <si>
    <t>balanced if =0</t>
  </si>
  <si>
    <t>other</t>
  </si>
  <si>
    <t>use</t>
  </si>
  <si>
    <t xml:space="preserve">Financing </t>
  </si>
  <si>
    <t>Sources</t>
  </si>
  <si>
    <t>financing</t>
  </si>
  <si>
    <t>Fund Bal</t>
  </si>
  <si>
    <t>Beginning</t>
  </si>
  <si>
    <t>of Year</t>
  </si>
  <si>
    <t>Inc/(Dec.)</t>
  </si>
  <si>
    <t>in reserves</t>
  </si>
  <si>
    <t>for inventory</t>
  </si>
  <si>
    <t>Balanced</t>
  </si>
  <si>
    <t>if =0</t>
  </si>
  <si>
    <t xml:space="preserve">Due Within </t>
  </si>
  <si>
    <t>1 Year</t>
  </si>
  <si>
    <t>if=0</t>
  </si>
  <si>
    <t>Taxes (1)</t>
  </si>
  <si>
    <t>(Expenses)</t>
  </si>
  <si>
    <t>Change in</t>
  </si>
  <si>
    <t>Net</t>
  </si>
  <si>
    <t>Expenses from the Statement of Activities</t>
  </si>
  <si>
    <t>Summary Data from the Governmental Fund Balance Sheet</t>
  </si>
  <si>
    <t>Unreserved</t>
  </si>
  <si>
    <t>Adams (cash)</t>
  </si>
  <si>
    <t>Fayette (cash)</t>
  </si>
  <si>
    <t>Brown (cash)</t>
  </si>
  <si>
    <t>Jackson (cash)</t>
  </si>
  <si>
    <t xml:space="preserve">Crawford </t>
  </si>
  <si>
    <t>Guernsey (cash)</t>
  </si>
  <si>
    <t xml:space="preserve">Lorain </t>
  </si>
  <si>
    <t>Program Revenues</t>
  </si>
  <si>
    <t>(Continued)</t>
  </si>
  <si>
    <t>Statement of Revenues, Expenses, and Changes in Net Assets</t>
  </si>
  <si>
    <t>General Long-Term Obligations</t>
  </si>
  <si>
    <t>As of December 31, 2008</t>
  </si>
  <si>
    <t>For the Year ended December 31, 2008</t>
  </si>
  <si>
    <t>For the Year Ended December 31, 2008</t>
  </si>
  <si>
    <t>As of Ended December 31, 2008</t>
  </si>
  <si>
    <t>1 Cuyahoga</t>
  </si>
  <si>
    <t>2 Franklin</t>
  </si>
  <si>
    <t>3 Hamilton</t>
  </si>
  <si>
    <t>4 Summit</t>
  </si>
  <si>
    <t>12 Trumbull</t>
  </si>
  <si>
    <t>5 Montgomery</t>
  </si>
  <si>
    <t>6 Lucas</t>
  </si>
  <si>
    <t>7 Stark</t>
  </si>
  <si>
    <t xml:space="preserve">9 Lorain </t>
  </si>
  <si>
    <t>10 Mahoning</t>
  </si>
  <si>
    <t>11 Lake</t>
  </si>
  <si>
    <t>13 Warren</t>
  </si>
  <si>
    <t>14 Clermont</t>
  </si>
  <si>
    <t>16 Delaware</t>
  </si>
  <si>
    <t>17 Licking</t>
  </si>
  <si>
    <t>18 Portage</t>
  </si>
  <si>
    <t>19 Greene</t>
  </si>
  <si>
    <t>20 Clark</t>
  </si>
  <si>
    <t>15 Medina</t>
  </si>
  <si>
    <t>Butler</t>
  </si>
  <si>
    <t xml:space="preserve">Butler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</si>
</sst>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#,##0.0"/>
    <numFmt numFmtId="171" formatCode="0_);\(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8" xfId="0" applyNumberFormat="1" applyFont="1" applyBorder="1" applyAlignment="1">
      <alignment horizontal="centerContinuous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43" applyNumberFormat="1" applyFont="1" applyBorder="1" applyAlignment="1">
      <alignment horizontal="right"/>
    </xf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4" fillId="0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7" fontId="4" fillId="0" borderId="8" xfId="0" applyNumberFormat="1" applyFont="1" applyFill="1" applyBorder="1" applyAlignment="1">
      <alignment horizontal="centerContinuous"/>
    </xf>
    <xf numFmtId="37" fontId="4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 quotePrefix="1">
      <alignment horizontal="centerContinuous"/>
    </xf>
    <xf numFmtId="37" fontId="4" fillId="0" borderId="9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0" fillId="0" borderId="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3" fontId="5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 vertical="top"/>
    </xf>
    <xf numFmtId="3" fontId="4" fillId="0" borderId="0" xfId="43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5" fillId="0" borderId="0" xfId="43" applyFont="1" applyFill="1" applyBorder="1" applyAlignment="1">
      <alignment/>
    </xf>
    <xf numFmtId="3" fontId="0" fillId="0" borderId="0" xfId="43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43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7" fontId="11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Continuous"/>
    </xf>
    <xf numFmtId="37" fontId="0" fillId="0" borderId="0" xfId="0" applyNumberFormat="1" applyFont="1" applyFill="1" applyAlignment="1">
      <alignment/>
    </xf>
    <xf numFmtId="37" fontId="4" fillId="0" borderId="0" xfId="43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0" fillId="0" borderId="0" xfId="43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10" fillId="0" borderId="0" xfId="43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Continuous"/>
    </xf>
    <xf numFmtId="0" fontId="9" fillId="0" borderId="0" xfId="0" applyFont="1" applyFill="1" applyBorder="1" applyAlignment="1">
      <alignment/>
    </xf>
    <xf numFmtId="3" fontId="9" fillId="0" borderId="0" xfId="43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43" applyFont="1" applyFill="1" applyBorder="1" applyAlignment="1">
      <alignment/>
    </xf>
    <xf numFmtId="3" fontId="4" fillId="0" borderId="0" xfId="43" applyFont="1" applyFill="1" applyBorder="1" applyAlignment="1">
      <alignment horizontal="center"/>
    </xf>
    <xf numFmtId="3" fontId="0" fillId="0" borderId="0" xfId="43" applyFont="1" applyFill="1" applyBorder="1" applyAlignment="1">
      <alignment/>
    </xf>
    <xf numFmtId="3" fontId="4" fillId="0" borderId="9" xfId="43" applyFont="1" applyFill="1" applyBorder="1" applyAlignment="1">
      <alignment horizontal="center"/>
    </xf>
    <xf numFmtId="3" fontId="4" fillId="0" borderId="0" xfId="43" applyFont="1" applyFill="1" applyBorder="1" applyAlignment="1">
      <alignment horizontal="right"/>
    </xf>
    <xf numFmtId="3" fontId="0" fillId="0" borderId="0" xfId="43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4" fillId="0" borderId="0" xfId="43" applyNumberFormat="1" applyFont="1" applyFill="1" applyBorder="1" applyAlignment="1">
      <alignment horizontal="right"/>
    </xf>
    <xf numFmtId="37" fontId="4" fillId="0" borderId="0" xfId="43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43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37" fontId="4" fillId="0" borderId="0" xfId="43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7" fontId="0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3" fontId="4" fillId="0" borderId="0" xfId="43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Myser\Local%20Settings\Temporary%20Internet%20Files\Content.Outlook\N4M6UME4\2008%20Counties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8%20Coun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 of Net Assets - GA"/>
      <sheetName val="St of Activities - GA Rev"/>
      <sheetName val="St of Activities - GA Exp"/>
      <sheetName val="Gen Fd BS"/>
      <sheetName val="Gov Fd BS"/>
      <sheetName val="GenRev"/>
      <sheetName val="GenExp"/>
      <sheetName val="Gov Fd Rv"/>
      <sheetName val="Gov Fnd Exp"/>
      <sheetName val="Water 1"/>
      <sheetName val="Sewer 1"/>
      <sheetName val="Landfill"/>
      <sheetName val="LT _Lia - GA"/>
    </sheetNames>
    <sheetDataSet>
      <sheetData sheetId="0">
        <row r="46">
          <cell r="M46">
            <v>1494905</v>
          </cell>
        </row>
        <row r="47">
          <cell r="M47">
            <v>3836077</v>
          </cell>
        </row>
        <row r="48">
          <cell r="M48">
            <v>9760138</v>
          </cell>
        </row>
        <row r="49">
          <cell r="M49">
            <v>0</v>
          </cell>
        </row>
        <row r="50">
          <cell r="M50">
            <v>27126917</v>
          </cell>
        </row>
        <row r="51">
          <cell r="M51">
            <v>9317396</v>
          </cell>
        </row>
        <row r="52">
          <cell r="M52">
            <v>38487675</v>
          </cell>
          <cell r="W52">
            <v>220825297</v>
          </cell>
        </row>
        <row r="53">
          <cell r="M53">
            <v>0</v>
          </cell>
        </row>
        <row r="54">
          <cell r="M54">
            <v>10472809</v>
          </cell>
          <cell r="W54">
            <v>107262642</v>
          </cell>
        </row>
        <row r="55">
          <cell r="M55">
            <v>6068484</v>
          </cell>
        </row>
        <row r="56">
          <cell r="M56">
            <v>40393860</v>
          </cell>
          <cell r="W56">
            <v>231129061</v>
          </cell>
        </row>
        <row r="57">
          <cell r="M57">
            <v>79419535</v>
          </cell>
          <cell r="W57">
            <v>342565757</v>
          </cell>
        </row>
        <row r="58">
          <cell r="M58">
            <v>0</v>
          </cell>
        </row>
        <row r="59">
          <cell r="M59">
            <v>36280479</v>
          </cell>
          <cell r="W59">
            <v>185688941</v>
          </cell>
        </row>
        <row r="60">
          <cell r="M60">
            <v>11490938</v>
          </cell>
        </row>
        <row r="61">
          <cell r="M61">
            <v>10839479</v>
          </cell>
          <cell r="W61">
            <v>100033567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7462451</v>
          </cell>
        </row>
        <row r="65">
          <cell r="M65">
            <v>526361</v>
          </cell>
        </row>
      </sheetData>
      <sheetData sheetId="2">
        <row r="52">
          <cell r="AE52">
            <v>220825297</v>
          </cell>
        </row>
        <row r="54">
          <cell r="AE54">
            <v>107262642</v>
          </cell>
        </row>
        <row r="56">
          <cell r="AE56">
            <v>231129061</v>
          </cell>
        </row>
        <row r="57">
          <cell r="AE57">
            <v>342565757</v>
          </cell>
        </row>
        <row r="59">
          <cell r="AE59">
            <v>185688941</v>
          </cell>
        </row>
        <row r="61">
          <cell r="AE61">
            <v>100033567</v>
          </cell>
        </row>
      </sheetData>
      <sheetData sheetId="3">
        <row r="52">
          <cell r="O52">
            <v>24706034</v>
          </cell>
        </row>
        <row r="54">
          <cell r="O54">
            <v>12171116</v>
          </cell>
        </row>
        <row r="56">
          <cell r="O56">
            <v>27256375</v>
          </cell>
        </row>
        <row r="57">
          <cell r="O57">
            <v>42960959</v>
          </cell>
        </row>
        <row r="59">
          <cell r="O59">
            <v>11327221</v>
          </cell>
        </row>
        <row r="61">
          <cell r="O61">
            <v>9123063</v>
          </cell>
        </row>
      </sheetData>
      <sheetData sheetId="4">
        <row r="52">
          <cell r="O52">
            <v>98437975</v>
          </cell>
        </row>
        <row r="54">
          <cell r="O54">
            <v>38162485</v>
          </cell>
        </row>
        <row r="56">
          <cell r="O56">
            <v>99135382</v>
          </cell>
        </row>
        <row r="57">
          <cell r="O57">
            <v>97134920</v>
          </cell>
        </row>
        <row r="59">
          <cell r="O59">
            <v>66278487</v>
          </cell>
        </row>
        <row r="61">
          <cell r="O61">
            <v>46438560</v>
          </cell>
        </row>
      </sheetData>
      <sheetData sheetId="5">
        <row r="52">
          <cell r="Q52">
            <v>53676789</v>
          </cell>
          <cell r="S52">
            <v>227751</v>
          </cell>
        </row>
        <row r="54">
          <cell r="Q54">
            <v>44645831</v>
          </cell>
          <cell r="S54">
            <v>86008</v>
          </cell>
        </row>
        <row r="56">
          <cell r="Q56">
            <v>52565431</v>
          </cell>
          <cell r="S56">
            <v>0</v>
          </cell>
        </row>
        <row r="57">
          <cell r="Q57">
            <v>146443389</v>
          </cell>
          <cell r="S57">
            <v>0</v>
          </cell>
        </row>
        <row r="59">
          <cell r="Q59">
            <v>65304732</v>
          </cell>
          <cell r="S59">
            <v>113448</v>
          </cell>
        </row>
        <row r="61">
          <cell r="Q61">
            <v>40660836</v>
          </cell>
          <cell r="S61">
            <v>92607</v>
          </cell>
        </row>
      </sheetData>
      <sheetData sheetId="6">
        <row r="52">
          <cell r="AC52">
            <v>53009881</v>
          </cell>
        </row>
        <row r="54">
          <cell r="AC54">
            <v>44187420</v>
          </cell>
        </row>
        <row r="56">
          <cell r="AC56">
            <v>54974988</v>
          </cell>
        </row>
        <row r="57">
          <cell r="AC57">
            <v>126893638</v>
          </cell>
        </row>
        <row r="59">
          <cell r="AC59">
            <v>60245668</v>
          </cell>
        </row>
        <row r="61">
          <cell r="AC61">
            <v>41392026</v>
          </cell>
        </row>
      </sheetData>
      <sheetData sheetId="7">
        <row r="52">
          <cell r="Q52">
            <v>179158184</v>
          </cell>
          <cell r="S52">
            <v>11068091</v>
          </cell>
        </row>
        <row r="54">
          <cell r="Q54">
            <v>110411908</v>
          </cell>
          <cell r="S54">
            <v>6370563</v>
          </cell>
        </row>
        <row r="56">
          <cell r="Q56">
            <v>224144723</v>
          </cell>
          <cell r="S56">
            <v>11332205</v>
          </cell>
        </row>
        <row r="57">
          <cell r="Q57">
            <v>497991482</v>
          </cell>
          <cell r="S57">
            <v>24971330</v>
          </cell>
        </row>
        <row r="59">
          <cell r="Q59">
            <v>211243971</v>
          </cell>
          <cell r="S59">
            <v>18175627</v>
          </cell>
        </row>
        <row r="61">
          <cell r="Q61">
            <v>106065374</v>
          </cell>
          <cell r="S61">
            <v>3158407</v>
          </cell>
        </row>
      </sheetData>
      <sheetData sheetId="8">
        <row r="52">
          <cell r="AC52">
            <v>191738326</v>
          </cell>
        </row>
        <row r="54">
          <cell r="AC54">
            <v>116067840</v>
          </cell>
        </row>
        <row r="56">
          <cell r="AC56">
            <v>235110058</v>
          </cell>
        </row>
        <row r="57">
          <cell r="AC57">
            <v>548153711</v>
          </cell>
        </row>
        <row r="59">
          <cell r="AC59">
            <v>220533933</v>
          </cell>
        </row>
        <row r="61">
          <cell r="AC61">
            <v>110365337</v>
          </cell>
        </row>
      </sheetData>
      <sheetData sheetId="12">
        <row r="46">
          <cell r="S46">
            <v>313817</v>
          </cell>
        </row>
        <row r="47">
          <cell r="S47">
            <v>1204122</v>
          </cell>
        </row>
        <row r="48">
          <cell r="S48">
            <v>615726</v>
          </cell>
        </row>
        <row r="49">
          <cell r="S49">
            <v>0</v>
          </cell>
        </row>
        <row r="50">
          <cell r="S50">
            <v>2925205</v>
          </cell>
        </row>
        <row r="51">
          <cell r="S51">
            <v>1512198</v>
          </cell>
        </row>
        <row r="52">
          <cell r="S52">
            <v>4075613</v>
          </cell>
        </row>
        <row r="53">
          <cell r="S53">
            <v>0</v>
          </cell>
        </row>
        <row r="54">
          <cell r="S54">
            <v>3076782</v>
          </cell>
        </row>
        <row r="55">
          <cell r="S55">
            <v>1330470</v>
          </cell>
        </row>
        <row r="56">
          <cell r="S56">
            <v>7217201</v>
          </cell>
        </row>
        <row r="57">
          <cell r="S57">
            <v>25164889</v>
          </cell>
        </row>
        <row r="58">
          <cell r="S58">
            <v>0</v>
          </cell>
        </row>
        <row r="59">
          <cell r="S59">
            <v>10069016</v>
          </cell>
        </row>
        <row r="60">
          <cell r="S60">
            <v>1281058</v>
          </cell>
        </row>
        <row r="61">
          <cell r="S61">
            <v>2289484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2308261</v>
          </cell>
        </row>
        <row r="65">
          <cell r="S65">
            <v>173944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 of Net Assets - GA"/>
      <sheetName val="St of Activities - GA Rev"/>
      <sheetName val="St of Activities - GA Exp"/>
      <sheetName val="Gen Fd BS"/>
      <sheetName val="Gov Fd BS"/>
      <sheetName val="GenRev"/>
      <sheetName val="GenExp"/>
      <sheetName val="Gov Fd Rv"/>
      <sheetName val="Gov Fnd Exp"/>
      <sheetName val="Water 1"/>
      <sheetName val="Sewer 1"/>
      <sheetName val="Landfill"/>
      <sheetName val="LT _Lia - GA"/>
    </sheetNames>
    <sheetDataSet>
      <sheetData sheetId="3">
        <row r="17">
          <cell r="O17">
            <v>0</v>
          </cell>
        </row>
      </sheetData>
      <sheetData sheetId="4">
        <row r="17">
          <cell r="O17">
            <v>0</v>
          </cell>
        </row>
      </sheetData>
      <sheetData sheetId="5">
        <row r="17">
          <cell r="Q17">
            <v>0</v>
          </cell>
          <cell r="S17">
            <v>0</v>
          </cell>
        </row>
      </sheetData>
      <sheetData sheetId="6">
        <row r="17">
          <cell r="AC17">
            <v>0</v>
          </cell>
        </row>
      </sheetData>
      <sheetData sheetId="7">
        <row r="17">
          <cell r="Q17">
            <v>0</v>
          </cell>
          <cell r="S17">
            <v>0</v>
          </cell>
        </row>
      </sheetData>
      <sheetData sheetId="8">
        <row r="17">
          <cell r="AC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3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0" sqref="A10"/>
    </sheetView>
  </sheetViews>
  <sheetFormatPr defaultColWidth="9.140625" defaultRowHeight="12.75"/>
  <cols>
    <col min="1" max="1" width="15.7109375" style="76" customWidth="1"/>
    <col min="2" max="2" width="2.7109375" style="76" customWidth="1"/>
    <col min="3" max="3" width="11.7109375" style="105" customWidth="1"/>
    <col min="4" max="4" width="1.7109375" style="77" customWidth="1"/>
    <col min="5" max="5" width="11.7109375" style="77" customWidth="1"/>
    <col min="6" max="6" width="1.7109375" style="77" customWidth="1"/>
    <col min="7" max="7" width="11.7109375" style="77" customWidth="1"/>
    <col min="8" max="8" width="1.7109375" style="77" customWidth="1"/>
    <col min="9" max="9" width="11.7109375" style="77" customWidth="1"/>
    <col min="10" max="10" width="1.8515625" style="77" customWidth="1"/>
    <col min="11" max="11" width="11.7109375" style="23" customWidth="1"/>
    <col min="12" max="12" width="1.7109375" style="23" customWidth="1"/>
    <col min="13" max="13" width="11.7109375" style="23" customWidth="1"/>
    <col min="14" max="14" width="1.7109375" style="23" customWidth="1"/>
    <col min="15" max="15" width="11.7109375" style="23" customWidth="1"/>
    <col min="16" max="16" width="1.7109375" style="23" customWidth="1"/>
    <col min="17" max="17" width="11.7109375" style="23" customWidth="1"/>
    <col min="18" max="18" width="1.7109375" style="23" customWidth="1"/>
    <col min="19" max="19" width="11.7109375" style="23" customWidth="1"/>
    <col min="20" max="20" width="1.7109375" style="23" customWidth="1"/>
    <col min="21" max="21" width="11.7109375" style="23" customWidth="1"/>
    <col min="22" max="22" width="1.7109375" style="23" customWidth="1"/>
    <col min="23" max="23" width="12.7109375" style="23" customWidth="1"/>
    <col min="24" max="24" width="2.7109375" style="105" customWidth="1"/>
    <col min="25" max="25" width="15.7109375" style="76" customWidth="1"/>
    <col min="26" max="16384" width="9.140625" style="75" customWidth="1"/>
  </cols>
  <sheetData>
    <row r="1" spans="1:25" ht="12.75" customHeight="1">
      <c r="A1" s="43" t="s">
        <v>130</v>
      </c>
      <c r="B1" s="30"/>
      <c r="C1" s="23"/>
      <c r="D1" s="4"/>
      <c r="E1" s="4"/>
      <c r="F1" s="4"/>
      <c r="G1" s="4"/>
      <c r="H1" s="4"/>
      <c r="I1" s="4"/>
      <c r="J1" s="4"/>
      <c r="X1" s="23"/>
      <c r="Y1" s="30"/>
    </row>
    <row r="2" spans="1:25" ht="12.75" customHeight="1">
      <c r="A2" s="43" t="s">
        <v>227</v>
      </c>
      <c r="B2" s="30"/>
      <c r="C2" s="23"/>
      <c r="D2" s="4"/>
      <c r="E2" s="4"/>
      <c r="F2" s="4"/>
      <c r="G2" s="4"/>
      <c r="H2" s="4"/>
      <c r="I2" s="4"/>
      <c r="J2" s="4"/>
      <c r="X2" s="23"/>
      <c r="Y2" s="30"/>
    </row>
    <row r="3" spans="1:25" ht="12.75" customHeight="1">
      <c r="A3" s="43" t="s">
        <v>224</v>
      </c>
      <c r="B3" s="30"/>
      <c r="C3" s="23"/>
      <c r="D3" s="4"/>
      <c r="E3" s="4"/>
      <c r="F3" s="4"/>
      <c r="G3" s="4"/>
      <c r="H3" s="4"/>
      <c r="I3" s="4"/>
      <c r="J3" s="4"/>
      <c r="X3" s="23"/>
      <c r="Y3" s="30"/>
    </row>
    <row r="4" spans="1:25" ht="12.75" customHeight="1">
      <c r="A4" s="43" t="s">
        <v>173</v>
      </c>
      <c r="B4" s="30"/>
      <c r="C4" s="23"/>
      <c r="D4" s="4"/>
      <c r="E4" s="4"/>
      <c r="F4" s="4"/>
      <c r="G4" s="4"/>
      <c r="H4" s="4"/>
      <c r="I4" s="4"/>
      <c r="J4" s="4"/>
      <c r="X4" s="23"/>
      <c r="Y4" s="30"/>
    </row>
    <row r="5" spans="1:25" ht="12.75" customHeight="1">
      <c r="A5" s="30"/>
      <c r="B5" s="30"/>
      <c r="C5" s="23"/>
      <c r="D5" s="4"/>
      <c r="E5" s="4"/>
      <c r="F5" s="4"/>
      <c r="G5" s="4"/>
      <c r="H5" s="4"/>
      <c r="I5" s="4"/>
      <c r="J5" s="4"/>
      <c r="X5" s="23"/>
      <c r="Y5" s="30"/>
    </row>
    <row r="6" spans="2:25" ht="12.75" customHeight="1">
      <c r="B6" s="30"/>
      <c r="C6" s="44" t="s">
        <v>112</v>
      </c>
      <c r="D6" s="9"/>
      <c r="E6" s="9"/>
      <c r="F6" s="9"/>
      <c r="G6" s="9"/>
      <c r="H6" s="9"/>
      <c r="I6" s="9"/>
      <c r="J6" s="4"/>
      <c r="K6" s="44" t="s">
        <v>118</v>
      </c>
      <c r="L6" s="44"/>
      <c r="M6" s="44"/>
      <c r="N6" s="44"/>
      <c r="O6" s="44"/>
      <c r="Q6" s="44" t="s">
        <v>131</v>
      </c>
      <c r="R6" s="44"/>
      <c r="S6" s="44"/>
      <c r="T6" s="44"/>
      <c r="U6" s="44"/>
      <c r="V6" s="44"/>
      <c r="W6" s="44"/>
      <c r="X6" s="23"/>
      <c r="Y6" s="30"/>
    </row>
    <row r="7" spans="1:25" ht="12.75" customHeight="1">
      <c r="A7" s="18"/>
      <c r="B7" s="18"/>
      <c r="C7" s="46" t="s">
        <v>129</v>
      </c>
      <c r="D7" s="11"/>
      <c r="E7" s="11" t="s">
        <v>84</v>
      </c>
      <c r="F7" s="11"/>
      <c r="G7" s="11" t="s">
        <v>115</v>
      </c>
      <c r="H7" s="11"/>
      <c r="I7" s="11" t="s">
        <v>4</v>
      </c>
      <c r="J7" s="4"/>
      <c r="K7" s="46" t="s">
        <v>129</v>
      </c>
      <c r="L7" s="46"/>
      <c r="M7" s="46" t="s">
        <v>190</v>
      </c>
      <c r="N7" s="46"/>
      <c r="O7" s="46" t="s">
        <v>4</v>
      </c>
      <c r="Q7" s="20" t="s">
        <v>132</v>
      </c>
      <c r="R7" s="20"/>
      <c r="S7" s="20"/>
      <c r="T7" s="20"/>
      <c r="U7" s="20"/>
      <c r="V7" s="20"/>
      <c r="W7" s="46" t="s">
        <v>4</v>
      </c>
      <c r="X7" s="23"/>
      <c r="Y7" s="30"/>
    </row>
    <row r="8" spans="1:25" ht="12.75" customHeight="1">
      <c r="A8" s="21" t="s">
        <v>5</v>
      </c>
      <c r="B8" s="18"/>
      <c r="C8" s="19" t="s">
        <v>112</v>
      </c>
      <c r="D8" s="12"/>
      <c r="E8" s="14" t="s">
        <v>112</v>
      </c>
      <c r="F8" s="12"/>
      <c r="G8" s="14" t="s">
        <v>133</v>
      </c>
      <c r="H8" s="12"/>
      <c r="I8" s="14" t="s">
        <v>112</v>
      </c>
      <c r="J8" s="10"/>
      <c r="K8" s="19" t="s">
        <v>118</v>
      </c>
      <c r="L8" s="20"/>
      <c r="M8" s="19" t="s">
        <v>191</v>
      </c>
      <c r="N8" s="20"/>
      <c r="O8" s="19" t="s">
        <v>118</v>
      </c>
      <c r="P8" s="16"/>
      <c r="Q8" s="19" t="s">
        <v>134</v>
      </c>
      <c r="R8" s="20"/>
      <c r="S8" s="19" t="s">
        <v>135</v>
      </c>
      <c r="T8" s="20"/>
      <c r="U8" s="19" t="s">
        <v>136</v>
      </c>
      <c r="V8" s="20"/>
      <c r="W8" s="19" t="s">
        <v>131</v>
      </c>
      <c r="X8" s="23"/>
      <c r="Y8" s="30" t="s">
        <v>192</v>
      </c>
    </row>
    <row r="9" spans="1:25" ht="12.75" customHeight="1">
      <c r="A9" s="18"/>
      <c r="B9" s="18"/>
      <c r="C9" s="20"/>
      <c r="D9" s="12"/>
      <c r="E9" s="12"/>
      <c r="F9" s="12"/>
      <c r="G9" s="12"/>
      <c r="H9" s="12"/>
      <c r="I9" s="12"/>
      <c r="J9" s="4"/>
      <c r="K9" s="20"/>
      <c r="L9" s="20"/>
      <c r="M9" s="20"/>
      <c r="N9" s="20"/>
      <c r="O9" s="20"/>
      <c r="Q9" s="20"/>
      <c r="R9" s="20"/>
      <c r="S9" s="20"/>
      <c r="T9" s="20"/>
      <c r="U9" s="20"/>
      <c r="V9" s="20"/>
      <c r="W9" s="20"/>
      <c r="X9" s="23"/>
      <c r="Y9" s="30"/>
    </row>
    <row r="10" spans="1:25" ht="12.75" customHeight="1">
      <c r="A10" s="107" t="s">
        <v>231</v>
      </c>
      <c r="B10" s="22" t="str">
        <f aca="true" t="shared" si="0" ref="B10:B29">LEFT(A10,2)</f>
        <v>1 </v>
      </c>
      <c r="C10" s="23">
        <f aca="true" t="shared" si="1" ref="C10:C29">+I10-E10-G10</f>
        <v>1124541000</v>
      </c>
      <c r="D10" s="23"/>
      <c r="E10" s="23">
        <f>49014000+9957000+280392000+25567000+4175000+160765000+150434000</f>
        <v>680304000</v>
      </c>
      <c r="F10" s="23"/>
      <c r="G10" s="23">
        <v>0</v>
      </c>
      <c r="H10" s="23"/>
      <c r="I10" s="23">
        <v>1804845000</v>
      </c>
      <c r="J10" s="23"/>
      <c r="K10" s="23">
        <f aca="true" t="shared" si="2" ref="K10:K29">+O10-M10</f>
        <v>624281000</v>
      </c>
      <c r="M10" s="23">
        <v>318783000</v>
      </c>
      <c r="O10" s="23">
        <v>943064000</v>
      </c>
      <c r="Q10" s="23">
        <v>410193000</v>
      </c>
      <c r="S10" s="23">
        <f aca="true" t="shared" si="3" ref="S10:S29">W10-U10-Q10</f>
        <v>64160000</v>
      </c>
      <c r="U10" s="23">
        <v>387428000</v>
      </c>
      <c r="W10" s="23">
        <v>861781000</v>
      </c>
      <c r="X10" s="23"/>
      <c r="Y10" s="23">
        <f aca="true" t="shared" si="4" ref="Y10:Y29">I10-O10-W10</f>
        <v>0</v>
      </c>
    </row>
    <row r="11" spans="1:25" s="76" customFormat="1" ht="12.75" customHeight="1">
      <c r="A11" s="107" t="s">
        <v>232</v>
      </c>
      <c r="B11" s="22" t="str">
        <f t="shared" si="0"/>
        <v>2 </v>
      </c>
      <c r="C11" s="23">
        <f t="shared" si="1"/>
        <v>1429919000</v>
      </c>
      <c r="D11" s="23"/>
      <c r="E11" s="23">
        <f>147811000+368130000</f>
        <v>515941000</v>
      </c>
      <c r="F11" s="23"/>
      <c r="G11" s="23">
        <v>1433000</v>
      </c>
      <c r="H11" s="23"/>
      <c r="I11" s="23">
        <v>1947293000</v>
      </c>
      <c r="J11" s="23"/>
      <c r="K11" s="23">
        <f t="shared" si="2"/>
        <v>553434000</v>
      </c>
      <c r="L11" s="23"/>
      <c r="M11" s="23">
        <v>300107000</v>
      </c>
      <c r="N11" s="23"/>
      <c r="O11" s="23">
        <v>853541000</v>
      </c>
      <c r="P11" s="23"/>
      <c r="Q11" s="23">
        <v>320422000</v>
      </c>
      <c r="R11" s="23"/>
      <c r="S11" s="23">
        <f t="shared" si="3"/>
        <v>459608000</v>
      </c>
      <c r="T11" s="23"/>
      <c r="U11" s="23">
        <v>313722000</v>
      </c>
      <c r="V11" s="23"/>
      <c r="W11" s="23">
        <v>1093752000</v>
      </c>
      <c r="X11" s="23"/>
      <c r="Y11" s="23">
        <f t="shared" si="4"/>
        <v>0</v>
      </c>
    </row>
    <row r="12" spans="1:25" s="76" customFormat="1" ht="12.75" customHeight="1">
      <c r="A12" s="107" t="s">
        <v>233</v>
      </c>
      <c r="B12" s="22" t="str">
        <f t="shared" si="0"/>
        <v>3 </v>
      </c>
      <c r="C12" s="23">
        <f t="shared" si="1"/>
        <v>648640000</v>
      </c>
      <c r="D12" s="23"/>
      <c r="E12" s="23">
        <f>106849000+441604000</f>
        <v>548453000</v>
      </c>
      <c r="F12" s="23"/>
      <c r="G12" s="23">
        <v>555000</v>
      </c>
      <c r="H12" s="23"/>
      <c r="I12" s="23">
        <v>1197648000</v>
      </c>
      <c r="J12" s="23"/>
      <c r="K12" s="23">
        <f t="shared" si="2"/>
        <v>378368000</v>
      </c>
      <c r="L12" s="23"/>
      <c r="M12" s="23">
        <v>142603000</v>
      </c>
      <c r="N12" s="23"/>
      <c r="O12" s="23">
        <v>520971000</v>
      </c>
      <c r="P12" s="23"/>
      <c r="Q12" s="23">
        <v>452453000</v>
      </c>
      <c r="R12" s="23"/>
      <c r="S12" s="23">
        <f t="shared" si="3"/>
        <v>228753000</v>
      </c>
      <c r="T12" s="23"/>
      <c r="U12" s="23">
        <v>-4529000</v>
      </c>
      <c r="V12" s="23"/>
      <c r="W12" s="23">
        <v>676677000</v>
      </c>
      <c r="X12" s="23"/>
      <c r="Y12" s="23">
        <f t="shared" si="4"/>
        <v>0</v>
      </c>
    </row>
    <row r="13" spans="1:25" s="76" customFormat="1" ht="12.75" customHeight="1">
      <c r="A13" s="107" t="s">
        <v>234</v>
      </c>
      <c r="B13" s="22" t="str">
        <f t="shared" si="0"/>
        <v>4 </v>
      </c>
      <c r="C13" s="23">
        <f t="shared" si="1"/>
        <v>386400265</v>
      </c>
      <c r="D13" s="23"/>
      <c r="E13" s="23">
        <f>18108380+253845371</f>
        <v>271953751</v>
      </c>
      <c r="F13" s="23"/>
      <c r="G13" s="23">
        <v>492206</v>
      </c>
      <c r="H13" s="23"/>
      <c r="I13" s="23">
        <v>658846222</v>
      </c>
      <c r="J13" s="23"/>
      <c r="K13" s="23">
        <f t="shared" si="2"/>
        <v>181978875</v>
      </c>
      <c r="L13" s="23"/>
      <c r="M13" s="23">
        <v>80002189</v>
      </c>
      <c r="N13" s="23"/>
      <c r="O13" s="23">
        <v>261981064</v>
      </c>
      <c r="P13" s="23"/>
      <c r="Q13" s="23">
        <v>212837524</v>
      </c>
      <c r="R13" s="23"/>
      <c r="S13" s="23">
        <f t="shared" si="3"/>
        <v>82994069</v>
      </c>
      <c r="T13" s="23"/>
      <c r="U13" s="23">
        <v>101033565</v>
      </c>
      <c r="V13" s="23"/>
      <c r="W13" s="23">
        <v>396865158</v>
      </c>
      <c r="X13" s="23"/>
      <c r="Y13" s="23">
        <f t="shared" si="4"/>
        <v>0</v>
      </c>
    </row>
    <row r="14" spans="1:25" s="76" customFormat="1" ht="12.75" customHeight="1">
      <c r="A14" s="107" t="s">
        <v>236</v>
      </c>
      <c r="B14" s="22" t="str">
        <f t="shared" si="0"/>
        <v>5 </v>
      </c>
      <c r="C14" s="23">
        <f t="shared" si="1"/>
        <v>560771138</v>
      </c>
      <c r="D14" s="23"/>
      <c r="E14" s="23">
        <f>367612472+163314922</f>
        <v>530927394</v>
      </c>
      <c r="F14" s="23"/>
      <c r="G14" s="23">
        <v>0</v>
      </c>
      <c r="H14" s="23"/>
      <c r="I14" s="23">
        <v>1091698532</v>
      </c>
      <c r="J14" s="23"/>
      <c r="K14" s="23">
        <f t="shared" si="2"/>
        <v>204558634</v>
      </c>
      <c r="L14" s="23"/>
      <c r="M14" s="23">
        <v>65632461</v>
      </c>
      <c r="N14" s="23"/>
      <c r="O14" s="23">
        <v>270191095</v>
      </c>
      <c r="P14" s="23"/>
      <c r="Q14" s="23">
        <v>486887415</v>
      </c>
      <c r="R14" s="23"/>
      <c r="S14" s="23">
        <f t="shared" si="3"/>
        <v>137952919</v>
      </c>
      <c r="T14" s="23"/>
      <c r="U14" s="23">
        <v>196667103</v>
      </c>
      <c r="V14" s="23"/>
      <c r="W14" s="23">
        <v>821507437</v>
      </c>
      <c r="X14" s="23"/>
      <c r="Y14" s="23">
        <f t="shared" si="4"/>
        <v>0</v>
      </c>
    </row>
    <row r="15" spans="1:25" s="76" customFormat="1" ht="12.75" customHeight="1">
      <c r="A15" s="107" t="s">
        <v>237</v>
      </c>
      <c r="B15" s="22" t="str">
        <f t="shared" si="0"/>
        <v>6 </v>
      </c>
      <c r="C15" s="112">
        <f t="shared" si="1"/>
        <v>465619849</v>
      </c>
      <c r="D15" s="112"/>
      <c r="E15" s="112">
        <f>82117575+183623208</f>
        <v>265740783</v>
      </c>
      <c r="F15" s="112"/>
      <c r="G15" s="112">
        <v>72471</v>
      </c>
      <c r="H15" s="112"/>
      <c r="I15" s="112">
        <v>731433103</v>
      </c>
      <c r="J15" s="112"/>
      <c r="K15" s="112">
        <f t="shared" si="2"/>
        <v>309447811</v>
      </c>
      <c r="L15" s="112"/>
      <c r="M15" s="112">
        <v>79419535</v>
      </c>
      <c r="N15" s="112"/>
      <c r="O15" s="112">
        <v>388867346</v>
      </c>
      <c r="P15" s="112"/>
      <c r="Q15" s="112">
        <v>204927104</v>
      </c>
      <c r="R15" s="112"/>
      <c r="S15" s="112">
        <f t="shared" si="3"/>
        <v>96492587</v>
      </c>
      <c r="T15" s="112"/>
      <c r="U15" s="112">
        <v>41146066</v>
      </c>
      <c r="V15" s="112"/>
      <c r="W15" s="112">
        <v>342565757</v>
      </c>
      <c r="X15" s="112"/>
      <c r="Y15" s="112">
        <f t="shared" si="4"/>
        <v>0</v>
      </c>
    </row>
    <row r="16" spans="1:25" s="76" customFormat="1" ht="12.75" customHeight="1">
      <c r="A16" s="107" t="s">
        <v>238</v>
      </c>
      <c r="B16" s="22" t="str">
        <f t="shared" si="0"/>
        <v>7 </v>
      </c>
      <c r="C16" s="23">
        <f t="shared" si="1"/>
        <v>184029472</v>
      </c>
      <c r="D16" s="23"/>
      <c r="E16" s="23">
        <f>21822641+131677035</f>
        <v>153499676</v>
      </c>
      <c r="F16" s="23"/>
      <c r="G16" s="23">
        <v>0</v>
      </c>
      <c r="H16" s="23"/>
      <c r="I16" s="23">
        <v>337529148</v>
      </c>
      <c r="J16" s="23"/>
      <c r="K16" s="23">
        <f t="shared" si="2"/>
        <v>67270005</v>
      </c>
      <c r="L16" s="23"/>
      <c r="M16" s="23">
        <v>10030493</v>
      </c>
      <c r="N16" s="23"/>
      <c r="O16" s="23">
        <v>77300498</v>
      </c>
      <c r="P16" s="23"/>
      <c r="Q16" s="23">
        <v>149914590</v>
      </c>
      <c r="R16" s="23"/>
      <c r="S16" s="23">
        <f t="shared" si="3"/>
        <v>95354191</v>
      </c>
      <c r="T16" s="23"/>
      <c r="U16" s="23">
        <v>14959869</v>
      </c>
      <c r="V16" s="23"/>
      <c r="W16" s="23">
        <v>260228650</v>
      </c>
      <c r="X16" s="23"/>
      <c r="Y16" s="23">
        <f t="shared" si="4"/>
        <v>0</v>
      </c>
    </row>
    <row r="17" spans="1:25" s="76" customFormat="1" ht="12.75" customHeight="1">
      <c r="A17" s="107" t="s">
        <v>250</v>
      </c>
      <c r="B17" s="107">
        <v>8</v>
      </c>
      <c r="C17" s="112">
        <f t="shared" si="1"/>
        <v>313257258</v>
      </c>
      <c r="D17" s="112"/>
      <c r="E17" s="112">
        <f>289518973+115052130</f>
        <v>404571103</v>
      </c>
      <c r="F17" s="112"/>
      <c r="G17" s="112">
        <v>1250943</v>
      </c>
      <c r="H17" s="112"/>
      <c r="I17" s="112">
        <v>719079304</v>
      </c>
      <c r="J17" s="112"/>
      <c r="K17" s="112">
        <f t="shared" si="2"/>
        <v>129698369</v>
      </c>
      <c r="L17" s="112"/>
      <c r="M17" s="112">
        <v>129724721</v>
      </c>
      <c r="N17" s="112"/>
      <c r="O17" s="112">
        <v>259423090</v>
      </c>
      <c r="P17" s="112"/>
      <c r="Q17" s="112">
        <v>316270240</v>
      </c>
      <c r="R17" s="112"/>
      <c r="S17" s="112">
        <f t="shared" si="3"/>
        <v>145007094</v>
      </c>
      <c r="T17" s="112"/>
      <c r="U17" s="112">
        <v>-1621120</v>
      </c>
      <c r="V17" s="112"/>
      <c r="W17" s="112">
        <v>459656214</v>
      </c>
      <c r="X17" s="112"/>
      <c r="Y17" s="112">
        <f t="shared" si="4"/>
        <v>0</v>
      </c>
    </row>
    <row r="18" spans="1:25" s="76" customFormat="1" ht="12.75" customHeight="1">
      <c r="A18" s="107" t="s">
        <v>239</v>
      </c>
      <c r="B18" s="22" t="str">
        <f t="shared" si="0"/>
        <v>9 </v>
      </c>
      <c r="C18" s="112">
        <f t="shared" si="1"/>
        <v>211106993</v>
      </c>
      <c r="D18" s="112"/>
      <c r="E18" s="112">
        <f>6967576+133043013</f>
        <v>140010589</v>
      </c>
      <c r="F18" s="112"/>
      <c r="G18" s="112">
        <v>0</v>
      </c>
      <c r="H18" s="112"/>
      <c r="I18" s="112">
        <v>351117582</v>
      </c>
      <c r="J18" s="112"/>
      <c r="K18" s="112">
        <f t="shared" si="2"/>
        <v>79594661</v>
      </c>
      <c r="L18" s="112"/>
      <c r="M18" s="112">
        <v>40393860</v>
      </c>
      <c r="N18" s="112"/>
      <c r="O18" s="112">
        <v>119988521</v>
      </c>
      <c r="P18" s="112"/>
      <c r="Q18" s="112">
        <v>109793906</v>
      </c>
      <c r="R18" s="112"/>
      <c r="S18" s="112">
        <f t="shared" si="3"/>
        <v>6286187</v>
      </c>
      <c r="T18" s="112"/>
      <c r="U18" s="112">
        <v>115048968</v>
      </c>
      <c r="V18" s="112"/>
      <c r="W18" s="112">
        <v>231129061</v>
      </c>
      <c r="X18" s="112"/>
      <c r="Y18" s="112">
        <f t="shared" si="4"/>
        <v>0</v>
      </c>
    </row>
    <row r="19" spans="1:25" s="76" customFormat="1" ht="12.75" customHeight="1">
      <c r="A19" s="107" t="s">
        <v>240</v>
      </c>
      <c r="B19" s="22" t="str">
        <f t="shared" si="0"/>
        <v>10</v>
      </c>
      <c r="C19" s="112">
        <f t="shared" si="1"/>
        <v>285289636</v>
      </c>
      <c r="D19" s="112"/>
      <c r="E19" s="112">
        <v>5488654</v>
      </c>
      <c r="F19" s="112"/>
      <c r="G19" s="112">
        <v>1055477</v>
      </c>
      <c r="H19" s="112"/>
      <c r="I19" s="112">
        <v>291833767</v>
      </c>
      <c r="J19" s="112"/>
      <c r="K19" s="112">
        <f t="shared" si="2"/>
        <v>69864347</v>
      </c>
      <c r="L19" s="112"/>
      <c r="M19" s="112">
        <v>36280479</v>
      </c>
      <c r="N19" s="112"/>
      <c r="O19" s="112">
        <v>106144826</v>
      </c>
      <c r="P19" s="112"/>
      <c r="Q19" s="112">
        <v>99878395</v>
      </c>
      <c r="R19" s="112"/>
      <c r="S19" s="112">
        <f t="shared" si="3"/>
        <v>74534955</v>
      </c>
      <c r="T19" s="112"/>
      <c r="U19" s="112">
        <v>11275591</v>
      </c>
      <c r="V19" s="112"/>
      <c r="W19" s="112">
        <v>185688941</v>
      </c>
      <c r="X19" s="112"/>
      <c r="Y19" s="112">
        <f t="shared" si="4"/>
        <v>0</v>
      </c>
    </row>
    <row r="20" spans="1:25" s="76" customFormat="1" ht="12.75" customHeight="1">
      <c r="A20" s="107" t="s">
        <v>241</v>
      </c>
      <c r="B20" s="22" t="str">
        <f t="shared" si="0"/>
        <v>11</v>
      </c>
      <c r="C20" s="112">
        <f t="shared" si="1"/>
        <v>173610681</v>
      </c>
      <c r="D20" s="112"/>
      <c r="E20" s="112">
        <f>30756047+111427754</f>
        <v>142183801</v>
      </c>
      <c r="F20" s="112"/>
      <c r="G20" s="112">
        <v>235390</v>
      </c>
      <c r="H20" s="112"/>
      <c r="I20" s="112">
        <v>316029872</v>
      </c>
      <c r="J20" s="112"/>
      <c r="K20" s="112">
        <f t="shared" si="2"/>
        <v>56716900</v>
      </c>
      <c r="L20" s="112"/>
      <c r="M20" s="112">
        <f>38487675</f>
        <v>38487675</v>
      </c>
      <c r="N20" s="112"/>
      <c r="O20" s="112">
        <v>95204575</v>
      </c>
      <c r="P20" s="112"/>
      <c r="Q20" s="112">
        <v>120074375</v>
      </c>
      <c r="R20" s="112"/>
      <c r="S20" s="112">
        <f t="shared" si="3"/>
        <v>75840799</v>
      </c>
      <c r="T20" s="112"/>
      <c r="U20" s="112">
        <v>24910123</v>
      </c>
      <c r="V20" s="112"/>
      <c r="W20" s="112">
        <v>220825297</v>
      </c>
      <c r="X20" s="112"/>
      <c r="Y20" s="112">
        <f t="shared" si="4"/>
        <v>0</v>
      </c>
    </row>
    <row r="21" spans="1:25" s="76" customFormat="1" ht="12.75" customHeight="1">
      <c r="A21" s="107" t="s">
        <v>235</v>
      </c>
      <c r="B21" s="22" t="str">
        <f t="shared" si="0"/>
        <v>12</v>
      </c>
      <c r="C21" s="23">
        <f t="shared" si="1"/>
        <v>150491712</v>
      </c>
      <c r="D21" s="23"/>
      <c r="E21" s="23">
        <f>8444290+70926920</f>
        <v>79371210</v>
      </c>
      <c r="F21" s="23"/>
      <c r="G21" s="23">
        <v>322982</v>
      </c>
      <c r="H21" s="23"/>
      <c r="I21" s="23">
        <v>230185904</v>
      </c>
      <c r="J21" s="23"/>
      <c r="K21" s="23">
        <f t="shared" si="2"/>
        <v>59495103</v>
      </c>
      <c r="L21" s="23"/>
      <c r="M21" s="23">
        <v>35561138</v>
      </c>
      <c r="N21" s="23"/>
      <c r="O21" s="23">
        <v>95056241</v>
      </c>
      <c r="P21" s="23"/>
      <c r="Q21" s="23">
        <v>59848806</v>
      </c>
      <c r="R21" s="23"/>
      <c r="S21" s="23">
        <f t="shared" si="3"/>
        <v>54337139</v>
      </c>
      <c r="T21" s="23"/>
      <c r="U21" s="23">
        <v>20943718</v>
      </c>
      <c r="V21" s="23"/>
      <c r="W21" s="23">
        <v>135129663</v>
      </c>
      <c r="X21" s="23"/>
      <c r="Y21" s="23">
        <f t="shared" si="4"/>
        <v>0</v>
      </c>
    </row>
    <row r="22" spans="1:25" s="76" customFormat="1" ht="12.75" customHeight="1">
      <c r="A22" s="107" t="s">
        <v>242</v>
      </c>
      <c r="B22" s="22" t="str">
        <f t="shared" si="0"/>
        <v>13</v>
      </c>
      <c r="C22" s="23">
        <f t="shared" si="1"/>
        <v>192296945</v>
      </c>
      <c r="D22" s="23"/>
      <c r="E22" s="23">
        <f>15027574+80379219</f>
        <v>95406793</v>
      </c>
      <c r="F22" s="23"/>
      <c r="G22" s="23">
        <v>0</v>
      </c>
      <c r="H22" s="23"/>
      <c r="I22" s="23">
        <v>287703738</v>
      </c>
      <c r="J22" s="23"/>
      <c r="K22" s="23">
        <f t="shared" si="2"/>
        <v>42951595</v>
      </c>
      <c r="L22" s="23"/>
      <c r="M22" s="23">
        <v>28404401</v>
      </c>
      <c r="N22" s="23"/>
      <c r="O22" s="23">
        <v>71355996</v>
      </c>
      <c r="P22" s="23"/>
      <c r="Q22" s="23">
        <v>86499817</v>
      </c>
      <c r="R22" s="23"/>
      <c r="S22" s="23">
        <f t="shared" si="3"/>
        <v>123909039</v>
      </c>
      <c r="T22" s="23"/>
      <c r="U22" s="23">
        <v>5938886</v>
      </c>
      <c r="V22" s="23"/>
      <c r="W22" s="23">
        <v>216347742</v>
      </c>
      <c r="X22" s="23"/>
      <c r="Y22" s="23">
        <f t="shared" si="4"/>
        <v>0</v>
      </c>
    </row>
    <row r="23" spans="1:25" s="76" customFormat="1" ht="12.75" customHeight="1">
      <c r="A23" s="107" t="s">
        <v>243</v>
      </c>
      <c r="B23" s="22" t="str">
        <f t="shared" si="0"/>
        <v>14</v>
      </c>
      <c r="C23" s="23">
        <f t="shared" si="1"/>
        <v>121366629</v>
      </c>
      <c r="D23" s="23"/>
      <c r="E23" s="23">
        <f>16849+12747263+139494364</f>
        <v>152258476</v>
      </c>
      <c r="F23" s="23"/>
      <c r="G23" s="23">
        <v>0</v>
      </c>
      <c r="H23" s="23"/>
      <c r="I23" s="23">
        <v>273625105</v>
      </c>
      <c r="J23" s="23"/>
      <c r="K23" s="23">
        <f t="shared" si="2"/>
        <v>37772903</v>
      </c>
      <c r="L23" s="23"/>
      <c r="M23" s="23">
        <v>19118951</v>
      </c>
      <c r="N23" s="23"/>
      <c r="O23" s="23">
        <v>56891854</v>
      </c>
      <c r="P23" s="23"/>
      <c r="Q23" s="23">
        <v>135574190</v>
      </c>
      <c r="R23" s="23"/>
      <c r="S23" s="23">
        <f t="shared" si="3"/>
        <v>50200176</v>
      </c>
      <c r="T23" s="23"/>
      <c r="U23" s="23">
        <v>30958885</v>
      </c>
      <c r="V23" s="23"/>
      <c r="W23" s="23">
        <v>216733251</v>
      </c>
      <c r="X23" s="23"/>
      <c r="Y23" s="23">
        <f t="shared" si="4"/>
        <v>0</v>
      </c>
    </row>
    <row r="24" spans="1:25" s="76" customFormat="1" ht="12.75" customHeight="1">
      <c r="A24" s="107" t="s">
        <v>249</v>
      </c>
      <c r="B24" s="22" t="str">
        <f t="shared" si="0"/>
        <v>15</v>
      </c>
      <c r="C24" s="112">
        <f t="shared" si="1"/>
        <v>87326035</v>
      </c>
      <c r="D24" s="112"/>
      <c r="E24" s="112">
        <f>55060453+3299842</f>
        <v>58360295</v>
      </c>
      <c r="F24" s="112"/>
      <c r="G24" s="112">
        <v>0</v>
      </c>
      <c r="H24" s="112"/>
      <c r="I24" s="112">
        <v>145686330</v>
      </c>
      <c r="J24" s="112"/>
      <c r="K24" s="112">
        <f t="shared" si="2"/>
        <v>34813284</v>
      </c>
      <c r="L24" s="112"/>
      <c r="M24" s="112">
        <v>10839479</v>
      </c>
      <c r="N24" s="112"/>
      <c r="O24" s="112">
        <v>45652763</v>
      </c>
      <c r="P24" s="112"/>
      <c r="Q24" s="112">
        <v>51800543</v>
      </c>
      <c r="R24" s="112"/>
      <c r="S24" s="112">
        <f t="shared" si="3"/>
        <v>42992607</v>
      </c>
      <c r="T24" s="112"/>
      <c r="U24" s="112">
        <v>5240417</v>
      </c>
      <c r="V24" s="112"/>
      <c r="W24" s="112">
        <v>100033567</v>
      </c>
      <c r="X24" s="112"/>
      <c r="Y24" s="112">
        <f t="shared" si="4"/>
        <v>0</v>
      </c>
    </row>
    <row r="25" spans="1:25" s="76" customFormat="1" ht="12.75" customHeight="1">
      <c r="A25" s="107" t="s">
        <v>244</v>
      </c>
      <c r="B25" s="22" t="str">
        <f t="shared" si="0"/>
        <v>16</v>
      </c>
      <c r="C25" s="23">
        <f t="shared" si="1"/>
        <v>138934855</v>
      </c>
      <c r="D25" s="23"/>
      <c r="E25" s="23">
        <f>38405151+121594471</f>
        <v>159999622</v>
      </c>
      <c r="F25" s="23"/>
      <c r="G25" s="23">
        <v>464752</v>
      </c>
      <c r="H25" s="23"/>
      <c r="I25" s="23">
        <v>299399229</v>
      </c>
      <c r="J25" s="23"/>
      <c r="K25" s="23">
        <f t="shared" si="2"/>
        <v>33749115</v>
      </c>
      <c r="L25" s="23"/>
      <c r="M25" s="23">
        <v>42412831</v>
      </c>
      <c r="N25" s="23"/>
      <c r="O25" s="23">
        <v>76161946</v>
      </c>
      <c r="P25" s="23"/>
      <c r="Q25" s="23">
        <v>117815451</v>
      </c>
      <c r="R25" s="23"/>
      <c r="S25" s="23">
        <f t="shared" si="3"/>
        <v>84845617</v>
      </c>
      <c r="T25" s="23"/>
      <c r="U25" s="23">
        <v>20576215</v>
      </c>
      <c r="V25" s="23"/>
      <c r="W25" s="23">
        <v>223237283</v>
      </c>
      <c r="X25" s="23"/>
      <c r="Y25" s="23">
        <f t="shared" si="4"/>
        <v>0</v>
      </c>
    </row>
    <row r="26" spans="1:25" s="76" customFormat="1" ht="12.75" customHeight="1">
      <c r="A26" s="107" t="s">
        <v>245</v>
      </c>
      <c r="B26" s="22" t="str">
        <f t="shared" si="0"/>
        <v>17</v>
      </c>
      <c r="C26" s="112">
        <f t="shared" si="1"/>
        <v>87567345</v>
      </c>
      <c r="D26" s="112"/>
      <c r="E26" s="112">
        <f>8386684+56291503</f>
        <v>64678187</v>
      </c>
      <c r="F26" s="112"/>
      <c r="G26" s="112">
        <v>0</v>
      </c>
      <c r="H26" s="112"/>
      <c r="I26" s="112">
        <v>152245532</v>
      </c>
      <c r="J26" s="112"/>
      <c r="K26" s="112">
        <f t="shared" si="2"/>
        <v>34510081</v>
      </c>
      <c r="L26" s="112"/>
      <c r="M26" s="112">
        <v>10472809</v>
      </c>
      <c r="N26" s="112"/>
      <c r="O26" s="112">
        <v>44982890</v>
      </c>
      <c r="P26" s="112"/>
      <c r="Q26" s="112">
        <v>53209177</v>
      </c>
      <c r="R26" s="112"/>
      <c r="S26" s="112">
        <f t="shared" si="3"/>
        <v>25224763</v>
      </c>
      <c r="T26" s="112"/>
      <c r="U26" s="112">
        <v>28828702</v>
      </c>
      <c r="V26" s="112"/>
      <c r="W26" s="112">
        <v>107262642</v>
      </c>
      <c r="X26" s="112"/>
      <c r="Y26" s="112">
        <f t="shared" si="4"/>
        <v>0</v>
      </c>
    </row>
    <row r="27" spans="1:25" s="76" customFormat="1" ht="12.75" customHeight="1">
      <c r="A27" s="107" t="s">
        <v>246</v>
      </c>
      <c r="B27" s="22" t="str">
        <f t="shared" si="0"/>
        <v>18</v>
      </c>
      <c r="C27" s="23">
        <f t="shared" si="1"/>
        <v>132205109</v>
      </c>
      <c r="D27" s="23"/>
      <c r="E27" s="23">
        <f>6712814+78338583</f>
        <v>85051397</v>
      </c>
      <c r="F27" s="23"/>
      <c r="G27" s="23">
        <v>0</v>
      </c>
      <c r="H27" s="23"/>
      <c r="I27" s="23">
        <v>217256506</v>
      </c>
      <c r="J27" s="23"/>
      <c r="K27" s="23">
        <f t="shared" si="2"/>
        <v>41812202</v>
      </c>
      <c r="L27" s="23"/>
      <c r="M27" s="23">
        <v>18509121</v>
      </c>
      <c r="N27" s="23"/>
      <c r="O27" s="23">
        <v>60321323</v>
      </c>
      <c r="P27" s="23"/>
      <c r="Q27" s="23">
        <v>67215455</v>
      </c>
      <c r="R27" s="23"/>
      <c r="S27" s="23">
        <f t="shared" si="3"/>
        <v>65566368</v>
      </c>
      <c r="T27" s="23"/>
      <c r="U27" s="23">
        <v>24153360</v>
      </c>
      <c r="V27" s="23"/>
      <c r="W27" s="23">
        <v>156935183</v>
      </c>
      <c r="X27" s="23"/>
      <c r="Y27" s="23">
        <f t="shared" si="4"/>
        <v>0</v>
      </c>
    </row>
    <row r="28" spans="1:25" s="76" customFormat="1" ht="12.75" customHeight="1">
      <c r="A28" s="107" t="s">
        <v>247</v>
      </c>
      <c r="B28" s="22" t="str">
        <f t="shared" si="0"/>
        <v>19</v>
      </c>
      <c r="C28" s="23">
        <f t="shared" si="1"/>
        <v>116584334</v>
      </c>
      <c r="D28" s="23"/>
      <c r="E28" s="23">
        <f>30128823+132005092</f>
        <v>162133915</v>
      </c>
      <c r="F28" s="23"/>
      <c r="G28" s="23">
        <v>0</v>
      </c>
      <c r="H28" s="23"/>
      <c r="I28" s="23">
        <v>278718249</v>
      </c>
      <c r="J28" s="23"/>
      <c r="K28" s="23">
        <f t="shared" si="2"/>
        <v>63643179</v>
      </c>
      <c r="L28" s="23"/>
      <c r="M28" s="23">
        <v>24904688</v>
      </c>
      <c r="N28" s="23"/>
      <c r="O28" s="23">
        <v>88547867</v>
      </c>
      <c r="P28" s="23"/>
      <c r="Q28" s="23">
        <v>140718891</v>
      </c>
      <c r="R28" s="23"/>
      <c r="S28" s="23">
        <f t="shared" si="3"/>
        <v>46698196</v>
      </c>
      <c r="T28" s="23"/>
      <c r="U28" s="23">
        <v>2753295</v>
      </c>
      <c r="V28" s="23"/>
      <c r="W28" s="23">
        <v>190170382</v>
      </c>
      <c r="X28" s="23"/>
      <c r="Y28" s="23">
        <f t="shared" si="4"/>
        <v>0</v>
      </c>
    </row>
    <row r="29" spans="1:25" s="76" customFormat="1" ht="12.75" customHeight="1">
      <c r="A29" s="107" t="s">
        <v>248</v>
      </c>
      <c r="B29" s="22" t="str">
        <f t="shared" si="0"/>
        <v>20</v>
      </c>
      <c r="C29" s="23">
        <f t="shared" si="1"/>
        <v>94847466</v>
      </c>
      <c r="D29" s="23"/>
      <c r="E29" s="23">
        <f>7204888+1047685+83315712</f>
        <v>91568285</v>
      </c>
      <c r="F29" s="23"/>
      <c r="G29" s="23">
        <v>124850</v>
      </c>
      <c r="H29" s="23"/>
      <c r="I29" s="23">
        <v>186540601</v>
      </c>
      <c r="J29" s="23"/>
      <c r="K29" s="23">
        <f t="shared" si="2"/>
        <v>34166354</v>
      </c>
      <c r="L29" s="23"/>
      <c r="M29" s="23">
        <v>17340989</v>
      </c>
      <c r="N29" s="23"/>
      <c r="O29" s="23">
        <v>51507343</v>
      </c>
      <c r="P29" s="23"/>
      <c r="Q29" s="23">
        <v>72403585</v>
      </c>
      <c r="R29" s="23"/>
      <c r="S29" s="23">
        <f t="shared" si="3"/>
        <v>52926397</v>
      </c>
      <c r="T29" s="23"/>
      <c r="U29" s="23">
        <v>9703276</v>
      </c>
      <c r="V29" s="23"/>
      <c r="W29" s="23">
        <v>135033258</v>
      </c>
      <c r="X29" s="23"/>
      <c r="Y29" s="23">
        <f t="shared" si="4"/>
        <v>0</v>
      </c>
    </row>
    <row r="30" spans="1:25" s="76" customFormat="1" ht="12.75" customHeight="1">
      <c r="A30" s="107"/>
      <c r="B30" s="2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ht="12">
      <c r="A31" s="30"/>
      <c r="B31" s="30"/>
      <c r="C31" s="23"/>
      <c r="D31" s="4"/>
      <c r="E31" s="4"/>
      <c r="F31" s="4"/>
      <c r="G31" s="4"/>
      <c r="H31" s="4"/>
      <c r="I31" s="4"/>
      <c r="J31" s="4"/>
      <c r="X31" s="23"/>
      <c r="Y31" s="30"/>
    </row>
    <row r="32" spans="1:25" ht="12">
      <c r="A32" s="30"/>
      <c r="B32" s="30"/>
      <c r="C32" s="23"/>
      <c r="D32" s="4"/>
      <c r="E32" s="4"/>
      <c r="F32" s="4"/>
      <c r="G32" s="4"/>
      <c r="H32" s="4"/>
      <c r="I32" s="4"/>
      <c r="J32" s="4"/>
      <c r="X32" s="23"/>
      <c r="Y32" s="30"/>
    </row>
    <row r="33" spans="1:25" ht="12">
      <c r="A33" s="30"/>
      <c r="B33" s="30"/>
      <c r="C33" s="23"/>
      <c r="D33" s="4"/>
      <c r="E33" s="4"/>
      <c r="F33" s="4"/>
      <c r="G33" s="4"/>
      <c r="H33" s="4"/>
      <c r="I33" s="4"/>
      <c r="J33" s="4"/>
      <c r="X33" s="23"/>
      <c r="Y33" s="30"/>
    </row>
    <row r="34" spans="1:25" ht="12">
      <c r="A34" s="30"/>
      <c r="B34" s="30"/>
      <c r="C34" s="23"/>
      <c r="D34" s="4"/>
      <c r="E34" s="4"/>
      <c r="F34" s="4"/>
      <c r="G34" s="4"/>
      <c r="H34" s="4"/>
      <c r="I34" s="4"/>
      <c r="J34" s="4"/>
      <c r="X34" s="23"/>
      <c r="Y34" s="30"/>
    </row>
    <row r="35" spans="1:25" ht="12">
      <c r="A35" s="30"/>
      <c r="B35" s="30"/>
      <c r="C35" s="23"/>
      <c r="D35" s="4"/>
      <c r="E35" s="4"/>
      <c r="F35" s="4"/>
      <c r="G35" s="4"/>
      <c r="H35" s="4"/>
      <c r="I35" s="4"/>
      <c r="J35" s="4"/>
      <c r="X35" s="23"/>
      <c r="Y35" s="30"/>
    </row>
    <row r="36" spans="1:25" ht="12">
      <c r="A36" s="30"/>
      <c r="B36" s="30"/>
      <c r="C36" s="23"/>
      <c r="D36" s="4"/>
      <c r="E36" s="4"/>
      <c r="F36" s="4"/>
      <c r="G36" s="4"/>
      <c r="H36" s="4"/>
      <c r="I36" s="4"/>
      <c r="J36" s="4"/>
      <c r="X36" s="23"/>
      <c r="Y36" s="30"/>
    </row>
    <row r="37" spans="1:25" ht="12">
      <c r="A37" s="30"/>
      <c r="B37" s="30"/>
      <c r="C37" s="23"/>
      <c r="D37" s="4"/>
      <c r="E37" s="4"/>
      <c r="F37" s="4"/>
      <c r="G37" s="4"/>
      <c r="H37" s="4"/>
      <c r="I37" s="4"/>
      <c r="J37" s="4"/>
      <c r="X37" s="23"/>
      <c r="Y37" s="30"/>
    </row>
  </sheetData>
  <sheetProtection/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alignWithMargins="0">
    <oddFooter>&amp;C&amp;"Times New Roman,Regular"&amp;11&amp;P</oddFooter>
  </headerFooter>
  <colBreaks count="1" manualBreakCount="1">
    <brk id="11" max="9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3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7" sqref="A17:IV17"/>
    </sheetView>
  </sheetViews>
  <sheetFormatPr defaultColWidth="8.421875" defaultRowHeight="12.75"/>
  <cols>
    <col min="1" max="1" width="15.7109375" style="81" customWidth="1"/>
    <col min="2" max="2" width="1.7109375" style="81" customWidth="1"/>
    <col min="3" max="3" width="11.7109375" style="81" customWidth="1"/>
    <col min="4" max="4" width="1.7109375" style="81" customWidth="1"/>
    <col min="5" max="5" width="11.7109375" style="81" customWidth="1"/>
    <col min="6" max="6" width="1.7109375" style="81" customWidth="1"/>
    <col min="7" max="7" width="11.7109375" style="81" customWidth="1"/>
    <col min="8" max="8" width="1.7109375" style="81" customWidth="1"/>
    <col min="9" max="9" width="11.7109375" style="81" customWidth="1"/>
    <col min="10" max="10" width="1.7109375" style="81" customWidth="1"/>
    <col min="11" max="11" width="11.7109375" style="81" customWidth="1"/>
    <col min="12" max="12" width="1.7109375" style="81" customWidth="1"/>
    <col min="13" max="13" width="11.7109375" style="81" customWidth="1"/>
    <col min="14" max="14" width="1.7109375" style="81" customWidth="1"/>
    <col min="15" max="15" width="11.7109375" style="81" customWidth="1"/>
    <col min="16" max="16" width="1.7109375" style="81" customWidth="1"/>
    <col min="17" max="17" width="11.7109375" style="81" customWidth="1"/>
    <col min="18" max="18" width="1.7109375" style="81" customWidth="1"/>
    <col min="19" max="19" width="11.7109375" style="81" customWidth="1"/>
    <col min="20" max="20" width="1.7109375" style="81" customWidth="1"/>
    <col min="21" max="21" width="11.7109375" style="81" customWidth="1"/>
    <col min="22" max="22" width="11.7109375" style="81" hidden="1" customWidth="1"/>
    <col min="23" max="23" width="1.7109375" style="81" hidden="1" customWidth="1"/>
    <col min="24" max="24" width="11.7109375" style="81" customWidth="1"/>
    <col min="25" max="25" width="1.7109375" style="81" customWidth="1"/>
    <col min="26" max="26" width="11.7109375" style="81" customWidth="1"/>
    <col min="27" max="27" width="1.7109375" style="81" customWidth="1"/>
    <col min="28" max="28" width="11.7109375" style="71" customWidth="1"/>
    <col min="29" max="29" width="1.7109375" style="71" customWidth="1"/>
    <col min="30" max="30" width="11.7109375" style="71" customWidth="1"/>
    <col min="31" max="31" width="1.7109375" style="71" customWidth="1"/>
    <col min="32" max="32" width="11.7109375" style="71" customWidth="1"/>
    <col min="33" max="33" width="1.7109375" style="71" customWidth="1"/>
    <col min="34" max="34" width="11.7109375" style="71" customWidth="1"/>
    <col min="35" max="35" width="1.7109375" style="71" customWidth="1"/>
    <col min="36" max="36" width="11.7109375" style="71" customWidth="1"/>
    <col min="37" max="37" width="1.7109375" style="71" customWidth="1"/>
    <col min="38" max="38" width="11.7109375" style="71" customWidth="1"/>
    <col min="39" max="39" width="1.7109375" style="71" customWidth="1"/>
    <col min="40" max="40" width="11.7109375" style="67" customWidth="1"/>
    <col min="41" max="41" width="1.7109375" style="67" customWidth="1"/>
    <col min="42" max="42" width="11.7109375" style="67" customWidth="1"/>
    <col min="43" max="43" width="1.7109375" style="67" customWidth="1"/>
    <col min="44" max="44" width="11.7109375" style="67" hidden="1" customWidth="1"/>
    <col min="45" max="45" width="1.7109375" style="67" hidden="1" customWidth="1"/>
    <col min="46" max="46" width="11.7109375" style="67" hidden="1" customWidth="1"/>
    <col min="47" max="47" width="1.7109375" style="67" hidden="1" customWidth="1"/>
    <col min="48" max="48" width="11.7109375" style="67" customWidth="1"/>
    <col min="49" max="49" width="2.421875" style="67" customWidth="1"/>
    <col min="50" max="50" width="14.140625" style="67" customWidth="1"/>
    <col min="51" max="51" width="1.7109375" style="67" customWidth="1"/>
    <col min="52" max="52" width="11.7109375" style="67" customWidth="1"/>
    <col min="53" max="53" width="1.7109375" style="67" customWidth="1"/>
    <col min="54" max="54" width="11.7109375" style="67" customWidth="1"/>
    <col min="55" max="55" width="1.7109375" style="67" customWidth="1"/>
    <col min="56" max="56" width="11.7109375" style="67" customWidth="1"/>
    <col min="57" max="57" width="1.7109375" style="67" customWidth="1"/>
    <col min="58" max="58" width="11.7109375" style="67" customWidth="1"/>
    <col min="59" max="59" width="1.7109375" style="67" hidden="1" customWidth="1"/>
    <col min="60" max="60" width="11.7109375" style="67" hidden="1" customWidth="1"/>
    <col min="61" max="61" width="1.7109375" style="67" customWidth="1"/>
    <col min="62" max="62" width="11.7109375" style="67" customWidth="1"/>
    <col min="63" max="63" width="13.57421875" style="67" customWidth="1"/>
    <col min="64" max="16384" width="8.421875" style="67" customWidth="1"/>
  </cols>
  <sheetData>
    <row r="1" spans="1:50" s="56" customFormat="1" ht="12.75">
      <c r="A1" s="55" t="s">
        <v>182</v>
      </c>
      <c r="B1" s="7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86" t="s">
        <v>182</v>
      </c>
      <c r="Y1" s="87"/>
      <c r="Z1" s="87"/>
      <c r="AA1" s="53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X1" s="88" t="s">
        <v>182</v>
      </c>
    </row>
    <row r="2" spans="1:50" s="56" customFormat="1" ht="12.75">
      <c r="A2" s="55" t="s">
        <v>130</v>
      </c>
      <c r="B2" s="7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5" t="s">
        <v>225</v>
      </c>
      <c r="Y2" s="87"/>
      <c r="Z2" s="87"/>
      <c r="AA2" s="53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X2" s="88" t="s">
        <v>98</v>
      </c>
    </row>
    <row r="3" spans="1:50" s="56" customFormat="1" ht="12.75">
      <c r="A3" s="55" t="s">
        <v>230</v>
      </c>
      <c r="B3" s="7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1" t="s">
        <v>229</v>
      </c>
      <c r="Y3" s="87"/>
      <c r="Z3" s="87"/>
      <c r="AA3" s="53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X3" s="55" t="s">
        <v>227</v>
      </c>
    </row>
    <row r="4" spans="1:50" s="33" customFormat="1" ht="12">
      <c r="A4" s="72"/>
      <c r="B4" s="72"/>
      <c r="C4" s="72"/>
      <c r="D4" s="72"/>
      <c r="E4" s="72"/>
      <c r="F4" s="72"/>
      <c r="G4" s="72"/>
      <c r="H4" s="7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72"/>
      <c r="AA4" s="22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X4" s="73"/>
    </row>
    <row r="5" spans="1:50" s="33" customFormat="1" ht="12">
      <c r="A5" s="51" t="s">
        <v>173</v>
      </c>
      <c r="B5" s="72"/>
      <c r="C5" s="72"/>
      <c r="D5" s="72"/>
      <c r="E5" s="72"/>
      <c r="F5" s="72"/>
      <c r="G5" s="72"/>
      <c r="H5" s="7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51"/>
      <c r="AA5" s="22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X5" s="51" t="s">
        <v>173</v>
      </c>
    </row>
    <row r="6" spans="1:62" s="33" customFormat="1" ht="12">
      <c r="A6" s="18"/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44" t="s">
        <v>131</v>
      </c>
      <c r="P6" s="44"/>
      <c r="Q6" s="44"/>
      <c r="R6" s="44"/>
      <c r="S6" s="44"/>
      <c r="T6" s="44"/>
      <c r="U6" s="44"/>
      <c r="V6" s="45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4" t="s">
        <v>98</v>
      </c>
      <c r="BA6" s="44"/>
      <c r="BB6" s="44"/>
      <c r="BC6" s="44"/>
      <c r="BD6" s="44"/>
      <c r="BE6" s="44"/>
      <c r="BF6" s="44"/>
      <c r="BG6" s="45"/>
      <c r="BH6" s="45"/>
      <c r="BI6" s="45"/>
      <c r="BJ6" s="16"/>
    </row>
    <row r="7" spans="1:62" s="33" customFormat="1" ht="12">
      <c r="A7" s="18"/>
      <c r="B7" s="1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U7" s="20" t="s">
        <v>4</v>
      </c>
      <c r="V7" s="20"/>
      <c r="W7" s="89" t="s">
        <v>181</v>
      </c>
      <c r="X7" s="45"/>
      <c r="Y7" s="45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 t="s">
        <v>177</v>
      </c>
      <c r="AQ7" s="20"/>
      <c r="AR7" s="20" t="s">
        <v>148</v>
      </c>
      <c r="AS7" s="20"/>
      <c r="AT7" s="20" t="s">
        <v>148</v>
      </c>
      <c r="AU7" s="20"/>
      <c r="AV7" s="20"/>
      <c r="AW7" s="20"/>
      <c r="AX7" s="20"/>
      <c r="AY7" s="20"/>
      <c r="AZ7" s="20" t="s">
        <v>99</v>
      </c>
      <c r="BA7" s="20"/>
      <c r="BB7" s="20" t="s">
        <v>100</v>
      </c>
      <c r="BC7" s="20"/>
      <c r="BD7" s="20"/>
      <c r="BE7" s="20"/>
      <c r="BF7" s="20" t="s">
        <v>101</v>
      </c>
      <c r="BG7" s="20"/>
      <c r="BH7" s="20" t="s">
        <v>178</v>
      </c>
      <c r="BI7" s="20"/>
      <c r="BJ7" s="20" t="s">
        <v>4</v>
      </c>
    </row>
    <row r="8" spans="1:62" s="33" customFormat="1" ht="12">
      <c r="A8" s="18"/>
      <c r="B8" s="18"/>
      <c r="C8" s="20" t="s">
        <v>129</v>
      </c>
      <c r="D8" s="20"/>
      <c r="E8" s="20" t="s">
        <v>149</v>
      </c>
      <c r="F8" s="20"/>
      <c r="G8" s="20" t="s">
        <v>4</v>
      </c>
      <c r="H8" s="20"/>
      <c r="I8" s="20" t="s">
        <v>129</v>
      </c>
      <c r="J8" s="20"/>
      <c r="K8" s="20" t="s">
        <v>149</v>
      </c>
      <c r="L8" s="20"/>
      <c r="M8" s="20" t="s">
        <v>4</v>
      </c>
      <c r="N8" s="20"/>
      <c r="O8" s="20" t="s">
        <v>132</v>
      </c>
      <c r="P8" s="20"/>
      <c r="Q8" s="20"/>
      <c r="R8" s="20"/>
      <c r="S8" s="20"/>
      <c r="T8" s="20"/>
      <c r="U8" s="20" t="s">
        <v>212</v>
      </c>
      <c r="V8" s="20"/>
      <c r="W8" s="20"/>
      <c r="X8" s="20"/>
      <c r="Y8" s="20"/>
      <c r="Z8" s="20" t="s">
        <v>97</v>
      </c>
      <c r="AA8" s="20"/>
      <c r="AB8" s="20" t="s">
        <v>150</v>
      </c>
      <c r="AC8" s="20"/>
      <c r="AD8" s="20"/>
      <c r="AE8" s="20"/>
      <c r="AF8" s="20" t="s">
        <v>97</v>
      </c>
      <c r="AG8" s="20"/>
      <c r="AH8" s="20" t="s">
        <v>151</v>
      </c>
      <c r="AI8" s="20"/>
      <c r="AJ8" s="20" t="s">
        <v>97</v>
      </c>
      <c r="AK8" s="20"/>
      <c r="AL8" s="20" t="s">
        <v>97</v>
      </c>
      <c r="AM8" s="20"/>
      <c r="AN8" s="20" t="s">
        <v>84</v>
      </c>
      <c r="AO8" s="20"/>
      <c r="AP8" s="20" t="s">
        <v>211</v>
      </c>
      <c r="AQ8" s="20"/>
      <c r="AR8" s="20" t="s">
        <v>152</v>
      </c>
      <c r="AS8" s="20"/>
      <c r="AT8" s="20" t="s">
        <v>152</v>
      </c>
      <c r="AU8" s="20"/>
      <c r="AV8" s="20" t="s">
        <v>102</v>
      </c>
      <c r="AW8" s="20"/>
      <c r="AX8" s="20"/>
      <c r="AY8" s="20"/>
      <c r="AZ8" s="20" t="s">
        <v>103</v>
      </c>
      <c r="BA8" s="20"/>
      <c r="BB8" s="20" t="s">
        <v>12</v>
      </c>
      <c r="BC8" s="20"/>
      <c r="BD8" s="20"/>
      <c r="BE8" s="20"/>
      <c r="BF8" s="20" t="s">
        <v>104</v>
      </c>
      <c r="BG8" s="20"/>
      <c r="BH8" s="20" t="s">
        <v>179</v>
      </c>
      <c r="BI8" s="20"/>
      <c r="BJ8" s="20" t="s">
        <v>104</v>
      </c>
    </row>
    <row r="9" spans="1:62" s="33" customFormat="1" ht="12">
      <c r="A9" s="21" t="s">
        <v>5</v>
      </c>
      <c r="B9" s="18"/>
      <c r="C9" s="19" t="s">
        <v>112</v>
      </c>
      <c r="D9" s="20"/>
      <c r="E9" s="19" t="s">
        <v>112</v>
      </c>
      <c r="F9" s="20"/>
      <c r="G9" s="19" t="s">
        <v>112</v>
      </c>
      <c r="H9" s="20"/>
      <c r="I9" s="19" t="s">
        <v>118</v>
      </c>
      <c r="J9" s="20"/>
      <c r="K9" s="19" t="s">
        <v>118</v>
      </c>
      <c r="L9" s="20"/>
      <c r="M9" s="19" t="s">
        <v>118</v>
      </c>
      <c r="N9" s="20"/>
      <c r="O9" s="19" t="s">
        <v>134</v>
      </c>
      <c r="P9" s="20"/>
      <c r="Q9" s="19" t="s">
        <v>135</v>
      </c>
      <c r="R9" s="20"/>
      <c r="S9" s="19" t="s">
        <v>136</v>
      </c>
      <c r="T9" s="20"/>
      <c r="U9" s="19" t="s">
        <v>112</v>
      </c>
      <c r="V9" s="20"/>
      <c r="W9" s="20"/>
      <c r="X9" s="21" t="s">
        <v>5</v>
      </c>
      <c r="Y9" s="20"/>
      <c r="Z9" s="19" t="s">
        <v>12</v>
      </c>
      <c r="AA9" s="20"/>
      <c r="AB9" s="19" t="s">
        <v>105</v>
      </c>
      <c r="AC9" s="20"/>
      <c r="AD9" s="19" t="s">
        <v>105</v>
      </c>
      <c r="AE9" s="20"/>
      <c r="AF9" s="19" t="s">
        <v>106</v>
      </c>
      <c r="AG9" s="20"/>
      <c r="AH9" s="19" t="s">
        <v>153</v>
      </c>
      <c r="AI9" s="20"/>
      <c r="AJ9" s="19" t="s">
        <v>107</v>
      </c>
      <c r="AK9" s="20"/>
      <c r="AL9" s="19" t="s">
        <v>108</v>
      </c>
      <c r="AM9" s="20"/>
      <c r="AN9" s="19" t="s">
        <v>154</v>
      </c>
      <c r="AO9" s="20"/>
      <c r="AP9" s="19" t="s">
        <v>131</v>
      </c>
      <c r="AQ9" s="20"/>
      <c r="AR9" s="19" t="s">
        <v>155</v>
      </c>
      <c r="AS9" s="20"/>
      <c r="AT9" s="19" t="s">
        <v>156</v>
      </c>
      <c r="AU9" s="20"/>
      <c r="AV9" s="19" t="s">
        <v>84</v>
      </c>
      <c r="AW9" s="20"/>
      <c r="AX9" s="21" t="s">
        <v>5</v>
      </c>
      <c r="AY9" s="20"/>
      <c r="AZ9" s="19" t="s">
        <v>109</v>
      </c>
      <c r="BA9" s="20"/>
      <c r="BB9" s="19" t="s">
        <v>109</v>
      </c>
      <c r="BC9" s="20"/>
      <c r="BD9" s="19" t="s">
        <v>110</v>
      </c>
      <c r="BE9" s="20"/>
      <c r="BF9" s="19" t="s">
        <v>111</v>
      </c>
      <c r="BG9" s="20"/>
      <c r="BH9" s="19" t="s">
        <v>180</v>
      </c>
      <c r="BI9" s="20"/>
      <c r="BJ9" s="19" t="s">
        <v>118</v>
      </c>
    </row>
    <row r="10" spans="1:62" s="33" customFormat="1" ht="12">
      <c r="A10" s="107" t="s">
        <v>231</v>
      </c>
      <c r="B10" s="22" t="str">
        <f aca="true" t="shared" si="0" ref="B10:B29">LEFT(A10,2)</f>
        <v>1 </v>
      </c>
      <c r="C10" s="32">
        <f aca="true" t="shared" si="1" ref="C10:C29">+G10-E10</f>
        <v>0</v>
      </c>
      <c r="D10" s="32"/>
      <c r="E10" s="32">
        <v>0</v>
      </c>
      <c r="F10" s="32"/>
      <c r="G10" s="32">
        <v>0</v>
      </c>
      <c r="H10" s="32"/>
      <c r="I10" s="32">
        <f aca="true" t="shared" si="2" ref="I10:I29">+M10-K10</f>
        <v>0</v>
      </c>
      <c r="J10" s="32"/>
      <c r="K10" s="32">
        <f>SUM(BJ10)</f>
        <v>0</v>
      </c>
      <c r="L10" s="32"/>
      <c r="M10" s="32">
        <v>0</v>
      </c>
      <c r="N10" s="32"/>
      <c r="O10" s="32">
        <v>0</v>
      </c>
      <c r="P10" s="32"/>
      <c r="Q10" s="32">
        <v>0</v>
      </c>
      <c r="R10" s="32"/>
      <c r="S10" s="32">
        <v>0</v>
      </c>
      <c r="T10" s="32"/>
      <c r="U10" s="32">
        <f aca="true" t="shared" si="3" ref="U10:U29">SUM(O10:S10)</f>
        <v>0</v>
      </c>
      <c r="V10" s="32">
        <f aca="true" t="shared" si="4" ref="V10:V29">G10-M10-U10</f>
        <v>0</v>
      </c>
      <c r="W10" s="32"/>
      <c r="X10" s="22" t="s">
        <v>25</v>
      </c>
      <c r="Y10" s="32"/>
      <c r="Z10" s="32">
        <v>0</v>
      </c>
      <c r="AA10" s="32"/>
      <c r="AB10" s="32">
        <v>0</v>
      </c>
      <c r="AC10" s="32"/>
      <c r="AD10" s="32">
        <v>0</v>
      </c>
      <c r="AE10" s="32"/>
      <c r="AF10" s="32">
        <f aca="true" t="shared" si="5" ref="AF10:AF29">+Z10-AB10-AD10</f>
        <v>0</v>
      </c>
      <c r="AG10" s="32"/>
      <c r="AH10" s="32">
        <v>0</v>
      </c>
      <c r="AI10" s="32"/>
      <c r="AJ10" s="32">
        <v>0</v>
      </c>
      <c r="AK10" s="32"/>
      <c r="AL10" s="32">
        <v>0</v>
      </c>
      <c r="AM10" s="32"/>
      <c r="AN10" s="32">
        <v>0</v>
      </c>
      <c r="AO10" s="32"/>
      <c r="AP10" s="32">
        <f aca="true" t="shared" si="6" ref="AP10:AP29">+AN10+AJ10+AH10+AF10-AL10</f>
        <v>0</v>
      </c>
      <c r="AQ10" s="32"/>
      <c r="AR10" s="32">
        <v>0</v>
      </c>
      <c r="AS10" s="32"/>
      <c r="AT10" s="32">
        <v>0</v>
      </c>
      <c r="AU10" s="32"/>
      <c r="AV10" s="32">
        <f aca="true" t="shared" si="7" ref="AV10:AV29">C10-I10</f>
        <v>0</v>
      </c>
      <c r="AW10" s="32"/>
      <c r="AX10" s="22" t="s">
        <v>25</v>
      </c>
      <c r="AY10" s="32"/>
      <c r="AZ10" s="32">
        <v>0</v>
      </c>
      <c r="BA10" s="32"/>
      <c r="BB10" s="32">
        <v>0</v>
      </c>
      <c r="BC10" s="32"/>
      <c r="BD10" s="32">
        <v>0</v>
      </c>
      <c r="BE10" s="32"/>
      <c r="BF10" s="32">
        <v>0</v>
      </c>
      <c r="BG10" s="32"/>
      <c r="BH10" s="32"/>
      <c r="BI10" s="32"/>
      <c r="BJ10" s="16">
        <f aca="true" t="shared" si="8" ref="BJ10:BJ29">SUM(AZ10:BF10)+BH10</f>
        <v>0</v>
      </c>
    </row>
    <row r="11" spans="1:62" s="33" customFormat="1" ht="12">
      <c r="A11" s="107" t="s">
        <v>232</v>
      </c>
      <c r="B11" s="22" t="str">
        <f t="shared" si="0"/>
        <v>2 </v>
      </c>
      <c r="C11" s="32">
        <f t="shared" si="1"/>
        <v>0</v>
      </c>
      <c r="D11" s="32"/>
      <c r="E11" s="32">
        <v>0</v>
      </c>
      <c r="F11" s="32"/>
      <c r="G11" s="32">
        <v>0</v>
      </c>
      <c r="H11" s="32"/>
      <c r="I11" s="32">
        <f t="shared" si="2"/>
        <v>0</v>
      </c>
      <c r="J11" s="32"/>
      <c r="K11" s="32">
        <f>SUM(BJ11)</f>
        <v>0</v>
      </c>
      <c r="L11" s="32"/>
      <c r="M11" s="32">
        <v>0</v>
      </c>
      <c r="N11" s="32"/>
      <c r="O11" s="32">
        <v>0</v>
      </c>
      <c r="P11" s="32"/>
      <c r="Q11" s="32">
        <v>0</v>
      </c>
      <c r="R11" s="32"/>
      <c r="S11" s="32">
        <v>0</v>
      </c>
      <c r="T11" s="32"/>
      <c r="U11" s="32">
        <f t="shared" si="3"/>
        <v>0</v>
      </c>
      <c r="V11" s="32">
        <f t="shared" si="4"/>
        <v>0</v>
      </c>
      <c r="W11" s="32"/>
      <c r="X11" s="22" t="s">
        <v>31</v>
      </c>
      <c r="Y11" s="32"/>
      <c r="Z11" s="32">
        <v>0</v>
      </c>
      <c r="AA11" s="32"/>
      <c r="AB11" s="32">
        <v>0</v>
      </c>
      <c r="AC11" s="32"/>
      <c r="AD11" s="32">
        <v>0</v>
      </c>
      <c r="AE11" s="32"/>
      <c r="AF11" s="32">
        <f t="shared" si="5"/>
        <v>0</v>
      </c>
      <c r="AG11" s="32"/>
      <c r="AH11" s="32">
        <v>0</v>
      </c>
      <c r="AI11" s="32"/>
      <c r="AJ11" s="32">
        <v>0</v>
      </c>
      <c r="AK11" s="32"/>
      <c r="AL11" s="32">
        <v>0</v>
      </c>
      <c r="AM11" s="32"/>
      <c r="AN11" s="32">
        <v>0</v>
      </c>
      <c r="AO11" s="32"/>
      <c r="AP11" s="32">
        <f t="shared" si="6"/>
        <v>0</v>
      </c>
      <c r="AQ11" s="32"/>
      <c r="AR11" s="32">
        <v>0</v>
      </c>
      <c r="AS11" s="32"/>
      <c r="AT11" s="32">
        <v>0</v>
      </c>
      <c r="AU11" s="32"/>
      <c r="AV11" s="32">
        <f t="shared" si="7"/>
        <v>0</v>
      </c>
      <c r="AW11" s="32"/>
      <c r="AX11" s="22" t="s">
        <v>31</v>
      </c>
      <c r="AY11" s="32"/>
      <c r="AZ11" s="32">
        <v>0</v>
      </c>
      <c r="BA11" s="32"/>
      <c r="BB11" s="32">
        <v>0</v>
      </c>
      <c r="BC11" s="32"/>
      <c r="BD11" s="32">
        <v>0</v>
      </c>
      <c r="BE11" s="32"/>
      <c r="BF11" s="32">
        <v>0</v>
      </c>
      <c r="BG11" s="32"/>
      <c r="BH11" s="32"/>
      <c r="BI11" s="32"/>
      <c r="BJ11" s="16">
        <f t="shared" si="8"/>
        <v>0</v>
      </c>
    </row>
    <row r="12" spans="1:62" s="33" customFormat="1" ht="12">
      <c r="A12" s="107" t="s">
        <v>233</v>
      </c>
      <c r="B12" s="22" t="str">
        <f t="shared" si="0"/>
        <v>3 </v>
      </c>
      <c r="C12" s="32">
        <f t="shared" si="1"/>
        <v>0</v>
      </c>
      <c r="D12" s="32"/>
      <c r="E12" s="32">
        <v>0</v>
      </c>
      <c r="F12" s="32"/>
      <c r="G12" s="32">
        <v>0</v>
      </c>
      <c r="H12" s="32"/>
      <c r="I12" s="32">
        <f t="shared" si="2"/>
        <v>0</v>
      </c>
      <c r="J12" s="32"/>
      <c r="K12" s="32">
        <f>SUM(BJ12)</f>
        <v>0</v>
      </c>
      <c r="L12" s="32"/>
      <c r="M12" s="32">
        <v>0</v>
      </c>
      <c r="N12" s="32"/>
      <c r="O12" s="32">
        <v>0</v>
      </c>
      <c r="P12" s="32"/>
      <c r="Q12" s="32">
        <v>0</v>
      </c>
      <c r="R12" s="32"/>
      <c r="S12" s="32">
        <v>0</v>
      </c>
      <c r="T12" s="32"/>
      <c r="U12" s="32">
        <f t="shared" si="3"/>
        <v>0</v>
      </c>
      <c r="V12" s="32">
        <f t="shared" si="4"/>
        <v>0</v>
      </c>
      <c r="W12" s="32"/>
      <c r="X12" s="22" t="s">
        <v>35</v>
      </c>
      <c r="Y12" s="32"/>
      <c r="Z12" s="32">
        <v>0</v>
      </c>
      <c r="AA12" s="32"/>
      <c r="AB12" s="32">
        <v>0</v>
      </c>
      <c r="AC12" s="32"/>
      <c r="AD12" s="32">
        <v>0</v>
      </c>
      <c r="AE12" s="32"/>
      <c r="AF12" s="32">
        <f t="shared" si="5"/>
        <v>0</v>
      </c>
      <c r="AG12" s="32"/>
      <c r="AH12" s="32">
        <v>0</v>
      </c>
      <c r="AI12" s="32"/>
      <c r="AJ12" s="32">
        <v>0</v>
      </c>
      <c r="AK12" s="32"/>
      <c r="AL12" s="32">
        <v>0</v>
      </c>
      <c r="AM12" s="32"/>
      <c r="AN12" s="32">
        <v>0</v>
      </c>
      <c r="AO12" s="32"/>
      <c r="AP12" s="32">
        <f t="shared" si="6"/>
        <v>0</v>
      </c>
      <c r="AQ12" s="32"/>
      <c r="AR12" s="32">
        <v>0</v>
      </c>
      <c r="AS12" s="32"/>
      <c r="AT12" s="32">
        <v>0</v>
      </c>
      <c r="AU12" s="32"/>
      <c r="AV12" s="32">
        <f t="shared" si="7"/>
        <v>0</v>
      </c>
      <c r="AW12" s="32"/>
      <c r="AX12" s="22" t="s">
        <v>35</v>
      </c>
      <c r="AY12" s="32"/>
      <c r="AZ12" s="32">
        <v>0</v>
      </c>
      <c r="BA12" s="32"/>
      <c r="BB12" s="32">
        <v>0</v>
      </c>
      <c r="BC12" s="32"/>
      <c r="BD12" s="32">
        <v>0</v>
      </c>
      <c r="BE12" s="32"/>
      <c r="BF12" s="32">
        <v>0</v>
      </c>
      <c r="BG12" s="32"/>
      <c r="BH12" s="32"/>
      <c r="BI12" s="32"/>
      <c r="BJ12" s="16">
        <f t="shared" si="8"/>
        <v>0</v>
      </c>
    </row>
    <row r="13" spans="1:62" s="33" customFormat="1" ht="12">
      <c r="A13" s="107" t="s">
        <v>234</v>
      </c>
      <c r="B13" s="22" t="str">
        <f t="shared" si="0"/>
        <v>4 </v>
      </c>
      <c r="C13" s="32">
        <f t="shared" si="1"/>
        <v>2567907</v>
      </c>
      <c r="D13" s="32"/>
      <c r="E13" s="32">
        <v>0</v>
      </c>
      <c r="F13" s="32"/>
      <c r="G13" s="32">
        <v>2567907</v>
      </c>
      <c r="H13" s="32"/>
      <c r="I13" s="32">
        <f t="shared" si="2"/>
        <v>-3493284</v>
      </c>
      <c r="J13" s="32"/>
      <c r="K13" s="32">
        <f>SUM(BJ13)</f>
        <v>3710247</v>
      </c>
      <c r="L13" s="32"/>
      <c r="M13" s="32">
        <v>216963</v>
      </c>
      <c r="N13" s="32"/>
      <c r="O13" s="32">
        <v>0</v>
      </c>
      <c r="P13" s="32"/>
      <c r="Q13" s="32">
        <v>0</v>
      </c>
      <c r="R13" s="32"/>
      <c r="S13" s="32">
        <v>2350944</v>
      </c>
      <c r="T13" s="32"/>
      <c r="U13" s="32">
        <f t="shared" si="3"/>
        <v>2350944</v>
      </c>
      <c r="V13" s="32">
        <f t="shared" si="4"/>
        <v>0</v>
      </c>
      <c r="W13" s="32"/>
      <c r="X13" s="22" t="s">
        <v>71</v>
      </c>
      <c r="Y13" s="32"/>
      <c r="Z13" s="32">
        <v>2529</v>
      </c>
      <c r="AA13" s="32"/>
      <c r="AB13" s="32">
        <v>3857</v>
      </c>
      <c r="AC13" s="32"/>
      <c r="AD13" s="32">
        <v>0</v>
      </c>
      <c r="AE13" s="32"/>
      <c r="AF13" s="32">
        <f t="shared" si="5"/>
        <v>-1328</v>
      </c>
      <c r="AG13" s="32"/>
      <c r="AH13" s="32">
        <v>-14148</v>
      </c>
      <c r="AI13" s="32"/>
      <c r="AJ13" s="32">
        <v>0</v>
      </c>
      <c r="AK13" s="32"/>
      <c r="AL13" s="32">
        <v>0</v>
      </c>
      <c r="AM13" s="32"/>
      <c r="AN13" s="32">
        <v>0</v>
      </c>
      <c r="AO13" s="32"/>
      <c r="AP13" s="32">
        <f t="shared" si="6"/>
        <v>-15476</v>
      </c>
      <c r="AQ13" s="32"/>
      <c r="AR13" s="32">
        <v>0</v>
      </c>
      <c r="AS13" s="32"/>
      <c r="AT13" s="32">
        <v>0</v>
      </c>
      <c r="AU13" s="32"/>
      <c r="AV13" s="32">
        <f t="shared" si="7"/>
        <v>6061191</v>
      </c>
      <c r="AW13" s="32"/>
      <c r="AX13" s="22" t="s">
        <v>71</v>
      </c>
      <c r="AY13" s="32"/>
      <c r="AZ13" s="32">
        <v>2425644</v>
      </c>
      <c r="BA13" s="32"/>
      <c r="BB13" s="32">
        <v>0</v>
      </c>
      <c r="BC13" s="32"/>
      <c r="BD13" s="32">
        <v>0</v>
      </c>
      <c r="BE13" s="32"/>
      <c r="BF13" s="32">
        <v>1284603</v>
      </c>
      <c r="BG13" s="32"/>
      <c r="BH13" s="32"/>
      <c r="BI13" s="32"/>
      <c r="BJ13" s="16">
        <f t="shared" si="8"/>
        <v>3710247</v>
      </c>
    </row>
    <row r="14" spans="1:63" s="33" customFormat="1" ht="12">
      <c r="A14" s="107" t="s">
        <v>236</v>
      </c>
      <c r="B14" s="22" t="str">
        <f t="shared" si="0"/>
        <v>5 </v>
      </c>
      <c r="C14" s="32">
        <f t="shared" si="1"/>
        <v>49265646</v>
      </c>
      <c r="D14" s="32"/>
      <c r="E14" s="32">
        <v>118524109</v>
      </c>
      <c r="F14" s="32"/>
      <c r="G14" s="32">
        <v>167789755</v>
      </c>
      <c r="H14" s="32"/>
      <c r="I14" s="32">
        <f t="shared" si="2"/>
        <v>9104594</v>
      </c>
      <c r="J14" s="32"/>
      <c r="K14" s="32">
        <f>SUM(BJ14)</f>
        <v>31964723</v>
      </c>
      <c r="L14" s="32"/>
      <c r="M14" s="32">
        <v>41069317</v>
      </c>
      <c r="N14" s="32"/>
      <c r="O14" s="32">
        <v>79539206</v>
      </c>
      <c r="P14" s="32"/>
      <c r="Q14" s="32">
        <f>3180996+4825667</f>
        <v>8006663</v>
      </c>
      <c r="R14" s="32"/>
      <c r="S14" s="32">
        <v>39174569</v>
      </c>
      <c r="T14" s="32"/>
      <c r="U14" s="32">
        <f t="shared" si="3"/>
        <v>126720438</v>
      </c>
      <c r="V14" s="32">
        <f t="shared" si="4"/>
        <v>0</v>
      </c>
      <c r="W14" s="32"/>
      <c r="X14" s="22" t="s">
        <v>56</v>
      </c>
      <c r="Y14" s="32"/>
      <c r="Z14" s="32">
        <v>33042314</v>
      </c>
      <c r="AA14" s="32"/>
      <c r="AB14" s="32">
        <f>32160559-4529179</f>
        <v>27631380</v>
      </c>
      <c r="AC14" s="32"/>
      <c r="AD14" s="32">
        <v>4529179</v>
      </c>
      <c r="AE14" s="32"/>
      <c r="AF14" s="32">
        <f t="shared" si="5"/>
        <v>881755</v>
      </c>
      <c r="AG14" s="32"/>
      <c r="AH14" s="32">
        <v>-1125725</v>
      </c>
      <c r="AI14" s="32"/>
      <c r="AJ14" s="32">
        <v>185217</v>
      </c>
      <c r="AK14" s="32"/>
      <c r="AL14" s="32">
        <v>0</v>
      </c>
      <c r="AM14" s="32"/>
      <c r="AN14" s="32">
        <v>3262031</v>
      </c>
      <c r="AO14" s="32"/>
      <c r="AP14" s="32">
        <f t="shared" si="6"/>
        <v>3203278</v>
      </c>
      <c r="AQ14" s="32"/>
      <c r="AR14" s="32">
        <v>0</v>
      </c>
      <c r="AS14" s="32"/>
      <c r="AT14" s="32">
        <v>0</v>
      </c>
      <c r="AU14" s="32"/>
      <c r="AV14" s="32">
        <f t="shared" si="7"/>
        <v>40161052</v>
      </c>
      <c r="AW14" s="32"/>
      <c r="AX14" s="22" t="s">
        <v>56</v>
      </c>
      <c r="AY14" s="32"/>
      <c r="AZ14" s="32">
        <v>1774723</v>
      </c>
      <c r="BA14" s="32"/>
      <c r="BB14" s="32">
        <v>30190000</v>
      </c>
      <c r="BC14" s="32"/>
      <c r="BD14" s="32">
        <v>0</v>
      </c>
      <c r="BE14" s="32"/>
      <c r="BF14" s="32">
        <v>0</v>
      </c>
      <c r="BG14" s="32"/>
      <c r="BH14" s="32"/>
      <c r="BI14" s="32"/>
      <c r="BJ14" s="16">
        <f t="shared" si="8"/>
        <v>31964723</v>
      </c>
      <c r="BK14" s="16"/>
    </row>
    <row r="15" spans="1:62" s="33" customFormat="1" ht="12">
      <c r="A15" s="107" t="s">
        <v>237</v>
      </c>
      <c r="B15" s="22" t="str">
        <f t="shared" si="0"/>
        <v>6 </v>
      </c>
      <c r="C15" s="122">
        <f t="shared" si="1"/>
        <v>2050690</v>
      </c>
      <c r="D15" s="122"/>
      <c r="E15" s="122">
        <v>43199804</v>
      </c>
      <c r="F15" s="122"/>
      <c r="G15" s="122">
        <v>45250494</v>
      </c>
      <c r="H15" s="122"/>
      <c r="I15" s="122">
        <f t="shared" si="2"/>
        <v>301301</v>
      </c>
      <c r="J15" s="122"/>
      <c r="K15" s="122">
        <v>3151962</v>
      </c>
      <c r="L15" s="122"/>
      <c r="M15" s="122">
        <v>3453263</v>
      </c>
      <c r="N15" s="122"/>
      <c r="O15" s="122">
        <v>39850332</v>
      </c>
      <c r="P15" s="122"/>
      <c r="Q15" s="122">
        <v>0</v>
      </c>
      <c r="R15" s="122"/>
      <c r="S15" s="122">
        <v>1946899</v>
      </c>
      <c r="T15" s="122"/>
      <c r="U15" s="122">
        <f t="shared" si="3"/>
        <v>41797231</v>
      </c>
      <c r="V15" s="122">
        <f t="shared" si="4"/>
        <v>0</v>
      </c>
      <c r="W15" s="122"/>
      <c r="X15" s="107" t="s">
        <v>172</v>
      </c>
      <c r="Y15" s="122"/>
      <c r="Z15" s="122">
        <v>1499430</v>
      </c>
      <c r="AA15" s="122"/>
      <c r="AB15" s="122">
        <f>3035014-1783470</f>
        <v>1251544</v>
      </c>
      <c r="AC15" s="122"/>
      <c r="AD15" s="122">
        <v>1783470</v>
      </c>
      <c r="AE15" s="122"/>
      <c r="AF15" s="122">
        <f t="shared" si="5"/>
        <v>-1535584</v>
      </c>
      <c r="AG15" s="122"/>
      <c r="AH15" s="122">
        <v>-216106</v>
      </c>
      <c r="AI15" s="122"/>
      <c r="AJ15" s="122">
        <v>0</v>
      </c>
      <c r="AK15" s="122"/>
      <c r="AL15" s="122">
        <v>0</v>
      </c>
      <c r="AM15" s="122"/>
      <c r="AN15" s="122">
        <v>0</v>
      </c>
      <c r="AO15" s="122"/>
      <c r="AP15" s="122">
        <f t="shared" si="6"/>
        <v>-1751690</v>
      </c>
      <c r="AQ15" s="122"/>
      <c r="AR15" s="122">
        <v>0</v>
      </c>
      <c r="AS15" s="122"/>
      <c r="AT15" s="122">
        <v>0</v>
      </c>
      <c r="AU15" s="122"/>
      <c r="AV15" s="122">
        <f t="shared" si="7"/>
        <v>1749389</v>
      </c>
      <c r="AW15" s="122"/>
      <c r="AX15" s="107" t="s">
        <v>172</v>
      </c>
      <c r="AY15" s="122"/>
      <c r="AZ15" s="122">
        <v>0</v>
      </c>
      <c r="BA15" s="122"/>
      <c r="BB15" s="122">
        <v>0</v>
      </c>
      <c r="BC15" s="122"/>
      <c r="BD15" s="122">
        <v>3151962</v>
      </c>
      <c r="BE15" s="122"/>
      <c r="BF15" s="122">
        <v>0</v>
      </c>
      <c r="BG15" s="122"/>
      <c r="BH15" s="122"/>
      <c r="BI15" s="122"/>
      <c r="BJ15" s="123">
        <f t="shared" si="8"/>
        <v>3151962</v>
      </c>
    </row>
    <row r="16" spans="1:62" s="33" customFormat="1" ht="12">
      <c r="A16" s="107" t="s">
        <v>238</v>
      </c>
      <c r="B16" s="22" t="str">
        <f t="shared" si="0"/>
        <v>7 </v>
      </c>
      <c r="C16" s="32">
        <f t="shared" si="1"/>
        <v>0</v>
      </c>
      <c r="D16" s="32"/>
      <c r="E16" s="32">
        <v>0</v>
      </c>
      <c r="F16" s="32"/>
      <c r="G16" s="32">
        <v>0</v>
      </c>
      <c r="H16" s="32"/>
      <c r="I16" s="32">
        <f t="shared" si="2"/>
        <v>0</v>
      </c>
      <c r="J16" s="32"/>
      <c r="K16" s="32">
        <f>SUM(BJ16)</f>
        <v>0</v>
      </c>
      <c r="L16" s="32"/>
      <c r="M16" s="32">
        <v>0</v>
      </c>
      <c r="N16" s="32"/>
      <c r="O16" s="32">
        <v>0</v>
      </c>
      <c r="P16" s="32"/>
      <c r="Q16" s="32">
        <v>0</v>
      </c>
      <c r="R16" s="32"/>
      <c r="S16" s="32">
        <v>0</v>
      </c>
      <c r="T16" s="32"/>
      <c r="U16" s="32">
        <f t="shared" si="3"/>
        <v>0</v>
      </c>
      <c r="V16" s="32">
        <f t="shared" si="4"/>
        <v>0</v>
      </c>
      <c r="W16" s="32"/>
      <c r="X16" s="22" t="s">
        <v>70</v>
      </c>
      <c r="Y16" s="32"/>
      <c r="Z16" s="32">
        <v>0</v>
      </c>
      <c r="AA16" s="32"/>
      <c r="AB16" s="32">
        <v>0</v>
      </c>
      <c r="AC16" s="32"/>
      <c r="AD16" s="32">
        <v>0</v>
      </c>
      <c r="AE16" s="32"/>
      <c r="AF16" s="32">
        <f t="shared" si="5"/>
        <v>0</v>
      </c>
      <c r="AG16" s="32"/>
      <c r="AH16" s="32">
        <v>0</v>
      </c>
      <c r="AI16" s="32"/>
      <c r="AJ16" s="32">
        <v>0</v>
      </c>
      <c r="AK16" s="32"/>
      <c r="AL16" s="32">
        <v>0</v>
      </c>
      <c r="AM16" s="32"/>
      <c r="AN16" s="32">
        <v>0</v>
      </c>
      <c r="AO16" s="32"/>
      <c r="AP16" s="32">
        <f t="shared" si="6"/>
        <v>0</v>
      </c>
      <c r="AQ16" s="32"/>
      <c r="AR16" s="32">
        <v>0</v>
      </c>
      <c r="AS16" s="32"/>
      <c r="AT16" s="32">
        <v>0</v>
      </c>
      <c r="AU16" s="32"/>
      <c r="AV16" s="32">
        <f t="shared" si="7"/>
        <v>0</v>
      </c>
      <c r="AW16" s="32"/>
      <c r="AX16" s="22" t="s">
        <v>70</v>
      </c>
      <c r="AY16" s="32"/>
      <c r="AZ16" s="32">
        <v>0</v>
      </c>
      <c r="BA16" s="32"/>
      <c r="BB16" s="32">
        <v>0</v>
      </c>
      <c r="BC16" s="32"/>
      <c r="BD16" s="32">
        <v>0</v>
      </c>
      <c r="BE16" s="32"/>
      <c r="BF16" s="32">
        <v>0</v>
      </c>
      <c r="BG16" s="32"/>
      <c r="BH16" s="32"/>
      <c r="BI16" s="32"/>
      <c r="BJ16" s="16">
        <f t="shared" si="8"/>
        <v>0</v>
      </c>
    </row>
    <row r="17" spans="1:62" s="59" customFormat="1" ht="12">
      <c r="A17" s="107" t="s">
        <v>250</v>
      </c>
      <c r="B17" s="107"/>
      <c r="C17" s="122">
        <f t="shared" si="1"/>
        <v>24538132</v>
      </c>
      <c r="D17" s="122"/>
      <c r="E17" s="122">
        <v>143117818</v>
      </c>
      <c r="F17" s="122"/>
      <c r="G17" s="122">
        <v>167655950</v>
      </c>
      <c r="H17" s="122"/>
      <c r="I17" s="122">
        <f t="shared" si="2"/>
        <v>5745558</v>
      </c>
      <c r="J17" s="122"/>
      <c r="K17" s="122">
        <v>69071700</v>
      </c>
      <c r="L17" s="122"/>
      <c r="M17" s="122">
        <v>74817258</v>
      </c>
      <c r="N17" s="122"/>
      <c r="O17" s="122">
        <v>80675714</v>
      </c>
      <c r="P17" s="122"/>
      <c r="Q17" s="122">
        <f>1333536+2000000</f>
        <v>3333536</v>
      </c>
      <c r="R17" s="122"/>
      <c r="S17" s="122">
        <v>8829442</v>
      </c>
      <c r="T17" s="122"/>
      <c r="U17" s="122">
        <f t="shared" si="3"/>
        <v>92838692</v>
      </c>
      <c r="V17" s="122">
        <f t="shared" si="4"/>
        <v>0</v>
      </c>
      <c r="W17" s="122"/>
      <c r="X17" s="107" t="s">
        <v>250</v>
      </c>
      <c r="Y17" s="122"/>
      <c r="Z17" s="122">
        <v>23839865</v>
      </c>
      <c r="AA17" s="122"/>
      <c r="AB17" s="122">
        <f>23320199-6226109</f>
        <v>17094090</v>
      </c>
      <c r="AC17" s="122"/>
      <c r="AD17" s="122">
        <v>6226109</v>
      </c>
      <c r="AE17" s="122"/>
      <c r="AF17" s="122">
        <f t="shared" si="5"/>
        <v>519666</v>
      </c>
      <c r="AG17" s="122"/>
      <c r="AH17" s="122">
        <v>-3342126</v>
      </c>
      <c r="AI17" s="122"/>
      <c r="AJ17" s="122">
        <v>0</v>
      </c>
      <c r="AK17" s="122"/>
      <c r="AL17" s="122">
        <v>0</v>
      </c>
      <c r="AM17" s="122"/>
      <c r="AN17" s="122">
        <v>2204494</v>
      </c>
      <c r="AO17" s="122"/>
      <c r="AP17" s="122">
        <f t="shared" si="6"/>
        <v>-617966</v>
      </c>
      <c r="AQ17" s="122"/>
      <c r="AR17" s="122">
        <v>0</v>
      </c>
      <c r="AS17" s="122"/>
      <c r="AT17" s="122">
        <v>0</v>
      </c>
      <c r="AU17" s="122"/>
      <c r="AV17" s="122">
        <f t="shared" si="7"/>
        <v>18792574</v>
      </c>
      <c r="AW17" s="122"/>
      <c r="AX17" s="107" t="s">
        <v>250</v>
      </c>
      <c r="AY17" s="122"/>
      <c r="AZ17" s="122">
        <f>115735+372605</f>
        <v>488340</v>
      </c>
      <c r="BA17" s="122"/>
      <c r="BB17" s="122">
        <f>2105000+32150374</f>
        <v>34255374</v>
      </c>
      <c r="BC17" s="122"/>
      <c r="BD17" s="122">
        <f>251984+5444119</f>
        <v>5696103</v>
      </c>
      <c r="BE17" s="122"/>
      <c r="BF17" s="122">
        <f>1180000+113880+30724658+244459</f>
        <v>32262997</v>
      </c>
      <c r="BG17" s="122"/>
      <c r="BH17" s="122"/>
      <c r="BI17" s="122"/>
      <c r="BJ17" s="123">
        <f t="shared" si="8"/>
        <v>72702814</v>
      </c>
    </row>
    <row r="18" spans="1:62" s="33" customFormat="1" ht="12">
      <c r="A18" s="107" t="s">
        <v>239</v>
      </c>
      <c r="B18" s="22" t="str">
        <f t="shared" si="0"/>
        <v>9 </v>
      </c>
      <c r="C18" s="122">
        <f t="shared" si="1"/>
        <v>0</v>
      </c>
      <c r="D18" s="122"/>
      <c r="E18" s="122">
        <v>0</v>
      </c>
      <c r="F18" s="122"/>
      <c r="G18" s="122">
        <v>0</v>
      </c>
      <c r="H18" s="122"/>
      <c r="I18" s="122">
        <f t="shared" si="2"/>
        <v>0</v>
      </c>
      <c r="J18" s="122"/>
      <c r="K18" s="122">
        <f>SUM(BJ18)</f>
        <v>0</v>
      </c>
      <c r="L18" s="122"/>
      <c r="M18" s="122">
        <v>0</v>
      </c>
      <c r="N18" s="122"/>
      <c r="O18" s="122">
        <v>0</v>
      </c>
      <c r="P18" s="122"/>
      <c r="Q18" s="122">
        <v>0</v>
      </c>
      <c r="R18" s="122"/>
      <c r="S18" s="122">
        <v>0</v>
      </c>
      <c r="T18" s="122"/>
      <c r="U18" s="122">
        <f t="shared" si="3"/>
        <v>0</v>
      </c>
      <c r="V18" s="122">
        <f t="shared" si="4"/>
        <v>0</v>
      </c>
      <c r="W18" s="122"/>
      <c r="X18" s="107" t="s">
        <v>48</v>
      </c>
      <c r="Y18" s="122"/>
      <c r="Z18" s="122">
        <v>0</v>
      </c>
      <c r="AA18" s="122"/>
      <c r="AB18" s="122">
        <v>0</v>
      </c>
      <c r="AC18" s="122"/>
      <c r="AD18" s="122">
        <v>0</v>
      </c>
      <c r="AE18" s="122"/>
      <c r="AF18" s="122">
        <f t="shared" si="5"/>
        <v>0</v>
      </c>
      <c r="AG18" s="122"/>
      <c r="AH18" s="122">
        <v>0</v>
      </c>
      <c r="AI18" s="122"/>
      <c r="AJ18" s="122">
        <v>0</v>
      </c>
      <c r="AK18" s="122"/>
      <c r="AL18" s="122">
        <v>0</v>
      </c>
      <c r="AM18" s="122"/>
      <c r="AN18" s="122">
        <v>0</v>
      </c>
      <c r="AO18" s="122"/>
      <c r="AP18" s="122">
        <f t="shared" si="6"/>
        <v>0</v>
      </c>
      <c r="AQ18" s="122"/>
      <c r="AR18" s="122">
        <v>0</v>
      </c>
      <c r="AS18" s="122"/>
      <c r="AT18" s="122">
        <v>0</v>
      </c>
      <c r="AU18" s="122"/>
      <c r="AV18" s="122">
        <f t="shared" si="7"/>
        <v>0</v>
      </c>
      <c r="AW18" s="122"/>
      <c r="AX18" s="107" t="s">
        <v>48</v>
      </c>
      <c r="AY18" s="122"/>
      <c r="AZ18" s="122">
        <v>0</v>
      </c>
      <c r="BA18" s="122"/>
      <c r="BB18" s="122">
        <v>0</v>
      </c>
      <c r="BC18" s="122"/>
      <c r="BD18" s="122">
        <v>0</v>
      </c>
      <c r="BE18" s="122"/>
      <c r="BF18" s="122">
        <v>0</v>
      </c>
      <c r="BG18" s="122"/>
      <c r="BH18" s="122"/>
      <c r="BI18" s="122"/>
      <c r="BJ18" s="123">
        <f t="shared" si="8"/>
        <v>0</v>
      </c>
    </row>
    <row r="19" spans="1:62" s="33" customFormat="1" ht="12">
      <c r="A19" s="107" t="s">
        <v>240</v>
      </c>
      <c r="B19" s="22" t="str">
        <f t="shared" si="0"/>
        <v>10</v>
      </c>
      <c r="C19" s="122">
        <f t="shared" si="1"/>
        <v>1634224</v>
      </c>
      <c r="D19" s="122"/>
      <c r="E19" s="122">
        <v>12583123</v>
      </c>
      <c r="F19" s="122"/>
      <c r="G19" s="122">
        <v>14217347</v>
      </c>
      <c r="H19" s="122"/>
      <c r="I19" s="122">
        <f t="shared" si="2"/>
        <v>285241</v>
      </c>
      <c r="J19" s="122"/>
      <c r="K19" s="122">
        <v>4746868</v>
      </c>
      <c r="L19" s="122"/>
      <c r="M19" s="122">
        <v>5032109</v>
      </c>
      <c r="N19" s="122"/>
      <c r="O19" s="122">
        <v>7618758</v>
      </c>
      <c r="P19" s="122"/>
      <c r="Q19" s="122">
        <v>0</v>
      </c>
      <c r="R19" s="122"/>
      <c r="S19" s="122">
        <v>1566480</v>
      </c>
      <c r="T19" s="122"/>
      <c r="U19" s="122">
        <f t="shared" si="3"/>
        <v>9185238</v>
      </c>
      <c r="V19" s="122">
        <f t="shared" si="4"/>
        <v>0</v>
      </c>
      <c r="W19" s="122"/>
      <c r="X19" s="107" t="s">
        <v>50</v>
      </c>
      <c r="Y19" s="122"/>
      <c r="Z19" s="122">
        <v>601081</v>
      </c>
      <c r="AA19" s="122"/>
      <c r="AB19" s="122">
        <f>906178-347708</f>
        <v>558470</v>
      </c>
      <c r="AC19" s="122"/>
      <c r="AD19" s="122">
        <v>347708</v>
      </c>
      <c r="AE19" s="122"/>
      <c r="AF19" s="122">
        <f t="shared" si="5"/>
        <v>-305097</v>
      </c>
      <c r="AG19" s="122"/>
      <c r="AH19" s="122">
        <v>-508571</v>
      </c>
      <c r="AI19" s="122"/>
      <c r="AJ19" s="122">
        <v>0</v>
      </c>
      <c r="AK19" s="122"/>
      <c r="AL19" s="122">
        <v>0</v>
      </c>
      <c r="AM19" s="122"/>
      <c r="AN19" s="122">
        <v>0</v>
      </c>
      <c r="AO19" s="122"/>
      <c r="AP19" s="122">
        <f t="shared" si="6"/>
        <v>-813668</v>
      </c>
      <c r="AQ19" s="122"/>
      <c r="AR19" s="122">
        <v>0</v>
      </c>
      <c r="AS19" s="122"/>
      <c r="AT19" s="122">
        <v>0</v>
      </c>
      <c r="AU19" s="122"/>
      <c r="AV19" s="122">
        <f t="shared" si="7"/>
        <v>1348983</v>
      </c>
      <c r="AW19" s="122"/>
      <c r="AX19" s="107" t="s">
        <v>50</v>
      </c>
      <c r="AY19" s="122"/>
      <c r="AZ19" s="122">
        <v>1290000</v>
      </c>
      <c r="BA19" s="122"/>
      <c r="BB19" s="122">
        <v>3245400</v>
      </c>
      <c r="BC19" s="122"/>
      <c r="BD19" s="122">
        <v>188366</v>
      </c>
      <c r="BE19" s="122"/>
      <c r="BF19" s="122">
        <v>23102</v>
      </c>
      <c r="BG19" s="122"/>
      <c r="BH19" s="122"/>
      <c r="BI19" s="122"/>
      <c r="BJ19" s="123">
        <f t="shared" si="8"/>
        <v>4746868</v>
      </c>
    </row>
    <row r="20" spans="1:62" s="33" customFormat="1" ht="12">
      <c r="A20" s="107" t="s">
        <v>241</v>
      </c>
      <c r="B20" s="22" t="str">
        <f t="shared" si="0"/>
        <v>11</v>
      </c>
      <c r="C20" s="122">
        <f t="shared" si="1"/>
        <v>12656113</v>
      </c>
      <c r="D20" s="122"/>
      <c r="E20" s="122">
        <v>57467272</v>
      </c>
      <c r="F20" s="122"/>
      <c r="G20" s="122">
        <v>70123385</v>
      </c>
      <c r="H20" s="122"/>
      <c r="I20" s="122">
        <f t="shared" si="2"/>
        <v>8637600</v>
      </c>
      <c r="J20" s="122"/>
      <c r="K20" s="122">
        <v>1741728</v>
      </c>
      <c r="L20" s="122"/>
      <c r="M20" s="122">
        <v>10379328</v>
      </c>
      <c r="N20" s="122"/>
      <c r="O20" s="122">
        <v>52641038</v>
      </c>
      <c r="P20" s="122"/>
      <c r="Q20" s="122">
        <v>0</v>
      </c>
      <c r="R20" s="122"/>
      <c r="S20" s="122">
        <v>7103019</v>
      </c>
      <c r="T20" s="122"/>
      <c r="U20" s="122">
        <f t="shared" si="3"/>
        <v>59744057</v>
      </c>
      <c r="V20" s="122">
        <f t="shared" si="4"/>
        <v>0</v>
      </c>
      <c r="W20" s="122"/>
      <c r="X20" s="107" t="s">
        <v>45</v>
      </c>
      <c r="Y20" s="122"/>
      <c r="Z20" s="122">
        <v>18101090</v>
      </c>
      <c r="AA20" s="122"/>
      <c r="AB20" s="122">
        <f>13143269-3342007</f>
        <v>9801262</v>
      </c>
      <c r="AC20" s="122"/>
      <c r="AD20" s="122">
        <v>3342007</v>
      </c>
      <c r="AE20" s="122"/>
      <c r="AF20" s="122">
        <f t="shared" si="5"/>
        <v>4957821</v>
      </c>
      <c r="AG20" s="122"/>
      <c r="AH20" s="122">
        <v>-752746</v>
      </c>
      <c r="AI20" s="122"/>
      <c r="AJ20" s="122">
        <v>0</v>
      </c>
      <c r="AK20" s="122"/>
      <c r="AL20" s="122">
        <v>50000</v>
      </c>
      <c r="AM20" s="122"/>
      <c r="AN20" s="122">
        <f>763579+50636</f>
        <v>814215</v>
      </c>
      <c r="AO20" s="122"/>
      <c r="AP20" s="122">
        <f t="shared" si="6"/>
        <v>4969290</v>
      </c>
      <c r="AQ20" s="122"/>
      <c r="AR20" s="122">
        <v>0</v>
      </c>
      <c r="AS20" s="122"/>
      <c r="AT20" s="122">
        <v>0</v>
      </c>
      <c r="AU20" s="122"/>
      <c r="AV20" s="122">
        <f t="shared" si="7"/>
        <v>4018513</v>
      </c>
      <c r="AW20" s="122"/>
      <c r="AX20" s="107" t="s">
        <v>45</v>
      </c>
      <c r="AY20" s="122"/>
      <c r="AZ20" s="122">
        <v>670000</v>
      </c>
      <c r="BA20" s="122"/>
      <c r="BB20" s="122">
        <v>0</v>
      </c>
      <c r="BC20" s="122"/>
      <c r="BD20" s="122">
        <v>150970</v>
      </c>
      <c r="BE20" s="122"/>
      <c r="BF20" s="122">
        <v>920758</v>
      </c>
      <c r="BG20" s="122"/>
      <c r="BH20" s="122"/>
      <c r="BI20" s="122"/>
      <c r="BJ20" s="123">
        <f t="shared" si="8"/>
        <v>1741728</v>
      </c>
    </row>
    <row r="21" spans="1:62" s="33" customFormat="1" ht="12">
      <c r="A21" s="107" t="s">
        <v>235</v>
      </c>
      <c r="B21" s="22" t="str">
        <f t="shared" si="0"/>
        <v>12</v>
      </c>
      <c r="C21" s="32">
        <f t="shared" si="1"/>
        <v>2673260</v>
      </c>
      <c r="D21" s="32"/>
      <c r="E21" s="32">
        <v>15157741</v>
      </c>
      <c r="F21" s="32"/>
      <c r="G21" s="32">
        <v>17831001</v>
      </c>
      <c r="H21" s="32"/>
      <c r="I21" s="32">
        <f t="shared" si="2"/>
        <v>-491723</v>
      </c>
      <c r="J21" s="32"/>
      <c r="K21" s="32">
        <v>585225</v>
      </c>
      <c r="L21" s="32"/>
      <c r="M21" s="32">
        <v>93502</v>
      </c>
      <c r="N21" s="32"/>
      <c r="O21" s="32">
        <v>14545102</v>
      </c>
      <c r="P21" s="32"/>
      <c r="Q21" s="32">
        <v>0</v>
      </c>
      <c r="R21" s="32"/>
      <c r="S21" s="32">
        <v>2350876</v>
      </c>
      <c r="T21" s="32"/>
      <c r="U21" s="32">
        <f t="shared" si="3"/>
        <v>16895978</v>
      </c>
      <c r="V21" s="32">
        <f t="shared" si="4"/>
        <v>841521</v>
      </c>
      <c r="W21" s="32"/>
      <c r="X21" s="22" t="s">
        <v>72</v>
      </c>
      <c r="Y21" s="32"/>
      <c r="Z21" s="32">
        <v>4867785</v>
      </c>
      <c r="AA21" s="32"/>
      <c r="AB21" s="32">
        <f>4491101-1167016</f>
        <v>3324085</v>
      </c>
      <c r="AC21" s="32"/>
      <c r="AD21" s="32">
        <v>1167016</v>
      </c>
      <c r="AE21" s="32"/>
      <c r="AF21" s="32">
        <f t="shared" si="5"/>
        <v>376684</v>
      </c>
      <c r="AG21" s="32"/>
      <c r="AH21" s="32">
        <v>57334</v>
      </c>
      <c r="AI21" s="32"/>
      <c r="AJ21" s="32">
        <v>450660</v>
      </c>
      <c r="AK21" s="32"/>
      <c r="AL21" s="32">
        <v>1446438</v>
      </c>
      <c r="AM21" s="32"/>
      <c r="AN21" s="32">
        <v>669016</v>
      </c>
      <c r="AO21" s="32"/>
      <c r="AP21" s="32">
        <f t="shared" si="6"/>
        <v>107256</v>
      </c>
      <c r="AQ21" s="32"/>
      <c r="AR21" s="32">
        <v>0</v>
      </c>
      <c r="AS21" s="32"/>
      <c r="AT21" s="32">
        <v>0</v>
      </c>
      <c r="AU21" s="32"/>
      <c r="AV21" s="32">
        <f t="shared" si="7"/>
        <v>3164983</v>
      </c>
      <c r="AW21" s="32"/>
      <c r="AX21" s="22" t="s">
        <v>72</v>
      </c>
      <c r="AY21" s="32"/>
      <c r="AZ21" s="32">
        <v>104802</v>
      </c>
      <c r="BA21" s="32"/>
      <c r="BB21" s="32">
        <v>0</v>
      </c>
      <c r="BC21" s="32"/>
      <c r="BD21" s="32">
        <v>506681</v>
      </c>
      <c r="BE21" s="32"/>
      <c r="BF21" s="32">
        <v>247333</v>
      </c>
      <c r="BG21" s="32"/>
      <c r="BH21" s="32"/>
      <c r="BI21" s="32"/>
      <c r="BJ21" s="16">
        <f t="shared" si="8"/>
        <v>858816</v>
      </c>
    </row>
    <row r="22" spans="1:62" s="33" customFormat="1" ht="12">
      <c r="A22" s="107" t="s">
        <v>242</v>
      </c>
      <c r="B22" s="22" t="str">
        <f t="shared" si="0"/>
        <v>13</v>
      </c>
      <c r="C22" s="32">
        <f t="shared" si="1"/>
        <v>15907809</v>
      </c>
      <c r="D22" s="32"/>
      <c r="E22" s="32">
        <v>107376160</v>
      </c>
      <c r="F22" s="32"/>
      <c r="G22" s="32">
        <v>123283969</v>
      </c>
      <c r="H22" s="32"/>
      <c r="I22" s="32">
        <f t="shared" si="2"/>
        <v>5702553</v>
      </c>
      <c r="J22" s="32"/>
      <c r="K22" s="32">
        <f>SUM(BJ22)</f>
        <v>7906524</v>
      </c>
      <c r="L22" s="32"/>
      <c r="M22" s="32">
        <v>13609077</v>
      </c>
      <c r="N22" s="32"/>
      <c r="O22" s="32">
        <v>92569911</v>
      </c>
      <c r="P22" s="32"/>
      <c r="Q22" s="32">
        <v>69277</v>
      </c>
      <c r="R22" s="32"/>
      <c r="S22" s="32">
        <v>17035704</v>
      </c>
      <c r="T22" s="32"/>
      <c r="U22" s="32">
        <f t="shared" si="3"/>
        <v>109674892</v>
      </c>
      <c r="V22" s="32">
        <f t="shared" si="4"/>
        <v>0</v>
      </c>
      <c r="W22" s="32"/>
      <c r="X22" s="22" t="s">
        <v>77</v>
      </c>
      <c r="Y22" s="32"/>
      <c r="Z22" s="32">
        <v>10492795</v>
      </c>
      <c r="AA22" s="32"/>
      <c r="AB22" s="32">
        <f>11714964-3545876</f>
        <v>8169088</v>
      </c>
      <c r="AC22" s="32"/>
      <c r="AD22" s="32">
        <v>3545876</v>
      </c>
      <c r="AE22" s="32"/>
      <c r="AF22" s="32">
        <f t="shared" si="5"/>
        <v>-1222169</v>
      </c>
      <c r="AG22" s="32"/>
      <c r="AH22" s="32">
        <v>-759170</v>
      </c>
      <c r="AI22" s="32"/>
      <c r="AJ22" s="32">
        <v>0</v>
      </c>
      <c r="AK22" s="32"/>
      <c r="AL22" s="32">
        <v>0</v>
      </c>
      <c r="AM22" s="32"/>
      <c r="AN22" s="32">
        <f>2452235+3817327</f>
        <v>6269562</v>
      </c>
      <c r="AO22" s="32"/>
      <c r="AP22" s="32">
        <f t="shared" si="6"/>
        <v>4288223</v>
      </c>
      <c r="AQ22" s="32"/>
      <c r="AR22" s="32">
        <v>0</v>
      </c>
      <c r="AS22" s="32"/>
      <c r="AT22" s="32">
        <v>0</v>
      </c>
      <c r="AU22" s="32"/>
      <c r="AV22" s="32">
        <f t="shared" si="7"/>
        <v>10205256</v>
      </c>
      <c r="AW22" s="32"/>
      <c r="AX22" s="22" t="s">
        <v>77</v>
      </c>
      <c r="AY22" s="32"/>
      <c r="AZ22" s="32">
        <v>6729141</v>
      </c>
      <c r="BA22" s="32"/>
      <c r="BB22" s="32">
        <v>0</v>
      </c>
      <c r="BC22" s="32"/>
      <c r="BD22" s="32">
        <v>500138</v>
      </c>
      <c r="BE22" s="32"/>
      <c r="BF22" s="32">
        <v>677245</v>
      </c>
      <c r="BG22" s="32"/>
      <c r="BH22" s="32"/>
      <c r="BI22" s="32"/>
      <c r="BJ22" s="16">
        <f t="shared" si="8"/>
        <v>7906524</v>
      </c>
    </row>
    <row r="23" spans="1:62" s="33" customFormat="1" ht="12">
      <c r="A23" s="107" t="s">
        <v>243</v>
      </c>
      <c r="B23" s="22" t="str">
        <f t="shared" si="0"/>
        <v>14</v>
      </c>
      <c r="C23" s="32">
        <f t="shared" si="1"/>
        <v>21816349</v>
      </c>
      <c r="D23" s="32"/>
      <c r="E23" s="32">
        <v>115475645</v>
      </c>
      <c r="F23" s="32"/>
      <c r="G23" s="32">
        <v>137291994</v>
      </c>
      <c r="H23" s="32"/>
      <c r="I23" s="32">
        <f t="shared" si="2"/>
        <v>3976744</v>
      </c>
      <c r="J23" s="32"/>
      <c r="K23" s="32">
        <v>25016522</v>
      </c>
      <c r="L23" s="32"/>
      <c r="M23" s="32">
        <v>28993266</v>
      </c>
      <c r="N23" s="32"/>
      <c r="O23" s="32">
        <v>84211865</v>
      </c>
      <c r="P23" s="32"/>
      <c r="Q23" s="32">
        <v>3015237</v>
      </c>
      <c r="R23" s="32"/>
      <c r="S23" s="32">
        <v>21071626</v>
      </c>
      <c r="T23" s="32"/>
      <c r="U23" s="32">
        <f t="shared" si="3"/>
        <v>108298728</v>
      </c>
      <c r="V23" s="32">
        <f t="shared" si="4"/>
        <v>0</v>
      </c>
      <c r="W23" s="32"/>
      <c r="X23" s="22" t="s">
        <v>170</v>
      </c>
      <c r="Y23" s="32"/>
      <c r="Z23" s="32">
        <v>13483732</v>
      </c>
      <c r="AA23" s="32"/>
      <c r="AB23" s="32">
        <f>12471015-3986092</f>
        <v>8484923</v>
      </c>
      <c r="AC23" s="32"/>
      <c r="AD23" s="32">
        <v>3986092</v>
      </c>
      <c r="AE23" s="32"/>
      <c r="AF23" s="32">
        <f t="shared" si="5"/>
        <v>1012717</v>
      </c>
      <c r="AG23" s="32"/>
      <c r="AH23" s="32">
        <v>-810362</v>
      </c>
      <c r="AI23" s="32"/>
      <c r="AJ23" s="32">
        <v>0</v>
      </c>
      <c r="AK23" s="32"/>
      <c r="AL23" s="32">
        <v>0</v>
      </c>
      <c r="AM23" s="32"/>
      <c r="AN23" s="32">
        <v>1149232</v>
      </c>
      <c r="AO23" s="32"/>
      <c r="AP23" s="32">
        <f t="shared" si="6"/>
        <v>1351587</v>
      </c>
      <c r="AQ23" s="32"/>
      <c r="AR23" s="32">
        <v>0</v>
      </c>
      <c r="AS23" s="32"/>
      <c r="AT23" s="32">
        <v>0</v>
      </c>
      <c r="AU23" s="32"/>
      <c r="AV23" s="32">
        <f t="shared" si="7"/>
        <v>17839605</v>
      </c>
      <c r="AW23" s="32"/>
      <c r="AX23" s="22" t="s">
        <v>170</v>
      </c>
      <c r="AY23" s="32"/>
      <c r="AZ23" s="32">
        <v>0</v>
      </c>
      <c r="BA23" s="32"/>
      <c r="BB23" s="32">
        <v>26815000</v>
      </c>
      <c r="BC23" s="32"/>
      <c r="BD23" s="32">
        <v>422957</v>
      </c>
      <c r="BE23" s="32"/>
      <c r="BF23" s="32">
        <v>0</v>
      </c>
      <c r="BG23" s="32"/>
      <c r="BH23" s="32"/>
      <c r="BI23" s="32"/>
      <c r="BJ23" s="16">
        <f t="shared" si="8"/>
        <v>27237957</v>
      </c>
    </row>
    <row r="24" spans="1:62" s="33" customFormat="1" ht="12">
      <c r="A24" s="107" t="s">
        <v>249</v>
      </c>
      <c r="B24" s="22" t="str">
        <f t="shared" si="0"/>
        <v>15</v>
      </c>
      <c r="C24" s="122">
        <f t="shared" si="1"/>
        <v>3973035</v>
      </c>
      <c r="D24" s="122"/>
      <c r="E24" s="122">
        <v>107632030</v>
      </c>
      <c r="F24" s="122"/>
      <c r="G24" s="122">
        <v>111605065</v>
      </c>
      <c r="H24" s="122"/>
      <c r="I24" s="122">
        <f t="shared" si="2"/>
        <v>3912414</v>
      </c>
      <c r="J24" s="122"/>
      <c r="K24" s="122">
        <v>48704973</v>
      </c>
      <c r="L24" s="122"/>
      <c r="M24" s="122">
        <v>52617387</v>
      </c>
      <c r="N24" s="122"/>
      <c r="O24" s="122">
        <v>56622250</v>
      </c>
      <c r="P24" s="122"/>
      <c r="Q24" s="122">
        <v>0</v>
      </c>
      <c r="R24" s="122"/>
      <c r="S24" s="122">
        <v>2365428</v>
      </c>
      <c r="T24" s="122"/>
      <c r="U24" s="122">
        <f t="shared" si="3"/>
        <v>58987678</v>
      </c>
      <c r="V24" s="122">
        <f t="shared" si="4"/>
        <v>0</v>
      </c>
      <c r="W24" s="122"/>
      <c r="X24" s="107" t="s">
        <v>52</v>
      </c>
      <c r="Y24" s="122"/>
      <c r="Z24" s="122">
        <v>6843261</v>
      </c>
      <c r="AA24" s="122"/>
      <c r="AB24" s="122">
        <f>6239256-2530776</f>
        <v>3708480</v>
      </c>
      <c r="AC24" s="122"/>
      <c r="AD24" s="122">
        <v>2530776</v>
      </c>
      <c r="AE24" s="122"/>
      <c r="AF24" s="122">
        <f t="shared" si="5"/>
        <v>604005</v>
      </c>
      <c r="AG24" s="122"/>
      <c r="AH24" s="122">
        <v>-2128341</v>
      </c>
      <c r="AI24" s="122"/>
      <c r="AJ24" s="122">
        <v>0</v>
      </c>
      <c r="AK24" s="122"/>
      <c r="AL24" s="122">
        <v>0</v>
      </c>
      <c r="AM24" s="122"/>
      <c r="AN24" s="122">
        <v>2371022</v>
      </c>
      <c r="AO24" s="122"/>
      <c r="AP24" s="122">
        <f t="shared" si="6"/>
        <v>846686</v>
      </c>
      <c r="AQ24" s="122"/>
      <c r="AR24" s="122">
        <v>0</v>
      </c>
      <c r="AS24" s="122"/>
      <c r="AT24" s="122">
        <v>0</v>
      </c>
      <c r="AU24" s="122"/>
      <c r="AV24" s="122">
        <f t="shared" si="7"/>
        <v>60621</v>
      </c>
      <c r="AW24" s="122"/>
      <c r="AX24" s="107" t="s">
        <v>52</v>
      </c>
      <c r="AY24" s="122"/>
      <c r="AZ24" s="122">
        <v>179629</v>
      </c>
      <c r="BA24" s="122"/>
      <c r="BB24" s="122">
        <v>0</v>
      </c>
      <c r="BC24" s="122"/>
      <c r="BD24" s="122">
        <f>48208747+193135</f>
        <v>48401882</v>
      </c>
      <c r="BE24" s="122"/>
      <c r="BF24" s="122">
        <v>123462</v>
      </c>
      <c r="BG24" s="122"/>
      <c r="BH24" s="122"/>
      <c r="BI24" s="122"/>
      <c r="BJ24" s="123">
        <f t="shared" si="8"/>
        <v>48704973</v>
      </c>
    </row>
    <row r="25" spans="1:62" s="33" customFormat="1" ht="12">
      <c r="A25" s="107" t="s">
        <v>244</v>
      </c>
      <c r="B25" s="22" t="str">
        <f t="shared" si="0"/>
        <v>16</v>
      </c>
      <c r="C25" s="32">
        <f t="shared" si="1"/>
        <v>0</v>
      </c>
      <c r="D25" s="32"/>
      <c r="E25" s="32">
        <v>0</v>
      </c>
      <c r="F25" s="32"/>
      <c r="G25" s="32">
        <v>0</v>
      </c>
      <c r="H25" s="32"/>
      <c r="I25" s="32">
        <f t="shared" si="2"/>
        <v>0</v>
      </c>
      <c r="J25" s="32"/>
      <c r="K25" s="32">
        <f>SUM(BJ25)</f>
        <v>0</v>
      </c>
      <c r="L25" s="32"/>
      <c r="M25" s="32">
        <v>0</v>
      </c>
      <c r="N25" s="32"/>
      <c r="O25" s="32">
        <v>0</v>
      </c>
      <c r="P25" s="32"/>
      <c r="Q25" s="32">
        <v>0</v>
      </c>
      <c r="R25" s="32"/>
      <c r="S25" s="32">
        <v>0</v>
      </c>
      <c r="T25" s="32"/>
      <c r="U25" s="32">
        <f t="shared" si="3"/>
        <v>0</v>
      </c>
      <c r="V25" s="32">
        <f t="shared" si="4"/>
        <v>0</v>
      </c>
      <c r="W25" s="32"/>
      <c r="X25" s="22" t="s">
        <v>28</v>
      </c>
      <c r="Y25" s="32"/>
      <c r="Z25" s="32">
        <v>0</v>
      </c>
      <c r="AA25" s="32"/>
      <c r="AB25" s="32">
        <v>0</v>
      </c>
      <c r="AC25" s="32"/>
      <c r="AD25" s="32">
        <v>0</v>
      </c>
      <c r="AE25" s="32"/>
      <c r="AF25" s="32">
        <f t="shared" si="5"/>
        <v>0</v>
      </c>
      <c r="AG25" s="32"/>
      <c r="AH25" s="32">
        <v>0</v>
      </c>
      <c r="AI25" s="32"/>
      <c r="AJ25" s="32">
        <v>0</v>
      </c>
      <c r="AK25" s="32"/>
      <c r="AL25" s="32">
        <v>0</v>
      </c>
      <c r="AM25" s="32"/>
      <c r="AN25" s="32">
        <v>0</v>
      </c>
      <c r="AO25" s="32"/>
      <c r="AP25" s="32">
        <f t="shared" si="6"/>
        <v>0</v>
      </c>
      <c r="AQ25" s="32"/>
      <c r="AR25" s="32">
        <v>0</v>
      </c>
      <c r="AS25" s="32"/>
      <c r="AT25" s="32">
        <v>0</v>
      </c>
      <c r="AU25" s="32"/>
      <c r="AV25" s="32">
        <f t="shared" si="7"/>
        <v>0</v>
      </c>
      <c r="AW25" s="32"/>
      <c r="AX25" s="22" t="s">
        <v>28</v>
      </c>
      <c r="AY25" s="32"/>
      <c r="AZ25" s="32">
        <v>0</v>
      </c>
      <c r="BA25" s="32"/>
      <c r="BB25" s="32">
        <v>0</v>
      </c>
      <c r="BC25" s="32"/>
      <c r="BD25" s="32">
        <v>0</v>
      </c>
      <c r="BE25" s="32"/>
      <c r="BF25" s="32">
        <v>0</v>
      </c>
      <c r="BG25" s="32"/>
      <c r="BH25" s="32"/>
      <c r="BI25" s="32"/>
      <c r="BJ25" s="16">
        <f t="shared" si="8"/>
        <v>0</v>
      </c>
    </row>
    <row r="26" spans="1:62" s="33" customFormat="1" ht="12">
      <c r="A26" s="107" t="s">
        <v>245</v>
      </c>
      <c r="B26" s="22" t="str">
        <f t="shared" si="0"/>
        <v>17</v>
      </c>
      <c r="C26" s="122">
        <f t="shared" si="1"/>
        <v>489264</v>
      </c>
      <c r="D26" s="122"/>
      <c r="E26" s="122">
        <v>751984</v>
      </c>
      <c r="F26" s="122"/>
      <c r="G26" s="122">
        <v>1241248</v>
      </c>
      <c r="H26" s="122"/>
      <c r="I26" s="122">
        <f t="shared" si="2"/>
        <v>92361</v>
      </c>
      <c r="J26" s="122"/>
      <c r="K26" s="122">
        <v>230000</v>
      </c>
      <c r="L26" s="122"/>
      <c r="M26" s="122">
        <v>322361</v>
      </c>
      <c r="N26" s="122"/>
      <c r="O26" s="122">
        <v>471984</v>
      </c>
      <c r="P26" s="122"/>
      <c r="Q26" s="122">
        <v>0</v>
      </c>
      <c r="R26" s="122"/>
      <c r="S26" s="122">
        <v>446903</v>
      </c>
      <c r="T26" s="122"/>
      <c r="U26" s="122">
        <f t="shared" si="3"/>
        <v>918887</v>
      </c>
      <c r="V26" s="122">
        <f t="shared" si="4"/>
        <v>0</v>
      </c>
      <c r="W26" s="122"/>
      <c r="X26" s="107" t="s">
        <v>46</v>
      </c>
      <c r="Y26" s="122"/>
      <c r="Z26" s="122">
        <v>281738</v>
      </c>
      <c r="AA26" s="122"/>
      <c r="AB26" s="122">
        <f>269083-39835</f>
        <v>229248</v>
      </c>
      <c r="AC26" s="122"/>
      <c r="AD26" s="122">
        <v>39835</v>
      </c>
      <c r="AE26" s="122"/>
      <c r="AF26" s="122">
        <f t="shared" si="5"/>
        <v>12655</v>
      </c>
      <c r="AG26" s="122"/>
      <c r="AH26" s="122">
        <v>-104042</v>
      </c>
      <c r="AI26" s="122"/>
      <c r="AJ26" s="122">
        <v>0</v>
      </c>
      <c r="AK26" s="122"/>
      <c r="AL26" s="122">
        <v>4614</v>
      </c>
      <c r="AM26" s="122"/>
      <c r="AN26" s="122">
        <v>0</v>
      </c>
      <c r="AO26" s="122"/>
      <c r="AP26" s="122">
        <f t="shared" si="6"/>
        <v>-96001</v>
      </c>
      <c r="AQ26" s="122"/>
      <c r="AR26" s="122">
        <v>0</v>
      </c>
      <c r="AS26" s="122"/>
      <c r="AT26" s="122">
        <v>0</v>
      </c>
      <c r="AU26" s="122"/>
      <c r="AV26" s="122">
        <f t="shared" si="7"/>
        <v>396903</v>
      </c>
      <c r="AW26" s="122"/>
      <c r="AX26" s="107" t="s">
        <v>46</v>
      </c>
      <c r="AY26" s="122"/>
      <c r="AZ26" s="122">
        <v>230000</v>
      </c>
      <c r="BA26" s="122"/>
      <c r="BB26" s="122">
        <v>0</v>
      </c>
      <c r="BC26" s="122"/>
      <c r="BD26" s="122">
        <v>0</v>
      </c>
      <c r="BE26" s="122"/>
      <c r="BF26" s="122">
        <v>0</v>
      </c>
      <c r="BG26" s="122"/>
      <c r="BH26" s="122"/>
      <c r="BI26" s="122"/>
      <c r="BJ26" s="123">
        <f t="shared" si="8"/>
        <v>230000</v>
      </c>
    </row>
    <row r="27" spans="1:62" s="33" customFormat="1" ht="12">
      <c r="A27" s="107" t="s">
        <v>246</v>
      </c>
      <c r="B27" s="22" t="str">
        <f t="shared" si="0"/>
        <v>18</v>
      </c>
      <c r="C27" s="32">
        <f t="shared" si="1"/>
        <v>7558676</v>
      </c>
      <c r="D27" s="32"/>
      <c r="E27" s="32">
        <v>16778541</v>
      </c>
      <c r="F27" s="32"/>
      <c r="G27" s="32">
        <v>24337217</v>
      </c>
      <c r="H27" s="32"/>
      <c r="I27" s="32">
        <f t="shared" si="2"/>
        <v>2625569</v>
      </c>
      <c r="J27" s="32"/>
      <c r="K27" s="32">
        <f>SUM(BJ27)</f>
        <v>5705933</v>
      </c>
      <c r="L27" s="32"/>
      <c r="M27" s="32">
        <v>8331502</v>
      </c>
      <c r="N27" s="32"/>
      <c r="O27" s="32">
        <v>9506871</v>
      </c>
      <c r="P27" s="32"/>
      <c r="Q27" s="32">
        <v>0</v>
      </c>
      <c r="R27" s="32"/>
      <c r="S27" s="32">
        <v>6498844</v>
      </c>
      <c r="T27" s="32"/>
      <c r="U27" s="32">
        <f t="shared" si="3"/>
        <v>16005715</v>
      </c>
      <c r="V27" s="32">
        <f t="shared" si="4"/>
        <v>0</v>
      </c>
      <c r="W27" s="32"/>
      <c r="X27" s="22" t="s">
        <v>64</v>
      </c>
      <c r="Y27" s="32"/>
      <c r="Z27" s="32">
        <v>418191</v>
      </c>
      <c r="AA27" s="32"/>
      <c r="AB27" s="32">
        <f>3736932-467101</f>
        <v>3269831</v>
      </c>
      <c r="AC27" s="32"/>
      <c r="AD27" s="32">
        <v>467101</v>
      </c>
      <c r="AE27" s="32"/>
      <c r="AF27" s="32">
        <f t="shared" si="5"/>
        <v>-3318741</v>
      </c>
      <c r="AG27" s="32"/>
      <c r="AH27" s="32">
        <v>-239638</v>
      </c>
      <c r="AI27" s="32"/>
      <c r="AJ27" s="32">
        <v>0</v>
      </c>
      <c r="AK27" s="32"/>
      <c r="AL27" s="32">
        <v>0</v>
      </c>
      <c r="AM27" s="32"/>
      <c r="AN27" s="32">
        <v>0</v>
      </c>
      <c r="AO27" s="32"/>
      <c r="AP27" s="32">
        <f t="shared" si="6"/>
        <v>-3558379</v>
      </c>
      <c r="AQ27" s="32"/>
      <c r="AR27" s="32">
        <v>0</v>
      </c>
      <c r="AS27" s="32"/>
      <c r="AT27" s="32">
        <v>0</v>
      </c>
      <c r="AU27" s="32"/>
      <c r="AV27" s="32">
        <f t="shared" si="7"/>
        <v>4933107</v>
      </c>
      <c r="AW27" s="32"/>
      <c r="AX27" s="22" t="s">
        <v>64</v>
      </c>
      <c r="AY27" s="32"/>
      <c r="AZ27" s="32">
        <v>0</v>
      </c>
      <c r="BA27" s="32"/>
      <c r="BB27" s="32">
        <v>5666729</v>
      </c>
      <c r="BC27" s="32"/>
      <c r="BD27" s="32">
        <v>39204</v>
      </c>
      <c r="BE27" s="32"/>
      <c r="BF27" s="32">
        <v>0</v>
      </c>
      <c r="BG27" s="32"/>
      <c r="BH27" s="32"/>
      <c r="BI27" s="32"/>
      <c r="BJ27" s="16">
        <f t="shared" si="8"/>
        <v>5705933</v>
      </c>
    </row>
    <row r="28" spans="1:62" s="33" customFormat="1" ht="12">
      <c r="A28" s="107" t="s">
        <v>247</v>
      </c>
      <c r="B28" s="22" t="str">
        <f t="shared" si="0"/>
        <v>19</v>
      </c>
      <c r="C28" s="32">
        <f t="shared" si="1"/>
        <v>15971233</v>
      </c>
      <c r="D28" s="32"/>
      <c r="E28" s="32">
        <v>76770079</v>
      </c>
      <c r="F28" s="32"/>
      <c r="G28" s="32">
        <v>92741312</v>
      </c>
      <c r="H28" s="32"/>
      <c r="I28" s="32">
        <f t="shared" si="2"/>
        <v>6174587</v>
      </c>
      <c r="J28" s="32"/>
      <c r="K28" s="32">
        <v>42370148</v>
      </c>
      <c r="L28" s="32"/>
      <c r="M28" s="32">
        <v>48544735</v>
      </c>
      <c r="N28" s="32"/>
      <c r="O28" s="32">
        <v>31023396</v>
      </c>
      <c r="P28" s="32"/>
      <c r="Q28" s="32">
        <v>2210970</v>
      </c>
      <c r="R28" s="32"/>
      <c r="S28" s="32">
        <v>10962211</v>
      </c>
      <c r="T28" s="32"/>
      <c r="U28" s="32">
        <f t="shared" si="3"/>
        <v>44196577</v>
      </c>
      <c r="V28" s="32">
        <f t="shared" si="4"/>
        <v>0</v>
      </c>
      <c r="W28" s="32"/>
      <c r="X28" s="22" t="s">
        <v>171</v>
      </c>
      <c r="Y28" s="32"/>
      <c r="Z28" s="32">
        <v>10193324</v>
      </c>
      <c r="AA28" s="32"/>
      <c r="AB28" s="32">
        <f>6682978-1890695</f>
        <v>4792283</v>
      </c>
      <c r="AC28" s="32"/>
      <c r="AD28" s="32">
        <v>1890695</v>
      </c>
      <c r="AE28" s="32"/>
      <c r="AF28" s="32">
        <f t="shared" si="5"/>
        <v>3510346</v>
      </c>
      <c r="AG28" s="32"/>
      <c r="AH28" s="32">
        <v>-1634952</v>
      </c>
      <c r="AI28" s="32"/>
      <c r="AJ28" s="32">
        <v>169474</v>
      </c>
      <c r="AK28" s="32"/>
      <c r="AL28" s="32">
        <v>5588</v>
      </c>
      <c r="AM28" s="32"/>
      <c r="AN28" s="32">
        <v>1148219</v>
      </c>
      <c r="AO28" s="32"/>
      <c r="AP28" s="32">
        <f t="shared" si="6"/>
        <v>3187499</v>
      </c>
      <c r="AQ28" s="32"/>
      <c r="AR28" s="32">
        <v>0</v>
      </c>
      <c r="AS28" s="32"/>
      <c r="AT28" s="32">
        <v>0</v>
      </c>
      <c r="AU28" s="32"/>
      <c r="AV28" s="32">
        <f t="shared" si="7"/>
        <v>9796646</v>
      </c>
      <c r="AW28" s="32"/>
      <c r="AX28" s="22" t="s">
        <v>171</v>
      </c>
      <c r="AY28" s="32"/>
      <c r="AZ28" s="32">
        <f>280000+8900000+1187656+22252551</f>
        <v>32620207</v>
      </c>
      <c r="BA28" s="32"/>
      <c r="BB28" s="32">
        <f>505000+1075000</f>
        <v>1580000</v>
      </c>
      <c r="BC28" s="32"/>
      <c r="BD28" s="32">
        <f>426674+458673</f>
        <v>885347</v>
      </c>
      <c r="BE28" s="32"/>
      <c r="BF28" s="32">
        <f>185877+967472+1536452+7180000</f>
        <v>9869801</v>
      </c>
      <c r="BG28" s="32"/>
      <c r="BH28" s="32"/>
      <c r="BI28" s="32"/>
      <c r="BJ28" s="16">
        <f t="shared" si="8"/>
        <v>44955355</v>
      </c>
    </row>
    <row r="29" spans="1:62" s="33" customFormat="1" ht="12">
      <c r="A29" s="107" t="s">
        <v>248</v>
      </c>
      <c r="B29" s="22" t="str">
        <f t="shared" si="0"/>
        <v>20</v>
      </c>
      <c r="C29" s="32">
        <f t="shared" si="1"/>
        <v>1189552</v>
      </c>
      <c r="D29" s="32"/>
      <c r="E29" s="32">
        <v>5768061</v>
      </c>
      <c r="F29" s="32"/>
      <c r="G29" s="32">
        <v>6957613</v>
      </c>
      <c r="H29" s="32"/>
      <c r="I29" s="32">
        <f t="shared" si="2"/>
        <v>1641380</v>
      </c>
      <c r="J29" s="32"/>
      <c r="K29" s="32">
        <v>909323</v>
      </c>
      <c r="L29" s="32"/>
      <c r="M29" s="32">
        <v>2550703</v>
      </c>
      <c r="N29" s="32"/>
      <c r="O29" s="32">
        <v>3449452</v>
      </c>
      <c r="P29" s="32"/>
      <c r="Q29" s="32">
        <v>0</v>
      </c>
      <c r="R29" s="32"/>
      <c r="S29" s="32">
        <v>957458</v>
      </c>
      <c r="T29" s="32"/>
      <c r="U29" s="32">
        <f t="shared" si="3"/>
        <v>4406910</v>
      </c>
      <c r="V29" s="32">
        <f t="shared" si="4"/>
        <v>0</v>
      </c>
      <c r="W29" s="32"/>
      <c r="X29" s="22" t="s">
        <v>21</v>
      </c>
      <c r="Y29" s="32"/>
      <c r="Z29" s="32">
        <v>1876526</v>
      </c>
      <c r="AA29" s="32"/>
      <c r="AB29" s="32">
        <f>1907050-164808</f>
        <v>1742242</v>
      </c>
      <c r="AC29" s="32"/>
      <c r="AD29" s="32">
        <v>164808</v>
      </c>
      <c r="AE29" s="32"/>
      <c r="AF29" s="32">
        <f t="shared" si="5"/>
        <v>-30524</v>
      </c>
      <c r="AG29" s="32"/>
      <c r="AH29" s="32">
        <v>-67944</v>
      </c>
      <c r="AI29" s="32"/>
      <c r="AJ29" s="32">
        <v>0</v>
      </c>
      <c r="AK29" s="32"/>
      <c r="AL29" s="32">
        <v>0</v>
      </c>
      <c r="AM29" s="32"/>
      <c r="AN29" s="32">
        <v>0</v>
      </c>
      <c r="AO29" s="32"/>
      <c r="AP29" s="32">
        <f t="shared" si="6"/>
        <v>-98468</v>
      </c>
      <c r="AQ29" s="32"/>
      <c r="AR29" s="32">
        <v>0</v>
      </c>
      <c r="AS29" s="32"/>
      <c r="AT29" s="32">
        <v>0</v>
      </c>
      <c r="AU29" s="32"/>
      <c r="AV29" s="32">
        <f t="shared" si="7"/>
        <v>-451828</v>
      </c>
      <c r="AW29" s="32"/>
      <c r="AX29" s="22" t="s">
        <v>21</v>
      </c>
      <c r="AY29" s="32"/>
      <c r="AZ29" s="32">
        <f>480000+4376</f>
        <v>484376</v>
      </c>
      <c r="BA29" s="32"/>
      <c r="BB29" s="32">
        <v>0</v>
      </c>
      <c r="BC29" s="32"/>
      <c r="BD29" s="32">
        <v>362600</v>
      </c>
      <c r="BE29" s="32"/>
      <c r="BF29" s="32">
        <f>1470000+62347</f>
        <v>1532347</v>
      </c>
      <c r="BG29" s="32"/>
      <c r="BH29" s="32"/>
      <c r="BI29" s="32"/>
      <c r="BJ29" s="16">
        <f t="shared" si="8"/>
        <v>2379323</v>
      </c>
    </row>
    <row r="30" spans="1:62" s="33" customFormat="1" ht="12">
      <c r="A30" s="107"/>
      <c r="B30" s="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07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07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3"/>
    </row>
    <row r="31" spans="1:62" s="33" customFormat="1" ht="12">
      <c r="A31" s="107"/>
      <c r="B31" s="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07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07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3"/>
    </row>
    <row r="32" spans="1:62" s="33" customFormat="1" ht="12">
      <c r="A32" s="107"/>
      <c r="B32" s="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07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07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3"/>
    </row>
    <row r="33" spans="3:31" ht="12.75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70"/>
      <c r="AC33" s="70"/>
      <c r="AD33" s="70"/>
      <c r="AE33" s="70"/>
    </row>
    <row r="34" spans="3:31" ht="12.7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70"/>
      <c r="AC34" s="70"/>
      <c r="AD34" s="70"/>
      <c r="AE34" s="70"/>
    </row>
    <row r="35" spans="3:31" ht="12.7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70"/>
      <c r="AC35" s="70"/>
      <c r="AD35" s="70"/>
      <c r="AE35" s="70"/>
    </row>
    <row r="36" spans="3:31" ht="12.7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70"/>
      <c r="AC36" s="70"/>
      <c r="AD36" s="70"/>
      <c r="AE36" s="70"/>
    </row>
  </sheetData>
  <sheetProtection/>
  <printOptions/>
  <pageMargins left="1" right="1" top="0.5" bottom="0.5" header="0" footer="0.25"/>
  <pageSetup firstPageNumber="40" useFirstPageNumber="1" horizontalDpi="600" verticalDpi="600" orientation="portrait" r:id="rId1"/>
  <headerFooter alignWithMargins="0">
    <oddFooter>&amp;C&amp;"Times New Roman,Regular"&amp;11&amp;P</oddFooter>
  </headerFooter>
  <colBreaks count="2" manualBreakCount="2">
    <brk id="21" max="97" man="1"/>
    <brk id="49" max="9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U42"/>
  <sheetViews>
    <sheetView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7" sqref="A17:IV17"/>
    </sheetView>
  </sheetViews>
  <sheetFormatPr defaultColWidth="8.421875" defaultRowHeight="12.75"/>
  <cols>
    <col min="1" max="1" width="17.8515625" style="95" customWidth="1"/>
    <col min="2" max="2" width="1.7109375" style="95" customWidth="1"/>
    <col min="3" max="3" width="12.7109375" style="95" customWidth="1"/>
    <col min="4" max="4" width="1.7109375" style="95" customWidth="1"/>
    <col min="5" max="5" width="12.7109375" style="95" customWidth="1"/>
    <col min="6" max="6" width="1.7109375" style="95" customWidth="1"/>
    <col min="7" max="7" width="12.7109375" style="95" customWidth="1"/>
    <col min="8" max="8" width="1.7109375" style="95" customWidth="1"/>
    <col min="9" max="9" width="12.7109375" style="95" customWidth="1"/>
    <col min="10" max="10" width="1.7109375" style="95" customWidth="1"/>
    <col min="11" max="11" width="12.7109375" style="95" customWidth="1"/>
    <col min="12" max="12" width="1.7109375" style="95" customWidth="1"/>
    <col min="13" max="13" width="11.7109375" style="95" customWidth="1"/>
    <col min="14" max="14" width="1.7109375" style="95" customWidth="1"/>
    <col min="15" max="15" width="11.7109375" style="95" customWidth="1"/>
    <col min="16" max="16" width="1.7109375" style="95" customWidth="1"/>
    <col min="17" max="17" width="11.7109375" style="95" customWidth="1"/>
    <col min="18" max="18" width="1.7109375" style="95" customWidth="1"/>
    <col min="19" max="19" width="11.7109375" style="95" customWidth="1"/>
    <col min="20" max="20" width="1.7109375" style="95" customWidth="1"/>
    <col min="21" max="21" width="11.7109375" style="95" customWidth="1"/>
    <col min="22" max="22" width="1.7109375" style="95" customWidth="1"/>
    <col min="23" max="23" width="11.7109375" style="95" hidden="1" customWidth="1"/>
    <col min="24" max="24" width="1.7109375" style="95" hidden="1" customWidth="1"/>
    <col min="25" max="25" width="17.8515625" style="95" customWidth="1"/>
    <col min="26" max="26" width="1.7109375" style="95" customWidth="1"/>
    <col min="27" max="27" width="12.8515625" style="95" customWidth="1"/>
    <col min="28" max="28" width="1.7109375" style="95" customWidth="1"/>
    <col min="29" max="29" width="12.57421875" style="95" customWidth="1"/>
    <col min="30" max="30" width="1.7109375" style="95" customWidth="1"/>
    <col min="31" max="31" width="12.8515625" style="95" customWidth="1"/>
    <col min="32" max="32" width="1.7109375" style="95" customWidth="1"/>
    <col min="33" max="33" width="12.7109375" style="95" customWidth="1"/>
    <col min="34" max="34" width="1.7109375" style="98" customWidth="1"/>
    <col min="35" max="35" width="12.8515625" style="98" customWidth="1"/>
    <col min="36" max="36" width="1.7109375" style="98" customWidth="1"/>
    <col min="37" max="37" width="10.7109375" style="98" customWidth="1"/>
    <col min="38" max="38" width="1.7109375" style="98" customWidth="1"/>
    <col min="39" max="39" width="10.7109375" style="98" customWidth="1"/>
    <col min="40" max="40" width="1.7109375" style="98" customWidth="1"/>
    <col min="41" max="41" width="10.7109375" style="69" customWidth="1"/>
    <col min="42" max="42" width="1.7109375" style="69" customWidth="1"/>
    <col min="43" max="43" width="11.7109375" style="95" customWidth="1"/>
    <col min="44" max="44" width="1.7109375" style="69" hidden="1" customWidth="1"/>
    <col min="45" max="45" width="10.7109375" style="69" hidden="1" customWidth="1"/>
    <col min="46" max="46" width="1.7109375" style="69" hidden="1" customWidth="1"/>
    <col min="47" max="47" width="10.7109375" style="69" hidden="1" customWidth="1"/>
    <col min="48" max="48" width="1.7109375" style="69" customWidth="1"/>
    <col min="49" max="49" width="11.7109375" style="95" customWidth="1"/>
    <col min="50" max="50" width="1.7109375" style="69" customWidth="1"/>
    <col min="51" max="51" width="18.00390625" style="95" customWidth="1"/>
    <col min="52" max="52" width="1.7109375" style="69" customWidth="1"/>
    <col min="53" max="53" width="12.8515625" style="69" customWidth="1"/>
    <col min="54" max="54" width="1.7109375" style="69" customWidth="1"/>
    <col min="55" max="55" width="12.8515625" style="69" customWidth="1"/>
    <col min="56" max="56" width="1.7109375" style="69" customWidth="1"/>
    <col min="57" max="57" width="12.8515625" style="69" customWidth="1"/>
    <col min="58" max="58" width="1.7109375" style="69" customWidth="1"/>
    <col min="59" max="59" width="12.8515625" style="69" customWidth="1"/>
    <col min="60" max="60" width="1.7109375" style="69" customWidth="1"/>
    <col min="61" max="61" width="10.7109375" style="69" hidden="1" customWidth="1"/>
    <col min="62" max="62" width="1.7109375" style="69" hidden="1" customWidth="1"/>
    <col min="63" max="63" width="12.7109375" style="95" customWidth="1"/>
    <col min="64" max="64" width="9.28125" style="69" bestFit="1" customWidth="1"/>
    <col min="65" max="16384" width="8.421875" style="69" customWidth="1"/>
  </cols>
  <sheetData>
    <row r="1" spans="1:65" s="91" customFormat="1" ht="12.75">
      <c r="A1" s="88" t="s">
        <v>183</v>
      </c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6" t="s">
        <v>183</v>
      </c>
      <c r="Z1" s="87"/>
      <c r="AA1" s="87"/>
      <c r="AB1" s="87"/>
      <c r="AC1" s="71"/>
      <c r="AD1" s="71"/>
      <c r="AE1" s="71"/>
      <c r="AF1" s="71"/>
      <c r="AG1" s="87"/>
      <c r="AH1" s="71"/>
      <c r="AI1" s="71"/>
      <c r="AJ1" s="71"/>
      <c r="AK1" s="71"/>
      <c r="AL1" s="71"/>
      <c r="AM1" s="71"/>
      <c r="AN1" s="71"/>
      <c r="AO1" s="90"/>
      <c r="AP1" s="90"/>
      <c r="AQ1" s="87"/>
      <c r="AR1" s="90"/>
      <c r="AS1" s="90"/>
      <c r="AT1" s="90"/>
      <c r="AU1" s="90"/>
      <c r="AV1" s="90"/>
      <c r="AW1" s="87"/>
      <c r="AX1" s="90"/>
      <c r="AY1" s="88" t="s">
        <v>183</v>
      </c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87"/>
      <c r="BL1" s="90"/>
      <c r="BM1" s="90"/>
    </row>
    <row r="2" spans="1:65" s="91" customFormat="1" ht="12.75">
      <c r="A2" s="55" t="s">
        <v>130</v>
      </c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55" t="s">
        <v>225</v>
      </c>
      <c r="Z2" s="87"/>
      <c r="AA2" s="87"/>
      <c r="AB2" s="87"/>
      <c r="AC2" s="71"/>
      <c r="AD2" s="71"/>
      <c r="AE2" s="71"/>
      <c r="AF2" s="71"/>
      <c r="AG2" s="87"/>
      <c r="AH2" s="71"/>
      <c r="AI2" s="71"/>
      <c r="AJ2" s="71"/>
      <c r="AK2" s="71"/>
      <c r="AL2" s="71"/>
      <c r="AM2" s="71"/>
      <c r="AN2" s="71"/>
      <c r="AO2" s="90"/>
      <c r="AP2" s="90"/>
      <c r="AQ2" s="87"/>
      <c r="AR2" s="90"/>
      <c r="AS2" s="90"/>
      <c r="AT2" s="90"/>
      <c r="AU2" s="90"/>
      <c r="AV2" s="90"/>
      <c r="AW2" s="87"/>
      <c r="AX2" s="90"/>
      <c r="AY2" s="88" t="s">
        <v>98</v>
      </c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87"/>
      <c r="BL2" s="90"/>
      <c r="BM2" s="90"/>
    </row>
    <row r="3" spans="1:64" s="91" customFormat="1" ht="12.75">
      <c r="A3" s="55" t="s">
        <v>230</v>
      </c>
      <c r="B3" s="88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51" t="s">
        <v>229</v>
      </c>
      <c r="Z3" s="87"/>
      <c r="AA3" s="87"/>
      <c r="AB3" s="87"/>
      <c r="AC3" s="71"/>
      <c r="AD3" s="71"/>
      <c r="AE3" s="71"/>
      <c r="AF3" s="71"/>
      <c r="AG3" s="87"/>
      <c r="AH3" s="71"/>
      <c r="AI3" s="71"/>
      <c r="AJ3" s="71"/>
      <c r="AK3" s="71"/>
      <c r="AL3" s="71"/>
      <c r="AM3" s="71"/>
      <c r="AN3" s="71"/>
      <c r="AO3" s="90"/>
      <c r="AP3" s="90"/>
      <c r="AQ3" s="87"/>
      <c r="AR3" s="90"/>
      <c r="AS3" s="90"/>
      <c r="AT3" s="90"/>
      <c r="AU3" s="90"/>
      <c r="AV3" s="90"/>
      <c r="AW3" s="87"/>
      <c r="AX3" s="90"/>
      <c r="AY3" s="55" t="s">
        <v>227</v>
      </c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87"/>
      <c r="BL3" s="90"/>
    </row>
    <row r="4" spans="1:64" ht="12.75">
      <c r="A4" s="73"/>
      <c r="B4" s="73"/>
      <c r="C4" s="92"/>
      <c r="D4" s="92"/>
      <c r="E4" s="92"/>
      <c r="F4" s="92"/>
      <c r="G4" s="92"/>
      <c r="H4" s="92"/>
      <c r="I4" s="92"/>
      <c r="J4" s="81"/>
      <c r="K4" s="92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93"/>
      <c r="Z4" s="81"/>
      <c r="AA4" s="81"/>
      <c r="AB4" s="81"/>
      <c r="AC4" s="71"/>
      <c r="AD4" s="71"/>
      <c r="AE4" s="71"/>
      <c r="AF4" s="71"/>
      <c r="AG4" s="92"/>
      <c r="AH4" s="71"/>
      <c r="AI4" s="71"/>
      <c r="AJ4" s="71"/>
      <c r="AK4" s="71"/>
      <c r="AL4" s="71"/>
      <c r="AM4" s="71"/>
      <c r="AN4" s="71"/>
      <c r="AO4" s="67"/>
      <c r="AP4" s="67"/>
      <c r="AQ4" s="92"/>
      <c r="AR4" s="67"/>
      <c r="AS4" s="67"/>
      <c r="AT4" s="67"/>
      <c r="AU4" s="67"/>
      <c r="AV4" s="67"/>
      <c r="AW4" s="92"/>
      <c r="AX4" s="67"/>
      <c r="AY4" s="73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92"/>
      <c r="BL4" s="67"/>
    </row>
    <row r="5" spans="1:64" ht="12.75">
      <c r="A5" s="51" t="s">
        <v>173</v>
      </c>
      <c r="B5" s="9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51" t="s">
        <v>173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51" t="s">
        <v>173</v>
      </c>
      <c r="AZ5" s="20"/>
      <c r="BJ5" s="45"/>
      <c r="BK5" s="20"/>
      <c r="BL5" s="67"/>
    </row>
    <row r="6" spans="1:64" ht="12.75">
      <c r="A6" s="51"/>
      <c r="B6" s="94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44" t="s">
        <v>131</v>
      </c>
      <c r="P6" s="44"/>
      <c r="Q6" s="44"/>
      <c r="R6" s="44"/>
      <c r="S6" s="44"/>
      <c r="T6" s="44"/>
      <c r="U6" s="44"/>
      <c r="V6" s="20"/>
      <c r="W6" s="20"/>
      <c r="X6" s="20"/>
      <c r="Y6" s="51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51"/>
      <c r="AZ6" s="20"/>
      <c r="BA6" s="44" t="s">
        <v>98</v>
      </c>
      <c r="BB6" s="44"/>
      <c r="BC6" s="44"/>
      <c r="BD6" s="44"/>
      <c r="BE6" s="44"/>
      <c r="BF6" s="44"/>
      <c r="BG6" s="44"/>
      <c r="BH6" s="45"/>
      <c r="BI6" s="45"/>
      <c r="BJ6" s="45"/>
      <c r="BK6" s="20"/>
      <c r="BL6" s="67"/>
    </row>
    <row r="7" spans="1:64" ht="12.75">
      <c r="A7" s="94"/>
      <c r="B7" s="9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U7" s="20" t="s">
        <v>4</v>
      </c>
      <c r="V7" s="89" t="s">
        <v>181</v>
      </c>
      <c r="W7" s="45"/>
      <c r="X7" s="45"/>
      <c r="Y7" s="94"/>
      <c r="Z7" s="45"/>
      <c r="AA7" s="20"/>
      <c r="AB7" s="20"/>
      <c r="AC7" s="20"/>
      <c r="AD7" s="20"/>
      <c r="AE7" s="20"/>
      <c r="AF7" s="20"/>
      <c r="AG7" s="20"/>
      <c r="AH7" s="20"/>
      <c r="AI7" s="20" t="s">
        <v>151</v>
      </c>
      <c r="AJ7" s="20"/>
      <c r="AK7" s="20"/>
      <c r="AL7" s="20"/>
      <c r="AM7" s="20"/>
      <c r="AN7" s="20"/>
      <c r="AO7" s="20"/>
      <c r="AP7" s="20"/>
      <c r="AQ7" s="20"/>
      <c r="AR7" s="20"/>
      <c r="AS7" s="20" t="s">
        <v>148</v>
      </c>
      <c r="AT7" s="20"/>
      <c r="AU7" s="20" t="s">
        <v>148</v>
      </c>
      <c r="AV7" s="20"/>
      <c r="AW7" s="20"/>
      <c r="AX7" s="20"/>
      <c r="AY7" s="94"/>
      <c r="AZ7" s="20"/>
      <c r="BA7" s="20" t="s">
        <v>99</v>
      </c>
      <c r="BB7" s="20"/>
      <c r="BC7" s="20" t="s">
        <v>100</v>
      </c>
      <c r="BD7" s="20"/>
      <c r="BE7" s="20"/>
      <c r="BF7" s="20"/>
      <c r="BG7" s="20" t="s">
        <v>101</v>
      </c>
      <c r="BH7" s="20"/>
      <c r="BI7" s="20" t="s">
        <v>178</v>
      </c>
      <c r="BJ7" s="20"/>
      <c r="BK7" s="20" t="s">
        <v>4</v>
      </c>
      <c r="BL7" s="67"/>
    </row>
    <row r="8" spans="1:64" ht="12.75">
      <c r="A8" s="94"/>
      <c r="B8" s="94"/>
      <c r="C8" s="20" t="s">
        <v>129</v>
      </c>
      <c r="D8" s="20"/>
      <c r="E8" s="20" t="s">
        <v>149</v>
      </c>
      <c r="F8" s="20"/>
      <c r="G8" s="20" t="s">
        <v>4</v>
      </c>
      <c r="H8" s="20"/>
      <c r="I8" s="20" t="s">
        <v>129</v>
      </c>
      <c r="J8" s="20"/>
      <c r="K8" s="20" t="s">
        <v>149</v>
      </c>
      <c r="L8" s="20"/>
      <c r="M8" s="20" t="s">
        <v>4</v>
      </c>
      <c r="N8" s="20"/>
      <c r="O8" s="20" t="s">
        <v>132</v>
      </c>
      <c r="P8" s="20"/>
      <c r="Q8" s="20"/>
      <c r="R8" s="20"/>
      <c r="S8" s="20"/>
      <c r="T8" s="20"/>
      <c r="U8" s="20" t="s">
        <v>212</v>
      </c>
      <c r="V8" s="20"/>
      <c r="W8" s="20"/>
      <c r="X8" s="20"/>
      <c r="Y8" s="94"/>
      <c r="Z8" s="20"/>
      <c r="AA8" s="20" t="s">
        <v>97</v>
      </c>
      <c r="AB8" s="20"/>
      <c r="AC8" s="20" t="s">
        <v>150</v>
      </c>
      <c r="AD8" s="20"/>
      <c r="AE8" s="20"/>
      <c r="AF8" s="20"/>
      <c r="AG8" s="20" t="s">
        <v>97</v>
      </c>
      <c r="AH8" s="20"/>
      <c r="AI8" s="20" t="s">
        <v>12</v>
      </c>
      <c r="AJ8" s="20"/>
      <c r="AK8" s="20"/>
      <c r="AL8" s="20"/>
      <c r="AM8" s="20"/>
      <c r="AN8" s="20"/>
      <c r="AO8" s="20" t="s">
        <v>84</v>
      </c>
      <c r="AP8" s="20"/>
      <c r="AQ8" s="20" t="s">
        <v>211</v>
      </c>
      <c r="AR8" s="20"/>
      <c r="AS8" s="20" t="s">
        <v>152</v>
      </c>
      <c r="AT8" s="20"/>
      <c r="AU8" s="20" t="s">
        <v>152</v>
      </c>
      <c r="AV8" s="20"/>
      <c r="AW8" s="20" t="s">
        <v>102</v>
      </c>
      <c r="AX8" s="20"/>
      <c r="AY8" s="94"/>
      <c r="AZ8" s="20"/>
      <c r="BA8" s="20" t="s">
        <v>103</v>
      </c>
      <c r="BB8" s="20"/>
      <c r="BC8" s="20" t="s">
        <v>12</v>
      </c>
      <c r="BD8" s="20"/>
      <c r="BE8" s="20"/>
      <c r="BF8" s="20"/>
      <c r="BG8" s="20" t="s">
        <v>104</v>
      </c>
      <c r="BH8" s="20"/>
      <c r="BI8" s="20" t="s">
        <v>179</v>
      </c>
      <c r="BJ8" s="20"/>
      <c r="BK8" s="20" t="s">
        <v>104</v>
      </c>
      <c r="BL8" s="67"/>
    </row>
    <row r="9" spans="1:64" ht="12.75">
      <c r="A9" s="96" t="s">
        <v>5</v>
      </c>
      <c r="B9" s="67"/>
      <c r="C9" s="19" t="s">
        <v>112</v>
      </c>
      <c r="D9" s="67"/>
      <c r="E9" s="19" t="s">
        <v>112</v>
      </c>
      <c r="F9" s="67"/>
      <c r="G9" s="19" t="s">
        <v>112</v>
      </c>
      <c r="H9" s="67"/>
      <c r="I9" s="19" t="s">
        <v>118</v>
      </c>
      <c r="J9" s="67"/>
      <c r="K9" s="19" t="s">
        <v>118</v>
      </c>
      <c r="L9" s="67"/>
      <c r="M9" s="19" t="s">
        <v>118</v>
      </c>
      <c r="N9" s="67"/>
      <c r="O9" s="19" t="s">
        <v>134</v>
      </c>
      <c r="P9" s="67"/>
      <c r="Q9" s="19" t="s">
        <v>135</v>
      </c>
      <c r="R9" s="67"/>
      <c r="S9" s="19" t="s">
        <v>136</v>
      </c>
      <c r="T9" s="67"/>
      <c r="U9" s="19" t="s">
        <v>112</v>
      </c>
      <c r="V9" s="67"/>
      <c r="W9" s="19"/>
      <c r="X9" s="19"/>
      <c r="Y9" s="96" t="s">
        <v>5</v>
      </c>
      <c r="Z9" s="67"/>
      <c r="AA9" s="19" t="s">
        <v>12</v>
      </c>
      <c r="AB9" s="67"/>
      <c r="AC9" s="19" t="s">
        <v>105</v>
      </c>
      <c r="AD9" s="67"/>
      <c r="AE9" s="19" t="s">
        <v>105</v>
      </c>
      <c r="AF9" s="67"/>
      <c r="AG9" s="19" t="s">
        <v>106</v>
      </c>
      <c r="AH9" s="67"/>
      <c r="AI9" s="19" t="s">
        <v>210</v>
      </c>
      <c r="AJ9" s="67"/>
      <c r="AK9" s="19" t="s">
        <v>107</v>
      </c>
      <c r="AL9" s="67"/>
      <c r="AM9" s="19" t="s">
        <v>108</v>
      </c>
      <c r="AN9" s="67"/>
      <c r="AO9" s="19" t="s">
        <v>154</v>
      </c>
      <c r="AP9" s="67"/>
      <c r="AQ9" s="19" t="s">
        <v>131</v>
      </c>
      <c r="AR9" s="67"/>
      <c r="AS9" s="19" t="s">
        <v>155</v>
      </c>
      <c r="AT9" s="67"/>
      <c r="AU9" s="19" t="s">
        <v>156</v>
      </c>
      <c r="AV9" s="67"/>
      <c r="AW9" s="19" t="s">
        <v>84</v>
      </c>
      <c r="AX9" s="67"/>
      <c r="AY9" s="96" t="s">
        <v>5</v>
      </c>
      <c r="AZ9" s="67"/>
      <c r="BA9" s="19" t="s">
        <v>109</v>
      </c>
      <c r="BB9" s="67"/>
      <c r="BC9" s="19" t="s">
        <v>109</v>
      </c>
      <c r="BD9" s="67"/>
      <c r="BE9" s="19" t="s">
        <v>110</v>
      </c>
      <c r="BF9" s="67"/>
      <c r="BG9" s="19" t="s">
        <v>111</v>
      </c>
      <c r="BH9" s="67"/>
      <c r="BI9" s="19" t="s">
        <v>180</v>
      </c>
      <c r="BJ9" s="19"/>
      <c r="BK9" s="19" t="s">
        <v>118</v>
      </c>
      <c r="BL9" s="67"/>
    </row>
    <row r="10" spans="1:73" ht="12.75">
      <c r="A10" s="107" t="s">
        <v>231</v>
      </c>
      <c r="B10" s="22" t="str">
        <f aca="true" t="shared" si="0" ref="B10:B29">LEFT(A10,2)</f>
        <v>1 </v>
      </c>
      <c r="C10" s="32">
        <f aca="true" t="shared" si="1" ref="C10:C29">+G10-E10</f>
        <v>13134000</v>
      </c>
      <c r="D10" s="32"/>
      <c r="E10" s="32">
        <v>37571000</v>
      </c>
      <c r="F10" s="32"/>
      <c r="G10" s="32">
        <v>50705000</v>
      </c>
      <c r="H10" s="32"/>
      <c r="I10" s="32">
        <f aca="true" t="shared" si="2" ref="I10:I29">M10-K10</f>
        <v>2660000</v>
      </c>
      <c r="J10" s="32"/>
      <c r="K10" s="32">
        <v>12979000</v>
      </c>
      <c r="L10" s="32"/>
      <c r="M10" s="32">
        <v>15639000</v>
      </c>
      <c r="N10" s="32"/>
      <c r="O10" s="32">
        <v>22358000</v>
      </c>
      <c r="P10" s="32"/>
      <c r="Q10" s="32">
        <v>0</v>
      </c>
      <c r="R10" s="32"/>
      <c r="S10" s="32">
        <v>12708000</v>
      </c>
      <c r="T10" s="32"/>
      <c r="U10" s="32">
        <f aca="true" t="shared" si="3" ref="U10:U29">SUM(O10:S10)</f>
        <v>35066000</v>
      </c>
      <c r="V10" s="32"/>
      <c r="W10" s="32">
        <f aca="true" t="shared" si="4" ref="W10:W29">+G10-M10-U10</f>
        <v>0</v>
      </c>
      <c r="X10" s="32"/>
      <c r="Y10" s="68" t="s">
        <v>25</v>
      </c>
      <c r="Z10" s="32"/>
      <c r="AA10" s="32">
        <v>16074</v>
      </c>
      <c r="AB10" s="16"/>
      <c r="AC10" s="32">
        <f>12516-1753</f>
        <v>10763</v>
      </c>
      <c r="AD10" s="16"/>
      <c r="AE10" s="32">
        <v>1753</v>
      </c>
      <c r="AF10" s="16"/>
      <c r="AG10" s="32">
        <f aca="true" t="shared" si="5" ref="AG10:AG29">+AA10-AC10-AE10</f>
        <v>3558</v>
      </c>
      <c r="AH10" s="37"/>
      <c r="AI10" s="32">
        <v>-367</v>
      </c>
      <c r="AJ10" s="37"/>
      <c r="AK10" s="32">
        <v>0</v>
      </c>
      <c r="AL10" s="16"/>
      <c r="AM10" s="32">
        <v>56</v>
      </c>
      <c r="AN10" s="22"/>
      <c r="AO10" s="32">
        <v>0</v>
      </c>
      <c r="AP10" s="16"/>
      <c r="AQ10" s="32">
        <f aca="true" t="shared" si="6" ref="AQ10:AQ29">+AO10+AK10-AM10+AI10+AG10</f>
        <v>3135</v>
      </c>
      <c r="AR10" s="37"/>
      <c r="AS10" s="16">
        <v>0</v>
      </c>
      <c r="AT10" s="16"/>
      <c r="AU10" s="16">
        <v>0</v>
      </c>
      <c r="AV10" s="16"/>
      <c r="AW10" s="32">
        <f aca="true" t="shared" si="7" ref="AW10:AW29">+C10-I10</f>
        <v>10474000</v>
      </c>
      <c r="AX10" s="16"/>
      <c r="AY10" s="68" t="s">
        <v>25</v>
      </c>
      <c r="AZ10" s="16"/>
      <c r="BA10" s="32">
        <f>385000+5015000</f>
        <v>5400000</v>
      </c>
      <c r="BB10" s="16"/>
      <c r="BC10" s="32">
        <v>0</v>
      </c>
      <c r="BD10" s="16"/>
      <c r="BE10" s="32">
        <f>581000+7964000</f>
        <v>8545000</v>
      </c>
      <c r="BF10" s="16"/>
      <c r="BG10" s="32">
        <v>0</v>
      </c>
      <c r="BH10" s="16"/>
      <c r="BI10" s="16"/>
      <c r="BJ10" s="16"/>
      <c r="BK10" s="32">
        <f aca="true" t="shared" si="8" ref="BK10:BK29">SUM(BA10:BI10)</f>
        <v>13945000</v>
      </c>
      <c r="BL10" s="67"/>
      <c r="BM10" s="64"/>
      <c r="BN10" s="64"/>
      <c r="BO10" s="64"/>
      <c r="BP10" s="64"/>
      <c r="BQ10" s="64"/>
      <c r="BR10" s="64"/>
      <c r="BS10" s="64"/>
      <c r="BT10" s="64"/>
      <c r="BU10" s="64"/>
    </row>
    <row r="11" spans="1:64" ht="12.75">
      <c r="A11" s="107" t="s">
        <v>232</v>
      </c>
      <c r="B11" s="22" t="str">
        <f t="shared" si="0"/>
        <v>2 </v>
      </c>
      <c r="C11" s="32">
        <f t="shared" si="1"/>
        <v>3951000</v>
      </c>
      <c r="D11" s="32"/>
      <c r="E11" s="32">
        <v>20750000</v>
      </c>
      <c r="F11" s="32"/>
      <c r="G11" s="32">
        <v>24701000</v>
      </c>
      <c r="H11" s="32"/>
      <c r="I11" s="32">
        <f t="shared" si="2"/>
        <v>1610000</v>
      </c>
      <c r="J11" s="32"/>
      <c r="K11" s="32">
        <v>6057000</v>
      </c>
      <c r="L11" s="32"/>
      <c r="M11" s="32">
        <v>7667000</v>
      </c>
      <c r="N11" s="32"/>
      <c r="O11" s="32">
        <v>14324000</v>
      </c>
      <c r="P11" s="32"/>
      <c r="Q11" s="32">
        <v>0</v>
      </c>
      <c r="R11" s="32"/>
      <c r="S11" s="32">
        <v>2710000</v>
      </c>
      <c r="T11" s="32"/>
      <c r="U11" s="32">
        <f t="shared" si="3"/>
        <v>17034000</v>
      </c>
      <c r="V11" s="32"/>
      <c r="W11" s="32">
        <f t="shared" si="4"/>
        <v>0</v>
      </c>
      <c r="X11" s="32"/>
      <c r="Y11" s="68" t="s">
        <v>31</v>
      </c>
      <c r="Z11" s="32"/>
      <c r="AA11" s="32">
        <v>5312000</v>
      </c>
      <c r="AB11" s="16"/>
      <c r="AC11" s="32">
        <f>5076000-474000</f>
        <v>4602000</v>
      </c>
      <c r="AD11" s="16"/>
      <c r="AE11" s="32">
        <v>474000</v>
      </c>
      <c r="AF11" s="16"/>
      <c r="AG11" s="32">
        <f t="shared" si="5"/>
        <v>236000</v>
      </c>
      <c r="AH11" s="37"/>
      <c r="AI11" s="32">
        <v>-153000</v>
      </c>
      <c r="AJ11" s="37"/>
      <c r="AK11" s="32">
        <v>0</v>
      </c>
      <c r="AL11" s="16"/>
      <c r="AM11" s="32">
        <v>0</v>
      </c>
      <c r="AN11" s="22"/>
      <c r="AO11" s="32">
        <v>524000</v>
      </c>
      <c r="AP11" s="16"/>
      <c r="AQ11" s="32">
        <f t="shared" si="6"/>
        <v>607000</v>
      </c>
      <c r="AR11" s="37"/>
      <c r="AS11" s="16">
        <v>0</v>
      </c>
      <c r="AT11" s="16"/>
      <c r="AU11" s="16">
        <v>0</v>
      </c>
      <c r="AV11" s="16"/>
      <c r="AW11" s="32">
        <f t="shared" si="7"/>
        <v>2341000</v>
      </c>
      <c r="AX11" s="32"/>
      <c r="AY11" s="68" t="s">
        <v>31</v>
      </c>
      <c r="AZ11" s="32"/>
      <c r="BA11" s="32">
        <v>0</v>
      </c>
      <c r="BB11" s="16"/>
      <c r="BC11" s="32">
        <v>0</v>
      </c>
      <c r="BD11" s="16"/>
      <c r="BE11" s="32">
        <f>448000+5978000</f>
        <v>6426000</v>
      </c>
      <c r="BF11" s="16"/>
      <c r="BG11" s="32">
        <f>75000+79000</f>
        <v>154000</v>
      </c>
      <c r="BH11" s="16"/>
      <c r="BI11" s="16"/>
      <c r="BJ11" s="16"/>
      <c r="BK11" s="32">
        <f t="shared" si="8"/>
        <v>6580000</v>
      </c>
      <c r="BL11" s="67"/>
    </row>
    <row r="12" spans="1:64" ht="12.75">
      <c r="A12" s="107" t="s">
        <v>233</v>
      </c>
      <c r="B12" s="22" t="str">
        <f t="shared" si="0"/>
        <v>3 </v>
      </c>
      <c r="C12" s="32">
        <f t="shared" si="1"/>
        <v>63299000</v>
      </c>
      <c r="D12" s="32"/>
      <c r="E12" s="32">
        <v>1214786000</v>
      </c>
      <c r="F12" s="32"/>
      <c r="G12" s="32">
        <v>1278085000</v>
      </c>
      <c r="H12" s="32"/>
      <c r="I12" s="32">
        <f t="shared" si="2"/>
        <v>53365000</v>
      </c>
      <c r="J12" s="32"/>
      <c r="K12" s="32">
        <v>667667000</v>
      </c>
      <c r="L12" s="32"/>
      <c r="M12" s="32">
        <v>721032000</v>
      </c>
      <c r="N12" s="32"/>
      <c r="O12" s="32">
        <v>271762000</v>
      </c>
      <c r="P12" s="32"/>
      <c r="Q12" s="32">
        <v>5810000</v>
      </c>
      <c r="R12" s="32"/>
      <c r="S12" s="32">
        <v>279481000</v>
      </c>
      <c r="T12" s="32"/>
      <c r="U12" s="32">
        <f t="shared" si="3"/>
        <v>557053000</v>
      </c>
      <c r="V12" s="32"/>
      <c r="W12" s="32">
        <f t="shared" si="4"/>
        <v>0</v>
      </c>
      <c r="X12" s="32"/>
      <c r="Y12" s="68" t="s">
        <v>35</v>
      </c>
      <c r="Z12" s="32"/>
      <c r="AA12" s="32">
        <v>176933000</v>
      </c>
      <c r="AB12" s="16"/>
      <c r="AC12" s="32">
        <f>129763000-31507000</f>
        <v>98256000</v>
      </c>
      <c r="AD12" s="16"/>
      <c r="AE12" s="32">
        <v>31507000</v>
      </c>
      <c r="AF12" s="16"/>
      <c r="AG12" s="32">
        <f t="shared" si="5"/>
        <v>47170000</v>
      </c>
      <c r="AH12" s="37"/>
      <c r="AI12" s="32">
        <v>-10388000</v>
      </c>
      <c r="AJ12" s="37"/>
      <c r="AK12" s="32">
        <v>0</v>
      </c>
      <c r="AL12" s="16"/>
      <c r="AM12" s="32">
        <v>0</v>
      </c>
      <c r="AN12" s="22"/>
      <c r="AO12" s="32">
        <v>7081000</v>
      </c>
      <c r="AP12" s="16"/>
      <c r="AQ12" s="32">
        <f t="shared" si="6"/>
        <v>43863000</v>
      </c>
      <c r="AR12" s="37"/>
      <c r="AS12" s="16">
        <v>0</v>
      </c>
      <c r="AT12" s="16"/>
      <c r="AU12" s="16">
        <v>0</v>
      </c>
      <c r="AV12" s="16"/>
      <c r="AW12" s="32">
        <f t="shared" si="7"/>
        <v>9934000</v>
      </c>
      <c r="AX12" s="32"/>
      <c r="AY12" s="68" t="s">
        <v>35</v>
      </c>
      <c r="AZ12" s="32"/>
      <c r="BA12" s="32">
        <f>695707000-27717000</f>
        <v>667990000</v>
      </c>
      <c r="BB12" s="16"/>
      <c r="BC12" s="32">
        <v>0</v>
      </c>
      <c r="BD12" s="16"/>
      <c r="BE12" s="32">
        <f>747000+50000+3491000+23429000</f>
        <v>27717000</v>
      </c>
      <c r="BF12" s="16"/>
      <c r="BG12" s="32">
        <f>3206000+3615000</f>
        <v>6821000</v>
      </c>
      <c r="BH12" s="16"/>
      <c r="BI12" s="16"/>
      <c r="BJ12" s="16"/>
      <c r="BK12" s="32">
        <f t="shared" si="8"/>
        <v>702528000</v>
      </c>
      <c r="BL12" s="67"/>
    </row>
    <row r="13" spans="1:64" ht="12.75">
      <c r="A13" s="107" t="s">
        <v>234</v>
      </c>
      <c r="B13" s="22" t="str">
        <f t="shared" si="0"/>
        <v>4 </v>
      </c>
      <c r="C13" s="32">
        <f t="shared" si="1"/>
        <v>20189559</v>
      </c>
      <c r="D13" s="32"/>
      <c r="E13" s="32">
        <v>218159521</v>
      </c>
      <c r="F13" s="32"/>
      <c r="G13" s="32">
        <v>238349080</v>
      </c>
      <c r="H13" s="32"/>
      <c r="I13" s="32">
        <f t="shared" si="2"/>
        <v>7701745</v>
      </c>
      <c r="J13" s="32"/>
      <c r="K13" s="32">
        <f>SUM(BK13)</f>
        <v>67060886</v>
      </c>
      <c r="L13" s="32"/>
      <c r="M13" s="32">
        <v>74762631</v>
      </c>
      <c r="N13" s="32"/>
      <c r="O13" s="32">
        <v>149245482</v>
      </c>
      <c r="P13" s="32"/>
      <c r="Q13" s="32">
        <v>0</v>
      </c>
      <c r="R13" s="32"/>
      <c r="S13" s="32">
        <v>14340967</v>
      </c>
      <c r="T13" s="32"/>
      <c r="U13" s="32">
        <f t="shared" si="3"/>
        <v>163586449</v>
      </c>
      <c r="V13" s="32"/>
      <c r="W13" s="32">
        <f t="shared" si="4"/>
        <v>0</v>
      </c>
      <c r="X13" s="32"/>
      <c r="Y13" s="68" t="s">
        <v>71</v>
      </c>
      <c r="Z13" s="32"/>
      <c r="AA13" s="32">
        <v>32894300</v>
      </c>
      <c r="AB13" s="16"/>
      <c r="AC13" s="32">
        <f>34033807-6432457</f>
        <v>27601350</v>
      </c>
      <c r="AD13" s="16"/>
      <c r="AE13" s="32">
        <v>6432457</v>
      </c>
      <c r="AF13" s="16"/>
      <c r="AG13" s="32">
        <f t="shared" si="5"/>
        <v>-1139507</v>
      </c>
      <c r="AH13" s="37"/>
      <c r="AI13" s="32">
        <v>-839923</v>
      </c>
      <c r="AJ13" s="37"/>
      <c r="AK13" s="32">
        <v>0</v>
      </c>
      <c r="AL13" s="16"/>
      <c r="AM13" s="32">
        <v>0</v>
      </c>
      <c r="AN13" s="22"/>
      <c r="AO13" s="32">
        <v>2462220</v>
      </c>
      <c r="AP13" s="16"/>
      <c r="AQ13" s="32">
        <f t="shared" si="6"/>
        <v>482790</v>
      </c>
      <c r="AR13" s="37"/>
      <c r="AS13" s="16">
        <v>0</v>
      </c>
      <c r="AT13" s="16"/>
      <c r="AU13" s="16">
        <v>0</v>
      </c>
      <c r="AV13" s="16"/>
      <c r="AW13" s="32">
        <f t="shared" si="7"/>
        <v>12487814</v>
      </c>
      <c r="AX13" s="16"/>
      <c r="AY13" s="68" t="s">
        <v>71</v>
      </c>
      <c r="AZ13" s="16"/>
      <c r="BA13" s="32">
        <v>48881031</v>
      </c>
      <c r="BB13" s="16"/>
      <c r="BC13" s="32">
        <v>0</v>
      </c>
      <c r="BD13" s="16"/>
      <c r="BE13" s="32">
        <f>1871557+1250973+15057325</f>
        <v>18179855</v>
      </c>
      <c r="BF13" s="16"/>
      <c r="BG13" s="32">
        <v>0</v>
      </c>
      <c r="BH13" s="16"/>
      <c r="BI13" s="16"/>
      <c r="BJ13" s="16"/>
      <c r="BK13" s="32">
        <f t="shared" si="8"/>
        <v>67060886</v>
      </c>
      <c r="BL13" s="67"/>
    </row>
    <row r="14" spans="1:64" ht="12.75">
      <c r="A14" s="107" t="s">
        <v>236</v>
      </c>
      <c r="B14" s="22" t="str">
        <f t="shared" si="0"/>
        <v>5 </v>
      </c>
      <c r="C14" s="32">
        <f t="shared" si="1"/>
        <v>0</v>
      </c>
      <c r="D14" s="32"/>
      <c r="E14" s="32">
        <v>0</v>
      </c>
      <c r="F14" s="32"/>
      <c r="G14" s="32">
        <v>0</v>
      </c>
      <c r="H14" s="32"/>
      <c r="I14" s="32">
        <f t="shared" si="2"/>
        <v>0</v>
      </c>
      <c r="J14" s="32"/>
      <c r="K14" s="32">
        <f>SUM(BK14)</f>
        <v>0</v>
      </c>
      <c r="L14" s="32"/>
      <c r="M14" s="32">
        <v>0</v>
      </c>
      <c r="N14" s="32"/>
      <c r="O14" s="32">
        <v>0</v>
      </c>
      <c r="P14" s="32"/>
      <c r="Q14" s="32">
        <v>0</v>
      </c>
      <c r="R14" s="32"/>
      <c r="S14" s="32">
        <v>0</v>
      </c>
      <c r="T14" s="32"/>
      <c r="U14" s="32">
        <f t="shared" si="3"/>
        <v>0</v>
      </c>
      <c r="V14" s="32"/>
      <c r="W14" s="32">
        <f t="shared" si="4"/>
        <v>0</v>
      </c>
      <c r="X14" s="32"/>
      <c r="Y14" s="68" t="s">
        <v>55</v>
      </c>
      <c r="Z14" s="32"/>
      <c r="AA14" s="32">
        <v>0</v>
      </c>
      <c r="AB14" s="16"/>
      <c r="AC14" s="32">
        <v>0</v>
      </c>
      <c r="AD14" s="16"/>
      <c r="AE14" s="32">
        <v>0</v>
      </c>
      <c r="AF14" s="16"/>
      <c r="AG14" s="32">
        <f t="shared" si="5"/>
        <v>0</v>
      </c>
      <c r="AH14" s="37"/>
      <c r="AI14" s="32">
        <v>0</v>
      </c>
      <c r="AJ14" s="37"/>
      <c r="AK14" s="32">
        <v>0</v>
      </c>
      <c r="AL14" s="16"/>
      <c r="AM14" s="32">
        <v>0</v>
      </c>
      <c r="AN14" s="22"/>
      <c r="AO14" s="32">
        <v>0</v>
      </c>
      <c r="AP14" s="16"/>
      <c r="AQ14" s="32">
        <f t="shared" si="6"/>
        <v>0</v>
      </c>
      <c r="AR14" s="37"/>
      <c r="AS14" s="16">
        <v>0</v>
      </c>
      <c r="AT14" s="16"/>
      <c r="AU14" s="16">
        <v>0</v>
      </c>
      <c r="AV14" s="16"/>
      <c r="AW14" s="32">
        <f t="shared" si="7"/>
        <v>0</v>
      </c>
      <c r="AX14" s="16"/>
      <c r="AY14" s="68" t="s">
        <v>55</v>
      </c>
      <c r="AZ14" s="16"/>
      <c r="BA14" s="32">
        <v>0</v>
      </c>
      <c r="BB14" s="16"/>
      <c r="BC14" s="32">
        <v>0</v>
      </c>
      <c r="BD14" s="16"/>
      <c r="BE14" s="32">
        <v>0</v>
      </c>
      <c r="BF14" s="16"/>
      <c r="BG14" s="32">
        <v>0</v>
      </c>
      <c r="BH14" s="16"/>
      <c r="BI14" s="16"/>
      <c r="BJ14" s="16"/>
      <c r="BK14" s="32">
        <f t="shared" si="8"/>
        <v>0</v>
      </c>
      <c r="BL14" s="67"/>
    </row>
    <row r="15" spans="1:64" ht="12.75">
      <c r="A15" s="107" t="s">
        <v>237</v>
      </c>
      <c r="B15" s="22" t="str">
        <f t="shared" si="0"/>
        <v>6 </v>
      </c>
      <c r="C15" s="122">
        <f t="shared" si="1"/>
        <v>1260141</v>
      </c>
      <c r="D15" s="122"/>
      <c r="E15" s="122">
        <v>14261557</v>
      </c>
      <c r="F15" s="122"/>
      <c r="G15" s="122">
        <v>15521698</v>
      </c>
      <c r="H15" s="122"/>
      <c r="I15" s="122">
        <f t="shared" si="2"/>
        <v>6309555</v>
      </c>
      <c r="J15" s="122"/>
      <c r="K15" s="122">
        <v>898961</v>
      </c>
      <c r="L15" s="122"/>
      <c r="M15" s="122">
        <v>7208516</v>
      </c>
      <c r="N15" s="122"/>
      <c r="O15" s="122">
        <v>7927692</v>
      </c>
      <c r="P15" s="122"/>
      <c r="Q15" s="122">
        <v>0</v>
      </c>
      <c r="R15" s="122"/>
      <c r="S15" s="122">
        <v>385490</v>
      </c>
      <c r="T15" s="122"/>
      <c r="U15" s="122">
        <f t="shared" si="3"/>
        <v>8313182</v>
      </c>
      <c r="V15" s="122"/>
      <c r="W15" s="122">
        <f t="shared" si="4"/>
        <v>0</v>
      </c>
      <c r="X15" s="122"/>
      <c r="Y15" s="124" t="s">
        <v>48</v>
      </c>
      <c r="Z15" s="122"/>
      <c r="AA15" s="122">
        <v>1245593</v>
      </c>
      <c r="AB15" s="123"/>
      <c r="AC15" s="122">
        <f>1516949-375631</f>
        <v>1141318</v>
      </c>
      <c r="AD15" s="123"/>
      <c r="AE15" s="122">
        <v>375631</v>
      </c>
      <c r="AF15" s="123"/>
      <c r="AG15" s="122">
        <f t="shared" si="5"/>
        <v>-271356</v>
      </c>
      <c r="AH15" s="114"/>
      <c r="AI15" s="122">
        <v>-74703</v>
      </c>
      <c r="AJ15" s="114"/>
      <c r="AK15" s="122">
        <v>0</v>
      </c>
      <c r="AL15" s="123"/>
      <c r="AM15" s="122">
        <v>0</v>
      </c>
      <c r="AN15" s="22"/>
      <c r="AO15" s="122">
        <v>316337</v>
      </c>
      <c r="AP15" s="123"/>
      <c r="AQ15" s="122">
        <f t="shared" si="6"/>
        <v>-29722</v>
      </c>
      <c r="AR15" s="114"/>
      <c r="AS15" s="123">
        <v>0</v>
      </c>
      <c r="AT15" s="123"/>
      <c r="AU15" s="123">
        <v>0</v>
      </c>
      <c r="AV15" s="123"/>
      <c r="AW15" s="122">
        <f t="shared" si="7"/>
        <v>-5049414</v>
      </c>
      <c r="AX15" s="123"/>
      <c r="AY15" s="124" t="s">
        <v>48</v>
      </c>
      <c r="AZ15" s="123"/>
      <c r="BA15" s="122">
        <v>0</v>
      </c>
      <c r="BB15" s="123"/>
      <c r="BC15" s="122">
        <v>0</v>
      </c>
      <c r="BD15" s="123"/>
      <c r="BE15" s="122">
        <f>678603+148304</f>
        <v>826907</v>
      </c>
      <c r="BF15" s="123"/>
      <c r="BG15" s="122">
        <v>72054</v>
      </c>
      <c r="BH15" s="123"/>
      <c r="BI15" s="123"/>
      <c r="BJ15" s="123"/>
      <c r="BK15" s="122">
        <f t="shared" si="8"/>
        <v>898961</v>
      </c>
      <c r="BL15" s="67"/>
    </row>
    <row r="16" spans="1:64" ht="12.75">
      <c r="A16" s="107" t="s">
        <v>238</v>
      </c>
      <c r="B16" s="22" t="str">
        <f t="shared" si="0"/>
        <v>7 </v>
      </c>
      <c r="C16" s="32">
        <f t="shared" si="1"/>
        <v>19276982</v>
      </c>
      <c r="D16" s="32"/>
      <c r="E16" s="32">
        <v>120144052</v>
      </c>
      <c r="F16" s="32"/>
      <c r="G16" s="32">
        <v>139421034</v>
      </c>
      <c r="H16" s="32"/>
      <c r="I16" s="32">
        <f t="shared" si="2"/>
        <v>8432074</v>
      </c>
      <c r="J16" s="32"/>
      <c r="K16" s="32">
        <f>SUM(BK16)</f>
        <v>25920958</v>
      </c>
      <c r="L16" s="32"/>
      <c r="M16" s="32">
        <v>34353032</v>
      </c>
      <c r="N16" s="32"/>
      <c r="O16" s="32">
        <v>91348329</v>
      </c>
      <c r="P16" s="32"/>
      <c r="Q16" s="32">
        <v>13719673</v>
      </c>
      <c r="R16" s="32"/>
      <c r="S16" s="32">
        <v>105068002</v>
      </c>
      <c r="T16" s="32"/>
      <c r="U16" s="32">
        <f t="shared" si="3"/>
        <v>210136004</v>
      </c>
      <c r="V16" s="32"/>
      <c r="W16" s="32">
        <f t="shared" si="4"/>
        <v>-105068002</v>
      </c>
      <c r="X16" s="32"/>
      <c r="Y16" s="68" t="s">
        <v>70</v>
      </c>
      <c r="Z16" s="32"/>
      <c r="AA16" s="32">
        <v>20989717</v>
      </c>
      <c r="AB16" s="16"/>
      <c r="AC16" s="32">
        <f>18088427-3770038</f>
        <v>14318389</v>
      </c>
      <c r="AD16" s="16"/>
      <c r="AE16" s="32">
        <v>3770038</v>
      </c>
      <c r="AF16" s="16"/>
      <c r="AG16" s="32">
        <f t="shared" si="5"/>
        <v>2901290</v>
      </c>
      <c r="AH16" s="37"/>
      <c r="AI16" s="32">
        <v>-1956477</v>
      </c>
      <c r="AJ16" s="37"/>
      <c r="AK16" s="32">
        <v>0</v>
      </c>
      <c r="AL16" s="16"/>
      <c r="AM16" s="32">
        <v>0</v>
      </c>
      <c r="AN16" s="22"/>
      <c r="AO16" s="32">
        <v>639988</v>
      </c>
      <c r="AP16" s="16"/>
      <c r="AQ16" s="32">
        <f t="shared" si="6"/>
        <v>1584801</v>
      </c>
      <c r="AR16" s="37"/>
      <c r="AS16" s="16">
        <v>0</v>
      </c>
      <c r="AT16" s="16"/>
      <c r="AU16" s="16">
        <v>0</v>
      </c>
      <c r="AV16" s="16"/>
      <c r="AW16" s="32">
        <f t="shared" si="7"/>
        <v>10844908</v>
      </c>
      <c r="AX16" s="16"/>
      <c r="AY16" s="68" t="s">
        <v>70</v>
      </c>
      <c r="AZ16" s="16"/>
      <c r="BA16" s="32">
        <v>13037525</v>
      </c>
      <c r="BB16" s="16"/>
      <c r="BC16" s="32">
        <v>0</v>
      </c>
      <c r="BD16" s="16"/>
      <c r="BE16" s="32">
        <v>12445685</v>
      </c>
      <c r="BF16" s="16"/>
      <c r="BG16" s="32">
        <v>437748</v>
      </c>
      <c r="BH16" s="16"/>
      <c r="BI16" s="16"/>
      <c r="BJ16" s="16"/>
      <c r="BK16" s="32">
        <f t="shared" si="8"/>
        <v>25920958</v>
      </c>
      <c r="BL16" s="67"/>
    </row>
    <row r="17" spans="1:64" ht="12.75">
      <c r="A17" s="136" t="s">
        <v>250</v>
      </c>
      <c r="B17" s="136"/>
      <c r="C17" s="122">
        <f t="shared" si="1"/>
        <v>35610453</v>
      </c>
      <c r="D17" s="122"/>
      <c r="E17" s="122">
        <v>197757274</v>
      </c>
      <c r="F17" s="122"/>
      <c r="G17" s="122">
        <v>233367727</v>
      </c>
      <c r="H17" s="122"/>
      <c r="I17" s="122">
        <f t="shared" si="2"/>
        <v>6131235</v>
      </c>
      <c r="J17" s="122"/>
      <c r="K17" s="122">
        <v>51289090</v>
      </c>
      <c r="L17" s="122"/>
      <c r="M17" s="122">
        <v>57420325</v>
      </c>
      <c r="N17" s="122"/>
      <c r="O17" s="122">
        <v>139892303</v>
      </c>
      <c r="P17" s="122"/>
      <c r="Q17" s="122">
        <f>4217806+4000000</f>
        <v>8217806</v>
      </c>
      <c r="R17" s="122"/>
      <c r="S17" s="122">
        <v>27837293</v>
      </c>
      <c r="T17" s="122"/>
      <c r="U17" s="122">
        <f>SUM(O17:S17)</f>
        <v>175947402</v>
      </c>
      <c r="V17" s="122"/>
      <c r="W17" s="122">
        <f t="shared" si="4"/>
        <v>0</v>
      </c>
      <c r="X17" s="122"/>
      <c r="Y17" s="124" t="s">
        <v>250</v>
      </c>
      <c r="Z17" s="122"/>
      <c r="AA17" s="122">
        <v>21385170</v>
      </c>
      <c r="AB17" s="123"/>
      <c r="AC17" s="122">
        <f>23261151-10494301</f>
        <v>12766850</v>
      </c>
      <c r="AD17" s="123"/>
      <c r="AE17" s="122">
        <v>10494301</v>
      </c>
      <c r="AF17" s="123"/>
      <c r="AG17" s="122">
        <f t="shared" si="5"/>
        <v>-1875981</v>
      </c>
      <c r="AH17" s="114"/>
      <c r="AI17" s="122">
        <v>-3027750</v>
      </c>
      <c r="AJ17" s="114"/>
      <c r="AK17" s="122">
        <v>0</v>
      </c>
      <c r="AL17" s="123"/>
      <c r="AM17" s="122">
        <v>0</v>
      </c>
      <c r="AN17" s="123"/>
      <c r="AO17" s="122">
        <v>4390994</v>
      </c>
      <c r="AP17" s="123"/>
      <c r="AQ17" s="122">
        <f t="shared" si="6"/>
        <v>-512737</v>
      </c>
      <c r="AR17" s="114"/>
      <c r="AS17" s="123">
        <v>0</v>
      </c>
      <c r="AT17" s="123"/>
      <c r="AU17" s="123">
        <v>0</v>
      </c>
      <c r="AV17" s="123"/>
      <c r="AW17" s="122">
        <f t="shared" si="7"/>
        <v>29479218</v>
      </c>
      <c r="AX17" s="122"/>
      <c r="AY17" s="124" t="s">
        <v>250</v>
      </c>
      <c r="AZ17" s="122"/>
      <c r="BA17" s="122">
        <f>138762+4002985</f>
        <v>4141747</v>
      </c>
      <c r="BB17" s="123"/>
      <c r="BC17" s="122">
        <f>4289220+47022445</f>
        <v>51311665</v>
      </c>
      <c r="BD17" s="123"/>
      <c r="BE17" s="122">
        <v>0</v>
      </c>
      <c r="BF17" s="123"/>
      <c r="BG17" s="122">
        <f>147277+263660</f>
        <v>410937</v>
      </c>
      <c r="BH17" s="123"/>
      <c r="BI17" s="123"/>
      <c r="BJ17" s="123"/>
      <c r="BK17" s="122">
        <f t="shared" si="8"/>
        <v>55864349</v>
      </c>
      <c r="BL17" s="67"/>
    </row>
    <row r="18" spans="1:64" ht="12.75">
      <c r="A18" s="107" t="s">
        <v>239</v>
      </c>
      <c r="B18" s="22" t="str">
        <f t="shared" si="0"/>
        <v>9 </v>
      </c>
      <c r="C18" s="122">
        <f t="shared" si="1"/>
        <v>0</v>
      </c>
      <c r="D18" s="122"/>
      <c r="E18" s="122">
        <v>0</v>
      </c>
      <c r="F18" s="122"/>
      <c r="G18" s="122">
        <v>0</v>
      </c>
      <c r="H18" s="122"/>
      <c r="I18" s="122">
        <f t="shared" si="2"/>
        <v>0</v>
      </c>
      <c r="J18" s="122"/>
      <c r="K18" s="122">
        <f>SUM(BK18)</f>
        <v>0</v>
      </c>
      <c r="L18" s="122"/>
      <c r="M18" s="122">
        <v>0</v>
      </c>
      <c r="N18" s="122"/>
      <c r="O18" s="122">
        <v>0</v>
      </c>
      <c r="P18" s="122"/>
      <c r="Q18" s="122">
        <v>0</v>
      </c>
      <c r="R18" s="122"/>
      <c r="S18" s="122">
        <v>0</v>
      </c>
      <c r="T18" s="122"/>
      <c r="U18" s="122">
        <f t="shared" si="3"/>
        <v>0</v>
      </c>
      <c r="V18" s="122"/>
      <c r="W18" s="122">
        <f t="shared" si="4"/>
        <v>0</v>
      </c>
      <c r="X18" s="122"/>
      <c r="Y18" s="124" t="s">
        <v>47</v>
      </c>
      <c r="Z18" s="122"/>
      <c r="AA18" s="122">
        <v>0</v>
      </c>
      <c r="AB18" s="123"/>
      <c r="AC18" s="122">
        <v>0</v>
      </c>
      <c r="AD18" s="123"/>
      <c r="AE18" s="122">
        <v>0</v>
      </c>
      <c r="AF18" s="123"/>
      <c r="AG18" s="122">
        <f t="shared" si="5"/>
        <v>0</v>
      </c>
      <c r="AH18" s="114"/>
      <c r="AI18" s="122">
        <v>0</v>
      </c>
      <c r="AJ18" s="114"/>
      <c r="AK18" s="122">
        <v>0</v>
      </c>
      <c r="AL18" s="123"/>
      <c r="AM18" s="122">
        <v>0</v>
      </c>
      <c r="AN18" s="22"/>
      <c r="AO18" s="122">
        <v>0</v>
      </c>
      <c r="AP18" s="123"/>
      <c r="AQ18" s="122">
        <f t="shared" si="6"/>
        <v>0</v>
      </c>
      <c r="AR18" s="114"/>
      <c r="AS18" s="123">
        <v>0</v>
      </c>
      <c r="AT18" s="123"/>
      <c r="AU18" s="123">
        <v>0</v>
      </c>
      <c r="AV18" s="123"/>
      <c r="AW18" s="122">
        <f t="shared" si="7"/>
        <v>0</v>
      </c>
      <c r="AX18" s="123"/>
      <c r="AY18" s="124" t="s">
        <v>47</v>
      </c>
      <c r="AZ18" s="123"/>
      <c r="BA18" s="122">
        <v>0</v>
      </c>
      <c r="BB18" s="123"/>
      <c r="BC18" s="122">
        <v>0</v>
      </c>
      <c r="BD18" s="123"/>
      <c r="BE18" s="122">
        <v>0</v>
      </c>
      <c r="BF18" s="123"/>
      <c r="BG18" s="122">
        <v>0</v>
      </c>
      <c r="BH18" s="123"/>
      <c r="BI18" s="123"/>
      <c r="BJ18" s="123"/>
      <c r="BK18" s="122">
        <f t="shared" si="8"/>
        <v>0</v>
      </c>
      <c r="BL18" s="67"/>
    </row>
    <row r="19" spans="1:64" ht="12.75">
      <c r="A19" s="107" t="s">
        <v>240</v>
      </c>
      <c r="B19" s="22" t="str">
        <f t="shared" si="0"/>
        <v>10</v>
      </c>
      <c r="C19" s="122">
        <f t="shared" si="1"/>
        <v>0</v>
      </c>
      <c r="D19" s="122"/>
      <c r="E19" s="122">
        <v>0</v>
      </c>
      <c r="F19" s="122"/>
      <c r="G19" s="122">
        <v>0</v>
      </c>
      <c r="H19" s="122"/>
      <c r="I19" s="122">
        <f t="shared" si="2"/>
        <v>0</v>
      </c>
      <c r="J19" s="122"/>
      <c r="K19" s="122">
        <f>SUM(BK19)</f>
        <v>0</v>
      </c>
      <c r="L19" s="122"/>
      <c r="M19" s="122">
        <v>0</v>
      </c>
      <c r="N19" s="122"/>
      <c r="O19" s="122">
        <v>0</v>
      </c>
      <c r="P19" s="122"/>
      <c r="Q19" s="122">
        <v>0</v>
      </c>
      <c r="R19" s="122"/>
      <c r="S19" s="122">
        <v>0</v>
      </c>
      <c r="T19" s="122"/>
      <c r="U19" s="122">
        <f t="shared" si="3"/>
        <v>0</v>
      </c>
      <c r="V19" s="122"/>
      <c r="W19" s="122">
        <f t="shared" si="4"/>
        <v>0</v>
      </c>
      <c r="X19" s="122"/>
      <c r="Y19" s="124" t="s">
        <v>49</v>
      </c>
      <c r="Z19" s="122"/>
      <c r="AA19" s="122">
        <v>0</v>
      </c>
      <c r="AB19" s="123"/>
      <c r="AC19" s="122">
        <v>0</v>
      </c>
      <c r="AD19" s="123"/>
      <c r="AE19" s="122">
        <v>0</v>
      </c>
      <c r="AF19" s="123"/>
      <c r="AG19" s="122">
        <f t="shared" si="5"/>
        <v>0</v>
      </c>
      <c r="AH19" s="114"/>
      <c r="AI19" s="122">
        <v>0</v>
      </c>
      <c r="AJ19" s="114"/>
      <c r="AK19" s="122">
        <v>0</v>
      </c>
      <c r="AL19" s="123"/>
      <c r="AM19" s="122">
        <v>0</v>
      </c>
      <c r="AN19" s="22"/>
      <c r="AO19" s="122">
        <v>0</v>
      </c>
      <c r="AP19" s="123"/>
      <c r="AQ19" s="122">
        <f t="shared" si="6"/>
        <v>0</v>
      </c>
      <c r="AR19" s="114"/>
      <c r="AS19" s="123">
        <v>0</v>
      </c>
      <c r="AT19" s="123"/>
      <c r="AU19" s="123">
        <v>0</v>
      </c>
      <c r="AV19" s="123"/>
      <c r="AW19" s="122">
        <f t="shared" si="7"/>
        <v>0</v>
      </c>
      <c r="AX19" s="123"/>
      <c r="AY19" s="124" t="s">
        <v>49</v>
      </c>
      <c r="AZ19" s="123"/>
      <c r="BA19" s="122">
        <v>0</v>
      </c>
      <c r="BB19" s="123"/>
      <c r="BC19" s="122">
        <v>0</v>
      </c>
      <c r="BD19" s="123"/>
      <c r="BE19" s="122">
        <v>0</v>
      </c>
      <c r="BF19" s="123"/>
      <c r="BG19" s="122">
        <v>0</v>
      </c>
      <c r="BH19" s="123"/>
      <c r="BI19" s="123"/>
      <c r="BJ19" s="123"/>
      <c r="BK19" s="122">
        <f t="shared" si="8"/>
        <v>0</v>
      </c>
      <c r="BL19" s="67"/>
    </row>
    <row r="20" spans="1:64" ht="12.75">
      <c r="A20" s="107" t="s">
        <v>241</v>
      </c>
      <c r="B20" s="22" t="str">
        <f t="shared" si="0"/>
        <v>11</v>
      </c>
      <c r="C20" s="122">
        <f t="shared" si="1"/>
        <v>2762382</v>
      </c>
      <c r="D20" s="122"/>
      <c r="E20" s="122">
        <v>2678664</v>
      </c>
      <c r="F20" s="122"/>
      <c r="G20" s="122">
        <v>5441046</v>
      </c>
      <c r="H20" s="122"/>
      <c r="I20" s="122">
        <f t="shared" si="2"/>
        <v>67890</v>
      </c>
      <c r="J20" s="122"/>
      <c r="K20" s="122">
        <v>71682</v>
      </c>
      <c r="L20" s="122"/>
      <c r="M20" s="122">
        <v>139572</v>
      </c>
      <c r="N20" s="122"/>
      <c r="O20" s="122">
        <v>2616561</v>
      </c>
      <c r="P20" s="122"/>
      <c r="Q20" s="122">
        <v>0</v>
      </c>
      <c r="R20" s="122"/>
      <c r="S20" s="122">
        <v>2684913</v>
      </c>
      <c r="T20" s="122"/>
      <c r="U20" s="122">
        <f t="shared" si="3"/>
        <v>5301474</v>
      </c>
      <c r="V20" s="122"/>
      <c r="W20" s="122">
        <f t="shared" si="4"/>
        <v>0</v>
      </c>
      <c r="X20" s="122"/>
      <c r="Y20" s="124" t="s">
        <v>44</v>
      </c>
      <c r="Z20" s="122"/>
      <c r="AA20" s="122">
        <v>1340980</v>
      </c>
      <c r="AB20" s="123"/>
      <c r="AC20" s="122">
        <f>1484766-380871</f>
        <v>1103895</v>
      </c>
      <c r="AD20" s="123"/>
      <c r="AE20" s="122">
        <v>380871</v>
      </c>
      <c r="AF20" s="123"/>
      <c r="AG20" s="122">
        <f t="shared" si="5"/>
        <v>-143786</v>
      </c>
      <c r="AH20" s="114"/>
      <c r="AI20" s="122">
        <v>65553</v>
      </c>
      <c r="AJ20" s="114"/>
      <c r="AK20" s="122">
        <v>165000</v>
      </c>
      <c r="AL20" s="123"/>
      <c r="AM20" s="122">
        <v>69105</v>
      </c>
      <c r="AN20" s="22"/>
      <c r="AO20" s="122">
        <v>39998</v>
      </c>
      <c r="AP20" s="123"/>
      <c r="AQ20" s="122">
        <f t="shared" si="6"/>
        <v>57660</v>
      </c>
      <c r="AR20" s="114"/>
      <c r="AS20" s="123">
        <v>0</v>
      </c>
      <c r="AT20" s="123"/>
      <c r="AU20" s="123">
        <v>0</v>
      </c>
      <c r="AV20" s="123"/>
      <c r="AW20" s="122">
        <f t="shared" si="7"/>
        <v>2694492</v>
      </c>
      <c r="AX20" s="123"/>
      <c r="AY20" s="124" t="s">
        <v>44</v>
      </c>
      <c r="AZ20" s="123"/>
      <c r="BA20" s="122">
        <v>0</v>
      </c>
      <c r="BB20" s="123"/>
      <c r="BC20" s="122">
        <v>0</v>
      </c>
      <c r="BD20" s="123"/>
      <c r="BE20" s="122">
        <v>59611</v>
      </c>
      <c r="BF20" s="123"/>
      <c r="BG20" s="122">
        <v>12071</v>
      </c>
      <c r="BH20" s="123"/>
      <c r="BI20" s="123"/>
      <c r="BJ20" s="123"/>
      <c r="BK20" s="122">
        <f t="shared" si="8"/>
        <v>71682</v>
      </c>
      <c r="BL20" s="67"/>
    </row>
    <row r="21" spans="1:64" ht="12.75">
      <c r="A21" s="107" t="s">
        <v>235</v>
      </c>
      <c r="B21" s="22" t="str">
        <f t="shared" si="0"/>
        <v>12</v>
      </c>
      <c r="C21" s="32">
        <f t="shared" si="1"/>
        <v>3941594</v>
      </c>
      <c r="D21" s="32"/>
      <c r="E21" s="32">
        <v>27514227</v>
      </c>
      <c r="F21" s="32"/>
      <c r="G21" s="32">
        <v>31455821</v>
      </c>
      <c r="H21" s="32"/>
      <c r="I21" s="32">
        <f t="shared" si="2"/>
        <v>2727092</v>
      </c>
      <c r="J21" s="32"/>
      <c r="K21" s="32">
        <v>6569163</v>
      </c>
      <c r="L21" s="32"/>
      <c r="M21" s="32">
        <v>9296255</v>
      </c>
      <c r="N21" s="32"/>
      <c r="O21" s="32">
        <v>34935809</v>
      </c>
      <c r="P21" s="32"/>
      <c r="Q21" s="32">
        <v>0</v>
      </c>
      <c r="R21" s="32"/>
      <c r="S21" s="32">
        <v>4119735</v>
      </c>
      <c r="T21" s="32"/>
      <c r="U21" s="32">
        <f t="shared" si="3"/>
        <v>39055544</v>
      </c>
      <c r="V21" s="32"/>
      <c r="W21" s="32">
        <f t="shared" si="4"/>
        <v>-16895978</v>
      </c>
      <c r="X21" s="32"/>
      <c r="Y21" s="68" t="s">
        <v>72</v>
      </c>
      <c r="Z21" s="32"/>
      <c r="AA21" s="32">
        <v>9872769</v>
      </c>
      <c r="AB21" s="16"/>
      <c r="AC21" s="32">
        <f>11317441-1933654</f>
        <v>9383787</v>
      </c>
      <c r="AD21" s="16"/>
      <c r="AE21" s="32">
        <v>1933654</v>
      </c>
      <c r="AF21" s="16"/>
      <c r="AG21" s="32">
        <f t="shared" si="5"/>
        <v>-1444672</v>
      </c>
      <c r="AH21" s="37"/>
      <c r="AI21" s="32">
        <v>-212663</v>
      </c>
      <c r="AJ21" s="37"/>
      <c r="AK21" s="32">
        <v>1378580</v>
      </c>
      <c r="AL21" s="16"/>
      <c r="AM21" s="32">
        <v>1607222</v>
      </c>
      <c r="AN21" s="22"/>
      <c r="AO21" s="32">
        <v>5104711</v>
      </c>
      <c r="AP21" s="16"/>
      <c r="AQ21" s="32">
        <f t="shared" si="6"/>
        <v>3218734</v>
      </c>
      <c r="AR21" s="37"/>
      <c r="AS21" s="16">
        <v>0</v>
      </c>
      <c r="AT21" s="16"/>
      <c r="AU21" s="16">
        <v>0</v>
      </c>
      <c r="AV21" s="16"/>
      <c r="AW21" s="32">
        <f t="shared" si="7"/>
        <v>1214502</v>
      </c>
      <c r="AX21" s="16"/>
      <c r="AY21" s="68" t="s">
        <v>72</v>
      </c>
      <c r="AZ21" s="16"/>
      <c r="BA21" s="32">
        <v>617670</v>
      </c>
      <c r="BB21" s="16"/>
      <c r="BC21" s="32">
        <v>3308800</v>
      </c>
      <c r="BD21" s="16"/>
      <c r="BE21" s="32">
        <v>477687</v>
      </c>
      <c r="BF21" s="16"/>
      <c r="BG21" s="32">
        <v>2714599</v>
      </c>
      <c r="BH21" s="16"/>
      <c r="BI21" s="16"/>
      <c r="BJ21" s="16"/>
      <c r="BK21" s="32">
        <f t="shared" si="8"/>
        <v>7118756</v>
      </c>
      <c r="BL21" s="67"/>
    </row>
    <row r="22" spans="1:64" ht="12.75">
      <c r="A22" s="107" t="s">
        <v>242</v>
      </c>
      <c r="B22" s="22" t="str">
        <f t="shared" si="0"/>
        <v>13</v>
      </c>
      <c r="C22" s="32">
        <f t="shared" si="1"/>
        <v>18470884</v>
      </c>
      <c r="D22" s="32"/>
      <c r="E22" s="32">
        <v>88468530</v>
      </c>
      <c r="F22" s="32"/>
      <c r="G22" s="32">
        <v>106939414</v>
      </c>
      <c r="H22" s="32"/>
      <c r="I22" s="32">
        <f t="shared" si="2"/>
        <v>-10930840</v>
      </c>
      <c r="J22" s="32"/>
      <c r="K22" s="32">
        <f>SUM(BK22)</f>
        <v>12401524</v>
      </c>
      <c r="L22" s="32"/>
      <c r="M22" s="32">
        <v>1470684</v>
      </c>
      <c r="N22" s="32"/>
      <c r="O22" s="32">
        <v>88468530</v>
      </c>
      <c r="P22" s="32"/>
      <c r="Q22" s="32">
        <v>0</v>
      </c>
      <c r="R22" s="32"/>
      <c r="S22" s="32">
        <v>17000200</v>
      </c>
      <c r="T22" s="32"/>
      <c r="U22" s="32">
        <f t="shared" si="3"/>
        <v>105468730</v>
      </c>
      <c r="V22" s="32"/>
      <c r="W22" s="32">
        <f t="shared" si="4"/>
        <v>0</v>
      </c>
      <c r="X22" s="32"/>
      <c r="Y22" s="68" t="s">
        <v>77</v>
      </c>
      <c r="Z22" s="32"/>
      <c r="AA22" s="32">
        <v>7675398</v>
      </c>
      <c r="AB22" s="16"/>
      <c r="AC22" s="32">
        <f>10987192-3462231</f>
        <v>7524961</v>
      </c>
      <c r="AD22" s="16"/>
      <c r="AE22" s="32">
        <v>3462231</v>
      </c>
      <c r="AF22" s="16"/>
      <c r="AG22" s="32">
        <f t="shared" si="5"/>
        <v>-3311794</v>
      </c>
      <c r="AH22" s="37"/>
      <c r="AI22" s="32">
        <v>266142</v>
      </c>
      <c r="AJ22" s="37"/>
      <c r="AK22" s="32">
        <v>0</v>
      </c>
      <c r="AL22" s="16"/>
      <c r="AM22" s="32">
        <v>0</v>
      </c>
      <c r="AN22" s="22"/>
      <c r="AO22" s="32">
        <f>1704983+2849353</f>
        <v>4554336</v>
      </c>
      <c r="AP22" s="16"/>
      <c r="AQ22" s="32">
        <f t="shared" si="6"/>
        <v>1508684</v>
      </c>
      <c r="AR22" s="37"/>
      <c r="AS22" s="16">
        <v>0</v>
      </c>
      <c r="AT22" s="16"/>
      <c r="AU22" s="16">
        <v>0</v>
      </c>
      <c r="AV22" s="16"/>
      <c r="AW22" s="32">
        <f t="shared" si="7"/>
        <v>29401724</v>
      </c>
      <c r="AX22" s="16"/>
      <c r="AY22" s="68" t="s">
        <v>77</v>
      </c>
      <c r="AZ22" s="16"/>
      <c r="BA22" s="32">
        <v>0</v>
      </c>
      <c r="BB22" s="16"/>
      <c r="BC22" s="32">
        <v>6729141</v>
      </c>
      <c r="BD22" s="16"/>
      <c r="BE22" s="32">
        <v>5000138</v>
      </c>
      <c r="BF22" s="16"/>
      <c r="BG22" s="32">
        <v>672245</v>
      </c>
      <c r="BH22" s="16"/>
      <c r="BI22" s="16"/>
      <c r="BJ22" s="16"/>
      <c r="BK22" s="32">
        <f t="shared" si="8"/>
        <v>12401524</v>
      </c>
      <c r="BL22" s="67"/>
    </row>
    <row r="23" spans="1:64" ht="12.75">
      <c r="A23" s="107" t="s">
        <v>243</v>
      </c>
      <c r="B23" s="22" t="str">
        <f t="shared" si="0"/>
        <v>14</v>
      </c>
      <c r="C23" s="32">
        <f t="shared" si="1"/>
        <v>35167243</v>
      </c>
      <c r="D23" s="32"/>
      <c r="E23" s="32">
        <v>183242873</v>
      </c>
      <c r="F23" s="32"/>
      <c r="G23" s="32">
        <v>218410116</v>
      </c>
      <c r="H23" s="32"/>
      <c r="I23" s="32">
        <f t="shared" si="2"/>
        <v>5088430</v>
      </c>
      <c r="J23" s="32"/>
      <c r="K23" s="32">
        <v>44643844</v>
      </c>
      <c r="L23" s="32"/>
      <c r="M23" s="32">
        <v>49732274</v>
      </c>
      <c r="N23" s="32"/>
      <c r="O23" s="32">
        <v>121912263</v>
      </c>
      <c r="P23" s="32"/>
      <c r="Q23" s="32">
        <v>2835090</v>
      </c>
      <c r="R23" s="32"/>
      <c r="S23" s="32">
        <v>43930489</v>
      </c>
      <c r="T23" s="32"/>
      <c r="U23" s="32">
        <f t="shared" si="3"/>
        <v>168677842</v>
      </c>
      <c r="V23" s="32"/>
      <c r="W23" s="32">
        <f t="shared" si="4"/>
        <v>0</v>
      </c>
      <c r="X23" s="32"/>
      <c r="Y23" s="68" t="s">
        <v>170</v>
      </c>
      <c r="Z23" s="32"/>
      <c r="AA23" s="32">
        <v>14439842</v>
      </c>
      <c r="AB23" s="16"/>
      <c r="AC23" s="32">
        <f>16636519-7578904</f>
        <v>9057615</v>
      </c>
      <c r="AD23" s="16"/>
      <c r="AE23" s="32">
        <v>7578904</v>
      </c>
      <c r="AF23" s="16"/>
      <c r="AG23" s="32">
        <f t="shared" si="5"/>
        <v>-2196677</v>
      </c>
      <c r="AH23" s="37"/>
      <c r="AI23" s="32">
        <v>-885463</v>
      </c>
      <c r="AJ23" s="37"/>
      <c r="AK23" s="32">
        <v>0</v>
      </c>
      <c r="AL23" s="16"/>
      <c r="AM23" s="32">
        <v>0</v>
      </c>
      <c r="AN23" s="22"/>
      <c r="AO23" s="32">
        <v>1794569</v>
      </c>
      <c r="AP23" s="16"/>
      <c r="AQ23" s="32">
        <f t="shared" si="6"/>
        <v>-1287571</v>
      </c>
      <c r="AR23" s="37"/>
      <c r="AS23" s="16">
        <v>0</v>
      </c>
      <c r="AT23" s="16"/>
      <c r="AU23" s="16">
        <v>0</v>
      </c>
      <c r="AV23" s="16"/>
      <c r="AW23" s="32">
        <f t="shared" si="7"/>
        <v>30078813</v>
      </c>
      <c r="AX23" s="16"/>
      <c r="AY23" s="68" t="s">
        <v>170</v>
      </c>
      <c r="AZ23" s="16"/>
      <c r="BA23" s="32">
        <v>0</v>
      </c>
      <c r="BB23" s="16"/>
      <c r="BC23" s="32">
        <v>30810000</v>
      </c>
      <c r="BD23" s="16"/>
      <c r="BE23" s="32">
        <v>9826867</v>
      </c>
      <c r="BF23" s="16"/>
      <c r="BG23" s="32">
        <v>6783032</v>
      </c>
      <c r="BH23" s="16"/>
      <c r="BI23" s="16"/>
      <c r="BJ23" s="16"/>
      <c r="BK23" s="32">
        <f t="shared" si="8"/>
        <v>47419899</v>
      </c>
      <c r="BL23" s="67"/>
    </row>
    <row r="24" spans="1:64" ht="12.75">
      <c r="A24" s="107" t="s">
        <v>249</v>
      </c>
      <c r="B24" s="22" t="str">
        <f t="shared" si="0"/>
        <v>15</v>
      </c>
      <c r="C24" s="122">
        <f t="shared" si="1"/>
        <v>3183919</v>
      </c>
      <c r="D24" s="122"/>
      <c r="E24" s="122">
        <v>8474809</v>
      </c>
      <c r="F24" s="122"/>
      <c r="G24" s="122">
        <v>11658728</v>
      </c>
      <c r="H24" s="122"/>
      <c r="I24" s="122">
        <f t="shared" si="2"/>
        <v>197551</v>
      </c>
      <c r="J24" s="122"/>
      <c r="K24" s="122">
        <v>2444311</v>
      </c>
      <c r="L24" s="122"/>
      <c r="M24" s="122">
        <v>2641862</v>
      </c>
      <c r="N24" s="122"/>
      <c r="O24" s="122">
        <v>5906949</v>
      </c>
      <c r="P24" s="122"/>
      <c r="Q24" s="122">
        <v>0</v>
      </c>
      <c r="R24" s="122"/>
      <c r="S24" s="122">
        <v>3109917</v>
      </c>
      <c r="T24" s="122"/>
      <c r="U24" s="122">
        <f t="shared" si="3"/>
        <v>9016866</v>
      </c>
      <c r="V24" s="122"/>
      <c r="W24" s="122">
        <f t="shared" si="4"/>
        <v>0</v>
      </c>
      <c r="X24" s="122"/>
      <c r="Y24" s="124" t="s">
        <v>51</v>
      </c>
      <c r="Z24" s="122"/>
      <c r="AA24" s="122">
        <v>1117618</v>
      </c>
      <c r="AB24" s="123"/>
      <c r="AC24" s="122">
        <f>1140271-340205</f>
        <v>800066</v>
      </c>
      <c r="AD24" s="123"/>
      <c r="AE24" s="122">
        <v>340205</v>
      </c>
      <c r="AF24" s="123"/>
      <c r="AG24" s="122">
        <f t="shared" si="5"/>
        <v>-22653</v>
      </c>
      <c r="AH24" s="114"/>
      <c r="AI24" s="122">
        <v>-60659</v>
      </c>
      <c r="AJ24" s="114"/>
      <c r="AK24" s="122">
        <v>0</v>
      </c>
      <c r="AL24" s="123"/>
      <c r="AM24" s="122">
        <v>0</v>
      </c>
      <c r="AN24" s="22"/>
      <c r="AO24" s="122">
        <v>350109</v>
      </c>
      <c r="AP24" s="123"/>
      <c r="AQ24" s="122">
        <f t="shared" si="6"/>
        <v>266797</v>
      </c>
      <c r="AR24" s="114"/>
      <c r="AS24" s="123">
        <v>0</v>
      </c>
      <c r="AT24" s="123"/>
      <c r="AU24" s="123">
        <v>0</v>
      </c>
      <c r="AV24" s="123"/>
      <c r="AW24" s="122">
        <f t="shared" si="7"/>
        <v>2986368</v>
      </c>
      <c r="AX24" s="123"/>
      <c r="AY24" s="124" t="s">
        <v>51</v>
      </c>
      <c r="AZ24" s="123"/>
      <c r="BA24" s="122">
        <v>2110000</v>
      </c>
      <c r="BB24" s="123"/>
      <c r="BC24" s="122">
        <v>0</v>
      </c>
      <c r="BD24" s="123"/>
      <c r="BE24" s="122">
        <v>316239</v>
      </c>
      <c r="BF24" s="123"/>
      <c r="BG24" s="122">
        <v>18072</v>
      </c>
      <c r="BH24" s="123"/>
      <c r="BI24" s="123"/>
      <c r="BJ24" s="123"/>
      <c r="BK24" s="122">
        <f t="shared" si="8"/>
        <v>2444311</v>
      </c>
      <c r="BL24" s="64"/>
    </row>
    <row r="25" spans="1:64" ht="12.75">
      <c r="A25" s="107" t="s">
        <v>244</v>
      </c>
      <c r="B25" s="22" t="str">
        <f t="shared" si="0"/>
        <v>16</v>
      </c>
      <c r="C25" s="32">
        <f t="shared" si="1"/>
        <v>42828332</v>
      </c>
      <c r="D25" s="32"/>
      <c r="E25" s="32">
        <v>187916109</v>
      </c>
      <c r="F25" s="32"/>
      <c r="G25" s="32">
        <v>230744441</v>
      </c>
      <c r="H25" s="32"/>
      <c r="I25" s="32">
        <f t="shared" si="2"/>
        <v>7980225</v>
      </c>
      <c r="J25" s="32"/>
      <c r="K25" s="32">
        <v>32798729</v>
      </c>
      <c r="L25" s="32"/>
      <c r="M25" s="32">
        <v>40778954</v>
      </c>
      <c r="N25" s="32"/>
      <c r="O25" s="32">
        <v>151021222</v>
      </c>
      <c r="P25" s="32"/>
      <c r="Q25" s="32">
        <f>500000+3742263</f>
        <v>4242263</v>
      </c>
      <c r="R25" s="32"/>
      <c r="S25" s="32">
        <v>34702002</v>
      </c>
      <c r="T25" s="32"/>
      <c r="U25" s="32">
        <f t="shared" si="3"/>
        <v>189965487</v>
      </c>
      <c r="V25" s="32"/>
      <c r="W25" s="32">
        <f t="shared" si="4"/>
        <v>0</v>
      </c>
      <c r="X25" s="32"/>
      <c r="Y25" s="68" t="s">
        <v>28</v>
      </c>
      <c r="Z25" s="32"/>
      <c r="AA25" s="32">
        <v>11965229</v>
      </c>
      <c r="AB25" s="16"/>
      <c r="AC25" s="32">
        <f>11484718-4809408</f>
        <v>6675310</v>
      </c>
      <c r="AD25" s="16"/>
      <c r="AE25" s="32">
        <v>4809408</v>
      </c>
      <c r="AF25" s="16"/>
      <c r="AG25" s="32">
        <f t="shared" si="5"/>
        <v>480511</v>
      </c>
      <c r="AH25" s="37"/>
      <c r="AI25" s="32">
        <v>-1847877</v>
      </c>
      <c r="AJ25" s="37"/>
      <c r="AK25" s="32">
        <v>0</v>
      </c>
      <c r="AL25" s="16"/>
      <c r="AM25" s="32">
        <v>0</v>
      </c>
      <c r="AN25" s="22"/>
      <c r="AO25" s="32">
        <v>11363761</v>
      </c>
      <c r="AP25" s="16"/>
      <c r="AQ25" s="32">
        <f t="shared" si="6"/>
        <v>9996395</v>
      </c>
      <c r="AR25" s="37"/>
      <c r="AS25" s="16">
        <v>0</v>
      </c>
      <c r="AT25" s="16"/>
      <c r="AU25" s="16">
        <v>0</v>
      </c>
      <c r="AV25" s="16"/>
      <c r="AW25" s="32">
        <f t="shared" si="7"/>
        <v>34848107</v>
      </c>
      <c r="AX25" s="16"/>
      <c r="AY25" s="68" t="s">
        <v>28</v>
      </c>
      <c r="AZ25" s="16"/>
      <c r="BA25" s="32">
        <f>4010000+2577715</f>
        <v>6587715</v>
      </c>
      <c r="BB25" s="16"/>
      <c r="BC25" s="32">
        <f>210000+30119884</f>
        <v>30329884</v>
      </c>
      <c r="BD25" s="16"/>
      <c r="BE25" s="32">
        <v>0</v>
      </c>
      <c r="BF25" s="16"/>
      <c r="BG25" s="32">
        <f>58826+101130</f>
        <v>159956</v>
      </c>
      <c r="BH25" s="16"/>
      <c r="BI25" s="16"/>
      <c r="BJ25" s="16"/>
      <c r="BK25" s="32">
        <f t="shared" si="8"/>
        <v>37077555</v>
      </c>
      <c r="BL25" s="67"/>
    </row>
    <row r="26" spans="1:64" ht="12.75">
      <c r="A26" s="107" t="s">
        <v>245</v>
      </c>
      <c r="B26" s="22" t="str">
        <f t="shared" si="0"/>
        <v>17</v>
      </c>
      <c r="C26" s="122">
        <f t="shared" si="1"/>
        <v>0</v>
      </c>
      <c r="D26" s="122"/>
      <c r="E26" s="122">
        <v>0</v>
      </c>
      <c r="F26" s="122"/>
      <c r="G26" s="122">
        <v>0</v>
      </c>
      <c r="H26" s="122"/>
      <c r="I26" s="122">
        <f t="shared" si="2"/>
        <v>0</v>
      </c>
      <c r="J26" s="122"/>
      <c r="K26" s="122">
        <f>SUM(BK26)</f>
        <v>0</v>
      </c>
      <c r="L26" s="122"/>
      <c r="M26" s="122">
        <v>0</v>
      </c>
      <c r="N26" s="122"/>
      <c r="O26" s="122">
        <v>0</v>
      </c>
      <c r="P26" s="122"/>
      <c r="Q26" s="122">
        <v>0</v>
      </c>
      <c r="R26" s="122"/>
      <c r="S26" s="122">
        <v>0</v>
      </c>
      <c r="T26" s="122"/>
      <c r="U26" s="122">
        <f t="shared" si="3"/>
        <v>0</v>
      </c>
      <c r="V26" s="122"/>
      <c r="W26" s="122">
        <f t="shared" si="4"/>
        <v>0</v>
      </c>
      <c r="X26" s="122"/>
      <c r="Y26" s="124" t="s">
        <v>162</v>
      </c>
      <c r="Z26" s="122"/>
      <c r="AA26" s="122">
        <v>0</v>
      </c>
      <c r="AB26" s="123"/>
      <c r="AC26" s="122">
        <v>0</v>
      </c>
      <c r="AD26" s="123"/>
      <c r="AE26" s="122">
        <v>0</v>
      </c>
      <c r="AF26" s="123"/>
      <c r="AG26" s="122">
        <f t="shared" si="5"/>
        <v>0</v>
      </c>
      <c r="AH26" s="114"/>
      <c r="AI26" s="122">
        <v>0</v>
      </c>
      <c r="AJ26" s="114"/>
      <c r="AK26" s="122">
        <v>0</v>
      </c>
      <c r="AL26" s="123"/>
      <c r="AM26" s="122">
        <v>0</v>
      </c>
      <c r="AN26" s="22"/>
      <c r="AO26" s="122">
        <v>0</v>
      </c>
      <c r="AP26" s="123"/>
      <c r="AQ26" s="122">
        <f t="shared" si="6"/>
        <v>0</v>
      </c>
      <c r="AR26" s="114"/>
      <c r="AS26" s="123">
        <v>0</v>
      </c>
      <c r="AT26" s="123"/>
      <c r="AU26" s="123">
        <v>0</v>
      </c>
      <c r="AV26" s="123"/>
      <c r="AW26" s="122">
        <f t="shared" si="7"/>
        <v>0</v>
      </c>
      <c r="AX26" s="123"/>
      <c r="AY26" s="124" t="s">
        <v>162</v>
      </c>
      <c r="AZ26" s="123"/>
      <c r="BA26" s="122">
        <v>0</v>
      </c>
      <c r="BB26" s="123"/>
      <c r="BC26" s="122">
        <v>0</v>
      </c>
      <c r="BD26" s="123"/>
      <c r="BE26" s="122">
        <v>0</v>
      </c>
      <c r="BF26" s="123"/>
      <c r="BG26" s="122">
        <v>0</v>
      </c>
      <c r="BH26" s="123"/>
      <c r="BI26" s="123"/>
      <c r="BJ26" s="123"/>
      <c r="BK26" s="122">
        <f t="shared" si="8"/>
        <v>0</v>
      </c>
      <c r="BL26" s="67"/>
    </row>
    <row r="27" spans="1:64" ht="12.75">
      <c r="A27" s="107" t="s">
        <v>246</v>
      </c>
      <c r="B27" s="22" t="str">
        <f t="shared" si="0"/>
        <v>18</v>
      </c>
      <c r="C27" s="32">
        <f t="shared" si="1"/>
        <v>9923262</v>
      </c>
      <c r="D27" s="32"/>
      <c r="E27" s="32">
        <v>58101797</v>
      </c>
      <c r="F27" s="32"/>
      <c r="G27" s="32">
        <v>68025059</v>
      </c>
      <c r="H27" s="32"/>
      <c r="I27" s="32">
        <f t="shared" si="2"/>
        <v>2720662</v>
      </c>
      <c r="J27" s="32"/>
      <c r="K27" s="32">
        <f>SUM(BK27)</f>
        <v>19321314</v>
      </c>
      <c r="L27" s="32"/>
      <c r="M27" s="32">
        <v>22041976</v>
      </c>
      <c r="N27" s="32"/>
      <c r="O27" s="32">
        <v>37007645</v>
      </c>
      <c r="P27" s="32"/>
      <c r="Q27" s="32">
        <v>51482</v>
      </c>
      <c r="R27" s="32"/>
      <c r="S27" s="32">
        <v>8923956</v>
      </c>
      <c r="T27" s="32"/>
      <c r="U27" s="32">
        <f t="shared" si="3"/>
        <v>45983083</v>
      </c>
      <c r="V27" s="32"/>
      <c r="W27" s="32">
        <f t="shared" si="4"/>
        <v>0</v>
      </c>
      <c r="X27" s="32"/>
      <c r="Y27" s="68" t="s">
        <v>64</v>
      </c>
      <c r="Z27" s="32"/>
      <c r="AA27" s="32">
        <v>7750075</v>
      </c>
      <c r="AB27" s="16"/>
      <c r="AC27" s="32">
        <f>6661528-1248530</f>
        <v>5412998</v>
      </c>
      <c r="AD27" s="16"/>
      <c r="AE27" s="32">
        <v>1248530</v>
      </c>
      <c r="AF27" s="16"/>
      <c r="AG27" s="32">
        <f t="shared" si="5"/>
        <v>1088547</v>
      </c>
      <c r="AH27" s="37"/>
      <c r="AI27" s="32">
        <v>-849958</v>
      </c>
      <c r="AJ27" s="37"/>
      <c r="AK27" s="32">
        <v>0</v>
      </c>
      <c r="AL27" s="16"/>
      <c r="AM27" s="32">
        <v>0</v>
      </c>
      <c r="AN27" s="22"/>
      <c r="AO27" s="32">
        <v>0</v>
      </c>
      <c r="AP27" s="16"/>
      <c r="AQ27" s="32">
        <f t="shared" si="6"/>
        <v>238589</v>
      </c>
      <c r="AR27" s="37"/>
      <c r="AS27" s="16">
        <v>0</v>
      </c>
      <c r="AT27" s="16"/>
      <c r="AU27" s="16">
        <v>0</v>
      </c>
      <c r="AV27" s="16"/>
      <c r="AW27" s="32">
        <f t="shared" si="7"/>
        <v>7202600</v>
      </c>
      <c r="AX27" s="16"/>
      <c r="AY27" s="68" t="s">
        <v>64</v>
      </c>
      <c r="AZ27" s="16"/>
      <c r="BA27" s="32">
        <v>0</v>
      </c>
      <c r="BB27" s="16"/>
      <c r="BC27" s="32">
        <v>9174917</v>
      </c>
      <c r="BD27" s="16"/>
      <c r="BE27" s="32">
        <f>939293+774311+141543</f>
        <v>1855147</v>
      </c>
      <c r="BF27" s="16"/>
      <c r="BG27" s="32">
        <v>8291250</v>
      </c>
      <c r="BH27" s="16"/>
      <c r="BI27" s="16"/>
      <c r="BJ27" s="16"/>
      <c r="BK27" s="32">
        <f t="shared" si="8"/>
        <v>19321314</v>
      </c>
      <c r="BL27" s="67"/>
    </row>
    <row r="28" spans="1:64" ht="12.75">
      <c r="A28" s="107" t="s">
        <v>247</v>
      </c>
      <c r="B28" s="22" t="str">
        <f t="shared" si="0"/>
        <v>19</v>
      </c>
      <c r="C28" s="32">
        <f t="shared" si="1"/>
        <v>16911317</v>
      </c>
      <c r="D28" s="32"/>
      <c r="E28" s="32">
        <v>199826367</v>
      </c>
      <c r="F28" s="32"/>
      <c r="G28" s="32">
        <v>216737684</v>
      </c>
      <c r="H28" s="32"/>
      <c r="I28" s="32">
        <f t="shared" si="2"/>
        <v>11750107</v>
      </c>
      <c r="J28" s="32"/>
      <c r="K28" s="32">
        <v>140627446</v>
      </c>
      <c r="L28" s="32"/>
      <c r="M28" s="32">
        <v>152377553</v>
      </c>
      <c r="N28" s="32"/>
      <c r="O28" s="32">
        <v>52307425</v>
      </c>
      <c r="P28" s="32"/>
      <c r="Q28" s="32">
        <v>1379583</v>
      </c>
      <c r="R28" s="32"/>
      <c r="S28" s="32">
        <v>10673123</v>
      </c>
      <c r="T28" s="32"/>
      <c r="U28" s="32">
        <f t="shared" si="3"/>
        <v>64360131</v>
      </c>
      <c r="V28" s="32"/>
      <c r="W28" s="32">
        <f t="shared" si="4"/>
        <v>0</v>
      </c>
      <c r="X28" s="32"/>
      <c r="Y28" s="68" t="s">
        <v>171</v>
      </c>
      <c r="Z28" s="32"/>
      <c r="AA28" s="32">
        <v>17119295</v>
      </c>
      <c r="AB28" s="16"/>
      <c r="AC28" s="32">
        <f>11188877-3540906</f>
        <v>7647971</v>
      </c>
      <c r="AD28" s="16"/>
      <c r="AE28" s="32">
        <v>3540906</v>
      </c>
      <c r="AF28" s="16"/>
      <c r="AG28" s="32">
        <f t="shared" si="5"/>
        <v>5930418</v>
      </c>
      <c r="AH28" s="37"/>
      <c r="AI28" s="32">
        <v>-4223374</v>
      </c>
      <c r="AJ28" s="37"/>
      <c r="AK28" s="32">
        <v>334452</v>
      </c>
      <c r="AL28" s="16"/>
      <c r="AM28" s="32">
        <v>2197</v>
      </c>
      <c r="AN28" s="22"/>
      <c r="AO28" s="32">
        <v>743068</v>
      </c>
      <c r="AP28" s="16"/>
      <c r="AQ28" s="32">
        <f t="shared" si="6"/>
        <v>2782367</v>
      </c>
      <c r="AR28" s="37"/>
      <c r="AS28" s="16">
        <v>0</v>
      </c>
      <c r="AT28" s="16"/>
      <c r="AU28" s="16">
        <v>0</v>
      </c>
      <c r="AV28" s="16"/>
      <c r="AW28" s="32">
        <f t="shared" si="7"/>
        <v>5161210</v>
      </c>
      <c r="AX28" s="16"/>
      <c r="AY28" s="68" t="s">
        <v>171</v>
      </c>
      <c r="AZ28" s="16"/>
      <c r="BA28" s="32">
        <f>135000+1535966+1630000+74129990</f>
        <v>77430956</v>
      </c>
      <c r="BB28" s="16"/>
      <c r="BC28" s="32">
        <f>1793608+5990000</f>
        <v>7783608</v>
      </c>
      <c r="BD28" s="16"/>
      <c r="BE28" s="32">
        <f>591163+11105509</f>
        <v>11696672</v>
      </c>
      <c r="BF28" s="16"/>
      <c r="BG28" s="32">
        <f>310123+45455399+2316548</f>
        <v>48082070</v>
      </c>
      <c r="BH28" s="16"/>
      <c r="BI28" s="16"/>
      <c r="BJ28" s="16"/>
      <c r="BK28" s="32">
        <f t="shared" si="8"/>
        <v>144993306</v>
      </c>
      <c r="BL28" s="67"/>
    </row>
    <row r="29" spans="1:64" ht="12.75">
      <c r="A29" s="107" t="s">
        <v>248</v>
      </c>
      <c r="B29" s="22" t="str">
        <f t="shared" si="0"/>
        <v>20</v>
      </c>
      <c r="C29" s="32">
        <f t="shared" si="1"/>
        <v>3599532</v>
      </c>
      <c r="D29" s="32"/>
      <c r="E29" s="32">
        <v>11197509</v>
      </c>
      <c r="F29" s="32"/>
      <c r="G29" s="32">
        <v>14797041</v>
      </c>
      <c r="H29" s="32"/>
      <c r="I29" s="32">
        <f t="shared" si="2"/>
        <v>1023017</v>
      </c>
      <c r="J29" s="32"/>
      <c r="K29" s="32">
        <v>3276728</v>
      </c>
      <c r="L29" s="32"/>
      <c r="M29" s="32">
        <v>4299745</v>
      </c>
      <c r="N29" s="32"/>
      <c r="O29" s="32">
        <v>7253122</v>
      </c>
      <c r="P29" s="32"/>
      <c r="Q29" s="32">
        <v>0</v>
      </c>
      <c r="R29" s="32"/>
      <c r="S29" s="32">
        <v>3244174</v>
      </c>
      <c r="T29" s="32"/>
      <c r="U29" s="32">
        <f t="shared" si="3"/>
        <v>10497296</v>
      </c>
      <c r="V29" s="32"/>
      <c r="W29" s="32">
        <f t="shared" si="4"/>
        <v>0</v>
      </c>
      <c r="X29" s="32"/>
      <c r="Y29" s="68" t="s">
        <v>21</v>
      </c>
      <c r="Z29" s="32"/>
      <c r="AA29" s="32">
        <v>3396849</v>
      </c>
      <c r="AB29" s="16"/>
      <c r="AC29" s="32">
        <f>3281090-501127</f>
        <v>2779963</v>
      </c>
      <c r="AD29" s="16"/>
      <c r="AE29" s="32">
        <v>501127</v>
      </c>
      <c r="AF29" s="16"/>
      <c r="AG29" s="32">
        <f t="shared" si="5"/>
        <v>115759</v>
      </c>
      <c r="AH29" s="37"/>
      <c r="AI29" s="32">
        <v>-154739</v>
      </c>
      <c r="AJ29" s="37"/>
      <c r="AK29" s="32">
        <v>0</v>
      </c>
      <c r="AL29" s="16"/>
      <c r="AM29" s="32">
        <v>0</v>
      </c>
      <c r="AN29" s="22"/>
      <c r="AO29" s="32">
        <v>0</v>
      </c>
      <c r="AP29" s="16"/>
      <c r="AQ29" s="32">
        <f t="shared" si="6"/>
        <v>-38980</v>
      </c>
      <c r="AR29" s="37"/>
      <c r="AS29" s="16">
        <v>0</v>
      </c>
      <c r="AT29" s="16"/>
      <c r="AU29" s="16">
        <v>0</v>
      </c>
      <c r="AV29" s="16"/>
      <c r="AW29" s="32">
        <f t="shared" si="7"/>
        <v>2576515</v>
      </c>
      <c r="AX29" s="16"/>
      <c r="AY29" s="68" t="s">
        <v>21</v>
      </c>
      <c r="AZ29" s="16"/>
      <c r="BA29" s="32">
        <f>2514200+19140-22092</f>
        <v>2511248</v>
      </c>
      <c r="BB29" s="16"/>
      <c r="BC29" s="32">
        <v>0</v>
      </c>
      <c r="BD29" s="16"/>
      <c r="BE29" s="32">
        <v>689279</v>
      </c>
      <c r="BF29" s="16"/>
      <c r="BG29" s="32">
        <f>710000+76201</f>
        <v>786201</v>
      </c>
      <c r="BH29" s="16"/>
      <c r="BI29" s="16"/>
      <c r="BJ29" s="16"/>
      <c r="BK29" s="32">
        <f t="shared" si="8"/>
        <v>3986728</v>
      </c>
      <c r="BL29" s="67"/>
    </row>
    <row r="30" spans="1:64" ht="12.75">
      <c r="A30" s="107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4"/>
      <c r="Z30" s="122"/>
      <c r="AA30" s="122"/>
      <c r="AB30" s="123"/>
      <c r="AC30" s="122"/>
      <c r="AD30" s="123"/>
      <c r="AE30" s="122"/>
      <c r="AF30" s="123"/>
      <c r="AG30" s="122"/>
      <c r="AH30" s="114"/>
      <c r="AI30" s="122"/>
      <c r="AJ30" s="114"/>
      <c r="AK30" s="122"/>
      <c r="AL30" s="123"/>
      <c r="AM30" s="122"/>
      <c r="AN30" s="123"/>
      <c r="AO30" s="122"/>
      <c r="AP30" s="123"/>
      <c r="AQ30" s="122"/>
      <c r="AR30" s="114"/>
      <c r="AS30" s="123"/>
      <c r="AT30" s="123"/>
      <c r="AU30" s="123"/>
      <c r="AV30" s="123"/>
      <c r="AW30" s="122"/>
      <c r="AX30" s="123"/>
      <c r="AY30" s="124"/>
      <c r="AZ30" s="123"/>
      <c r="BA30" s="122"/>
      <c r="BB30" s="123"/>
      <c r="BC30" s="122"/>
      <c r="BD30" s="123"/>
      <c r="BE30" s="122"/>
      <c r="BF30" s="123"/>
      <c r="BG30" s="122"/>
      <c r="BH30" s="123"/>
      <c r="BI30" s="123"/>
      <c r="BJ30" s="123"/>
      <c r="BK30" s="122"/>
      <c r="BL30" s="67"/>
    </row>
    <row r="31" spans="1:63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97"/>
      <c r="AI31" s="97"/>
      <c r="AJ31" s="97"/>
      <c r="AK31" s="97"/>
      <c r="AL31" s="97"/>
      <c r="AM31" s="97"/>
      <c r="AN31" s="97"/>
      <c r="AO31" s="65"/>
      <c r="AP31" s="65"/>
      <c r="AQ31" s="65"/>
      <c r="AW31" s="65"/>
      <c r="AY31" s="65"/>
      <c r="BK31" s="65"/>
    </row>
    <row r="32" spans="1:63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97"/>
      <c r="AI32" s="97"/>
      <c r="AJ32" s="97"/>
      <c r="AK32" s="97"/>
      <c r="AL32" s="97"/>
      <c r="AM32" s="97"/>
      <c r="AN32" s="97"/>
      <c r="AO32" s="65"/>
      <c r="AP32" s="65"/>
      <c r="AQ32" s="65"/>
      <c r="AW32" s="65"/>
      <c r="AY32" s="65"/>
      <c r="BK32" s="65"/>
    </row>
    <row r="33" spans="1:63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97"/>
      <c r="AI33" s="97"/>
      <c r="AJ33" s="97"/>
      <c r="AK33" s="97"/>
      <c r="AL33" s="97"/>
      <c r="AM33" s="97"/>
      <c r="AN33" s="97"/>
      <c r="AO33" s="65"/>
      <c r="AP33" s="65"/>
      <c r="AQ33" s="65"/>
      <c r="AW33" s="65"/>
      <c r="AY33" s="65"/>
      <c r="BK33" s="65"/>
    </row>
    <row r="34" spans="1:63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97"/>
      <c r="AI34" s="97"/>
      <c r="AJ34" s="97"/>
      <c r="AK34" s="97"/>
      <c r="AL34" s="97"/>
      <c r="AM34" s="97"/>
      <c r="AN34" s="97"/>
      <c r="AO34" s="65"/>
      <c r="AP34" s="65"/>
      <c r="AQ34" s="65"/>
      <c r="AW34" s="65"/>
      <c r="AY34" s="65"/>
      <c r="BK34" s="65"/>
    </row>
    <row r="35" spans="1:63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97"/>
      <c r="AI35" s="97"/>
      <c r="AJ35" s="97"/>
      <c r="AK35" s="97"/>
      <c r="AL35" s="97"/>
      <c r="AM35" s="97"/>
      <c r="AN35" s="97"/>
      <c r="AO35" s="65"/>
      <c r="AP35" s="65"/>
      <c r="AQ35" s="65"/>
      <c r="AW35" s="65"/>
      <c r="AY35" s="65"/>
      <c r="BK35" s="65"/>
    </row>
    <row r="36" spans="1:63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97"/>
      <c r="AI36" s="97"/>
      <c r="AJ36" s="97"/>
      <c r="AK36" s="97"/>
      <c r="AL36" s="97"/>
      <c r="AM36" s="97"/>
      <c r="AN36" s="97"/>
      <c r="AO36" s="65"/>
      <c r="AP36" s="65"/>
      <c r="AQ36" s="65"/>
      <c r="AW36" s="65"/>
      <c r="AY36" s="65"/>
      <c r="BK36" s="65"/>
    </row>
    <row r="37" spans="1:63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97"/>
      <c r="AI37" s="97"/>
      <c r="AJ37" s="97"/>
      <c r="AK37" s="97"/>
      <c r="AL37" s="97"/>
      <c r="AM37" s="97"/>
      <c r="AN37" s="97"/>
      <c r="AO37" s="65"/>
      <c r="AP37" s="65"/>
      <c r="AQ37" s="65"/>
      <c r="AW37" s="65"/>
      <c r="AY37" s="65"/>
      <c r="BK37" s="65"/>
    </row>
    <row r="38" spans="1:63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97"/>
      <c r="AI38" s="97"/>
      <c r="AJ38" s="97"/>
      <c r="AK38" s="97"/>
      <c r="AL38" s="97"/>
      <c r="AM38" s="97"/>
      <c r="AN38" s="97"/>
      <c r="AO38" s="65"/>
      <c r="AP38" s="65"/>
      <c r="AQ38" s="65"/>
      <c r="AW38" s="65"/>
      <c r="AY38" s="65"/>
      <c r="BK38" s="65"/>
    </row>
    <row r="39" spans="1:63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97"/>
      <c r="AI39" s="97"/>
      <c r="AJ39" s="97"/>
      <c r="AK39" s="97"/>
      <c r="AL39" s="97"/>
      <c r="AM39" s="97"/>
      <c r="AN39" s="97"/>
      <c r="AO39" s="65"/>
      <c r="AP39" s="65"/>
      <c r="AQ39" s="65"/>
      <c r="AW39" s="65"/>
      <c r="AY39" s="65"/>
      <c r="BK39" s="65"/>
    </row>
    <row r="40" spans="1:63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97"/>
      <c r="AI40" s="97"/>
      <c r="AJ40" s="97"/>
      <c r="AK40" s="97"/>
      <c r="AL40" s="97"/>
      <c r="AM40" s="97"/>
      <c r="AN40" s="97"/>
      <c r="AO40" s="65"/>
      <c r="AP40" s="65"/>
      <c r="AQ40" s="65"/>
      <c r="AW40" s="65"/>
      <c r="AY40" s="65"/>
      <c r="BK40" s="65"/>
    </row>
    <row r="41" spans="1:63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97"/>
      <c r="AI41" s="97"/>
      <c r="AJ41" s="97"/>
      <c r="AK41" s="97"/>
      <c r="AL41" s="97"/>
      <c r="AM41" s="97"/>
      <c r="AN41" s="97"/>
      <c r="AO41" s="65"/>
      <c r="AP41" s="65"/>
      <c r="AQ41" s="65"/>
      <c r="AW41" s="65"/>
      <c r="AY41" s="65"/>
      <c r="BK41" s="65"/>
    </row>
    <row r="42" spans="1:63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97"/>
      <c r="AI42" s="97"/>
      <c r="AJ42" s="97"/>
      <c r="AK42" s="97"/>
      <c r="AL42" s="97"/>
      <c r="AM42" s="97"/>
      <c r="AN42" s="97"/>
      <c r="AO42" s="65"/>
      <c r="AP42" s="65"/>
      <c r="AQ42" s="65"/>
      <c r="AW42" s="65"/>
      <c r="AY42" s="65"/>
      <c r="BK42" s="65"/>
    </row>
  </sheetData>
  <sheetProtection/>
  <printOptions/>
  <pageMargins left="0.75" right="0.75" top="0.4" bottom="0.4" header="0" footer="0.25"/>
  <pageSetup firstPageNumber="46" useFirstPageNumber="1" horizontalDpi="600" verticalDpi="600" orientation="portrait" scale="95" r:id="rId1"/>
  <headerFooter alignWithMargins="0">
    <oddFooter>&amp;C&amp;"Times New Roman,Regular"&amp;11&amp;P</oddFooter>
  </headerFooter>
  <colBreaks count="4" manualBreakCount="4">
    <brk id="12" max="94" man="1"/>
    <brk id="22" max="93" man="1"/>
    <brk id="36" max="94" man="1"/>
    <brk id="50" max="9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W109"/>
  <sheetViews>
    <sheetView view="pageBreakPreview" zoomScale="75" zoomScaleSheetLayoutView="75" zoomScalePageLayoutView="0" workbookViewId="0" topLeftCell="A1">
      <pane xSplit="1" ySplit="8" topLeftCell="B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140625" defaultRowHeight="12" customHeight="1"/>
  <cols>
    <col min="1" max="1" width="15.7109375" style="103" customWidth="1"/>
    <col min="2" max="2" width="1.7109375" style="103" customWidth="1"/>
    <col min="3" max="3" width="11.7109375" style="103" customWidth="1"/>
    <col min="4" max="4" width="1.7109375" style="103" customWidth="1"/>
    <col min="5" max="5" width="11.7109375" style="103" customWidth="1"/>
    <col min="6" max="6" width="1.7109375" style="103" customWidth="1"/>
    <col min="7" max="7" width="11.7109375" style="103" customWidth="1"/>
    <col min="8" max="8" width="1.7109375" style="103" customWidth="1"/>
    <col min="9" max="9" width="11.7109375" style="103" customWidth="1"/>
    <col min="10" max="10" width="1.7109375" style="103" customWidth="1"/>
    <col min="11" max="11" width="11.7109375" style="103" customWidth="1"/>
    <col min="12" max="12" width="1.7109375" style="103" customWidth="1"/>
    <col min="13" max="13" width="12.7109375" style="103" customWidth="1"/>
    <col min="14" max="14" width="1.7109375" style="103" customWidth="1"/>
    <col min="15" max="15" width="12.7109375" style="103" customWidth="1"/>
    <col min="16" max="16" width="1.7109375" style="103" customWidth="1"/>
    <col min="17" max="17" width="12.7109375" style="103" customWidth="1"/>
    <col min="18" max="18" width="3.57421875" style="103" customWidth="1"/>
    <col min="19" max="19" width="11.8515625" style="103" customWidth="1"/>
    <col min="20" max="20" width="3.00390625" style="103" customWidth="1"/>
    <col min="21" max="21" width="12.28125" style="79" bestFit="1" customWidth="1"/>
    <col min="22" max="22" width="9.140625" style="79" customWidth="1"/>
    <col min="23" max="23" width="11.140625" style="79" bestFit="1" customWidth="1"/>
    <col min="24" max="16384" width="9.140625" style="79" customWidth="1"/>
  </cols>
  <sheetData>
    <row r="1" spans="1:20" s="58" customFormat="1" ht="12" customHeight="1">
      <c r="A1" s="55" t="s">
        <v>226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39"/>
      <c r="S1" s="39"/>
      <c r="T1" s="100"/>
    </row>
    <row r="2" spans="1:20" s="58" customFormat="1" ht="12" customHeight="1">
      <c r="A2" s="55" t="s">
        <v>227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39"/>
      <c r="S2" s="39"/>
      <c r="T2" s="100"/>
    </row>
    <row r="3" spans="1:20" s="58" customFormat="1" ht="12" customHeight="1">
      <c r="A3" s="43" t="s">
        <v>224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39"/>
      <c r="S3" s="39"/>
      <c r="T3" s="100"/>
    </row>
    <row r="4" spans="1:20" s="58" customFormat="1" ht="12" customHeight="1">
      <c r="A4" s="51" t="s">
        <v>173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39"/>
      <c r="S4" s="39"/>
      <c r="T4" s="100"/>
    </row>
    <row r="5" spans="1:19" ht="12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29"/>
      <c r="S5" s="29"/>
    </row>
    <row r="6" spans="1:18" ht="12" customHeight="1">
      <c r="A6" s="55"/>
      <c r="B6" s="18"/>
      <c r="C6" s="18" t="s">
        <v>99</v>
      </c>
      <c r="D6" s="18"/>
      <c r="E6" s="18" t="s">
        <v>2</v>
      </c>
      <c r="F6" s="18"/>
      <c r="G6" s="18"/>
      <c r="H6" s="18"/>
      <c r="I6" s="18"/>
      <c r="J6" s="18"/>
      <c r="K6" s="18"/>
      <c r="L6" s="18"/>
      <c r="M6" s="18"/>
      <c r="N6" s="18"/>
      <c r="O6" s="18" t="s">
        <v>120</v>
      </c>
      <c r="P6" s="18"/>
      <c r="Q6" s="18"/>
      <c r="R6" s="29"/>
    </row>
    <row r="7" spans="1:21" ht="12" customHeight="1">
      <c r="A7" s="18"/>
      <c r="B7" s="18"/>
      <c r="C7" s="18" t="s">
        <v>103</v>
      </c>
      <c r="D7" s="18"/>
      <c r="E7" s="18" t="s">
        <v>123</v>
      </c>
      <c r="F7" s="18"/>
      <c r="G7" s="18" t="s">
        <v>122</v>
      </c>
      <c r="H7" s="18"/>
      <c r="I7" s="18" t="s">
        <v>110</v>
      </c>
      <c r="J7" s="18"/>
      <c r="K7" s="18" t="s">
        <v>84</v>
      </c>
      <c r="L7" s="18"/>
      <c r="M7" s="18" t="s">
        <v>121</v>
      </c>
      <c r="N7" s="18"/>
      <c r="O7" s="18" t="s">
        <v>101</v>
      </c>
      <c r="P7" s="18"/>
      <c r="Q7" s="18" t="s">
        <v>4</v>
      </c>
      <c r="R7" s="29"/>
      <c r="S7" s="29" t="s">
        <v>206</v>
      </c>
      <c r="U7" s="79" t="s">
        <v>204</v>
      </c>
    </row>
    <row r="8" spans="1:21" ht="12" customHeight="1">
      <c r="A8" s="21" t="s">
        <v>5</v>
      </c>
      <c r="B8" s="18"/>
      <c r="C8" s="21" t="s">
        <v>109</v>
      </c>
      <c r="D8" s="18"/>
      <c r="E8" s="21" t="s">
        <v>109</v>
      </c>
      <c r="F8" s="18"/>
      <c r="G8" s="21" t="s">
        <v>126</v>
      </c>
      <c r="H8" s="18"/>
      <c r="I8" s="21" t="s">
        <v>127</v>
      </c>
      <c r="J8" s="18"/>
      <c r="K8" s="21" t="s">
        <v>124</v>
      </c>
      <c r="L8" s="18"/>
      <c r="M8" s="21" t="s">
        <v>125</v>
      </c>
      <c r="N8" s="18"/>
      <c r="O8" s="21" t="s">
        <v>118</v>
      </c>
      <c r="P8" s="18"/>
      <c r="Q8" s="21" t="s">
        <v>118</v>
      </c>
      <c r="R8" s="22"/>
      <c r="S8" s="102" t="s">
        <v>207</v>
      </c>
      <c r="U8" s="104" t="s">
        <v>208</v>
      </c>
    </row>
    <row r="9" spans="1:21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2"/>
      <c r="U9" s="80"/>
    </row>
    <row r="10" spans="1:21" ht="12" customHeight="1" hidden="1">
      <c r="A10" s="72" t="s">
        <v>216</v>
      </c>
      <c r="B10" s="18"/>
      <c r="C10" s="42">
        <v>0</v>
      </c>
      <c r="D10" s="42"/>
      <c r="E10" s="42">
        <v>0</v>
      </c>
      <c r="F10" s="42"/>
      <c r="G10" s="42">
        <v>0</v>
      </c>
      <c r="H10" s="42"/>
      <c r="I10" s="42">
        <v>0</v>
      </c>
      <c r="J10" s="42"/>
      <c r="K10" s="42">
        <v>0</v>
      </c>
      <c r="L10" s="42"/>
      <c r="M10" s="42">
        <v>0</v>
      </c>
      <c r="N10" s="42"/>
      <c r="O10" s="42">
        <v>0</v>
      </c>
      <c r="P10" s="42"/>
      <c r="Q10" s="42">
        <f>SUM(C10:O10)</f>
        <v>0</v>
      </c>
      <c r="R10" s="34"/>
      <c r="S10" s="42">
        <v>0</v>
      </c>
      <c r="U10" s="78">
        <f>+Q10-'St of Net Assets - GA'!M10-'LT _Lia - GA'!S10</f>
        <v>-318783000</v>
      </c>
    </row>
    <row r="11" spans="1:23" ht="12" customHeight="1">
      <c r="A11" s="29" t="s">
        <v>13</v>
      </c>
      <c r="B11" s="29"/>
      <c r="C11" s="42">
        <v>11986999</v>
      </c>
      <c r="D11" s="42"/>
      <c r="E11" s="42">
        <v>5108000</v>
      </c>
      <c r="F11" s="42"/>
      <c r="G11" s="42">
        <v>4248000</v>
      </c>
      <c r="H11" s="42"/>
      <c r="I11" s="42">
        <v>2187706</v>
      </c>
      <c r="J11" s="42"/>
      <c r="K11" s="42">
        <v>126936</v>
      </c>
      <c r="L11" s="42"/>
      <c r="M11" s="42">
        <v>3254518</v>
      </c>
      <c r="N11" s="42"/>
      <c r="O11" s="42">
        <v>0</v>
      </c>
      <c r="P11" s="42"/>
      <c r="Q11" s="42">
        <f>SUM(C11:O11)</f>
        <v>26912159</v>
      </c>
      <c r="R11" s="34"/>
      <c r="S11" s="42">
        <v>7426179</v>
      </c>
      <c r="U11" s="78">
        <f>+Q11-'St of Net Assets - GA'!M11-'LT _Lia - GA'!S11</f>
        <v>-280621020</v>
      </c>
      <c r="W11" s="78"/>
    </row>
    <row r="12" spans="1:21" ht="12" customHeight="1">
      <c r="A12" s="29" t="s">
        <v>14</v>
      </c>
      <c r="B12" s="29"/>
      <c r="C12" s="28">
        <v>3415000</v>
      </c>
      <c r="D12" s="28"/>
      <c r="E12" s="28">
        <v>0</v>
      </c>
      <c r="F12" s="28"/>
      <c r="G12" s="28">
        <v>0</v>
      </c>
      <c r="H12" s="28"/>
      <c r="I12" s="28">
        <v>0</v>
      </c>
      <c r="J12" s="28"/>
      <c r="K12" s="28">
        <v>190141</v>
      </c>
      <c r="L12" s="28"/>
      <c r="M12" s="28">
        <v>1023553</v>
      </c>
      <c r="N12" s="28"/>
      <c r="O12" s="28">
        <v>0</v>
      </c>
      <c r="P12" s="28"/>
      <c r="Q12" s="28">
        <f aca="true" t="shared" si="0" ref="Q12:Q28">SUM(C12:O12)</f>
        <v>4628694</v>
      </c>
      <c r="R12" s="34"/>
      <c r="S12" s="28">
        <v>673315</v>
      </c>
      <c r="U12" s="78">
        <f>+Q12-'St of Net Assets - GA'!M12-'LT _Lia - GA'!S12</f>
        <v>-138647621</v>
      </c>
    </row>
    <row r="13" spans="1:21" ht="12" customHeight="1">
      <c r="A13" s="29" t="s">
        <v>15</v>
      </c>
      <c r="B13" s="29"/>
      <c r="C13" s="28">
        <v>4470772</v>
      </c>
      <c r="D13" s="28"/>
      <c r="E13" s="28">
        <v>0</v>
      </c>
      <c r="F13" s="28"/>
      <c r="G13" s="28">
        <f>107907+87210</f>
        <v>195117</v>
      </c>
      <c r="H13" s="28"/>
      <c r="I13" s="28">
        <v>110000</v>
      </c>
      <c r="J13" s="28"/>
      <c r="K13" s="28">
        <v>735746</v>
      </c>
      <c r="L13" s="28"/>
      <c r="M13" s="28">
        <f>2889711-1</f>
        <v>2889710</v>
      </c>
      <c r="N13" s="28"/>
      <c r="O13" s="28">
        <v>0</v>
      </c>
      <c r="P13" s="28"/>
      <c r="Q13" s="28">
        <f t="shared" si="0"/>
        <v>8401345</v>
      </c>
      <c r="R13" s="34"/>
      <c r="S13" s="28">
        <v>2350310</v>
      </c>
      <c r="U13" s="78">
        <f>+Q13-'St of Net Assets - GA'!M13-'LT _Lia - GA'!S13</f>
        <v>-73951154</v>
      </c>
    </row>
    <row r="14" spans="1:21" ht="12" customHeight="1">
      <c r="A14" s="29" t="s">
        <v>16</v>
      </c>
      <c r="B14" s="29"/>
      <c r="C14" s="28">
        <v>1275000</v>
      </c>
      <c r="D14" s="28"/>
      <c r="E14" s="28">
        <v>0</v>
      </c>
      <c r="F14" s="28"/>
      <c r="G14" s="28">
        <f>821000+10650</f>
        <v>831650</v>
      </c>
      <c r="H14" s="28"/>
      <c r="I14" s="28">
        <f>601037+89221</f>
        <v>690258</v>
      </c>
      <c r="J14" s="28"/>
      <c r="K14" s="28">
        <v>96475</v>
      </c>
      <c r="L14" s="28"/>
      <c r="M14" s="28">
        <v>1731915</v>
      </c>
      <c r="N14" s="28"/>
      <c r="O14" s="28">
        <v>2642314</v>
      </c>
      <c r="P14" s="28"/>
      <c r="Q14" s="28">
        <f t="shared" si="0"/>
        <v>7267612</v>
      </c>
      <c r="R14" s="34"/>
      <c r="S14" s="28">
        <v>1803489</v>
      </c>
      <c r="U14" s="78">
        <f>+Q14-'St of Net Assets - GA'!M14-'LT _Lia - GA'!S14</f>
        <v>-60168338</v>
      </c>
    </row>
    <row r="15" spans="1:21" ht="12" customHeight="1">
      <c r="A15" s="29" t="s">
        <v>17</v>
      </c>
      <c r="B15" s="29"/>
      <c r="C15" s="28">
        <v>350000</v>
      </c>
      <c r="D15" s="28"/>
      <c r="E15" s="28">
        <v>830000</v>
      </c>
      <c r="F15" s="28"/>
      <c r="G15" s="28">
        <v>647283</v>
      </c>
      <c r="H15" s="28"/>
      <c r="I15" s="28">
        <v>76718</v>
      </c>
      <c r="J15" s="28"/>
      <c r="K15" s="28">
        <v>0</v>
      </c>
      <c r="L15" s="28"/>
      <c r="M15" s="28">
        <v>1727543</v>
      </c>
      <c r="N15" s="28"/>
      <c r="O15" s="28">
        <v>766745</v>
      </c>
      <c r="P15" s="28"/>
      <c r="Q15" s="28">
        <f t="shared" si="0"/>
        <v>4398289</v>
      </c>
      <c r="R15" s="34"/>
      <c r="S15" s="28">
        <v>1828779</v>
      </c>
      <c r="U15" s="78">
        <f>+Q15-'St of Net Assets - GA'!M15-'LT _Lia - GA'!S15</f>
        <v>-76850025</v>
      </c>
    </row>
    <row r="16" spans="1:21" ht="12" customHeight="1">
      <c r="A16" s="29" t="s">
        <v>18</v>
      </c>
      <c r="B16" s="29"/>
      <c r="C16" s="28">
        <v>6669157</v>
      </c>
      <c r="D16" s="28"/>
      <c r="E16" s="28">
        <v>0</v>
      </c>
      <c r="F16" s="28"/>
      <c r="G16" s="28">
        <v>0</v>
      </c>
      <c r="H16" s="28"/>
      <c r="I16" s="28">
        <v>230378</v>
      </c>
      <c r="J16" s="28"/>
      <c r="K16" s="28">
        <v>229609</v>
      </c>
      <c r="L16" s="28"/>
      <c r="M16" s="28">
        <v>3416674</v>
      </c>
      <c r="N16" s="28"/>
      <c r="O16" s="28">
        <v>0</v>
      </c>
      <c r="P16" s="28"/>
      <c r="Q16" s="28">
        <f t="shared" si="0"/>
        <v>10545818</v>
      </c>
      <c r="R16" s="34"/>
      <c r="S16" s="28">
        <v>1753949</v>
      </c>
      <c r="U16" s="78">
        <f>+Q16-'St of Net Assets - GA'!M16-'LT _Lia - GA'!S16</f>
        <v>-1238624</v>
      </c>
    </row>
    <row r="17" spans="1:21" s="103" customFormat="1" ht="12" customHeight="1" hidden="1">
      <c r="A17" s="29" t="s">
        <v>218</v>
      </c>
      <c r="B17" s="29"/>
      <c r="C17" s="28">
        <v>0</v>
      </c>
      <c r="D17" s="28"/>
      <c r="E17" s="28">
        <v>0</v>
      </c>
      <c r="F17" s="28"/>
      <c r="G17" s="28">
        <v>0</v>
      </c>
      <c r="H17" s="28"/>
      <c r="I17" s="28">
        <v>0</v>
      </c>
      <c r="J17" s="28"/>
      <c r="K17" s="28">
        <v>0</v>
      </c>
      <c r="L17" s="28"/>
      <c r="M17" s="28">
        <v>0</v>
      </c>
      <c r="N17" s="28"/>
      <c r="O17" s="28">
        <v>0</v>
      </c>
      <c r="P17" s="28"/>
      <c r="Q17" s="28">
        <f t="shared" si="0"/>
        <v>0</v>
      </c>
      <c r="R17" s="34"/>
      <c r="S17" s="28">
        <v>0</v>
      </c>
      <c r="U17" s="78">
        <f>+Q17-'St of Net Assets - GA'!M17-'LT _Lia - GA'!S17</f>
        <v>-129724721</v>
      </c>
    </row>
    <row r="18" spans="1:21" ht="12" customHeight="1">
      <c r="A18" s="29" t="s">
        <v>19</v>
      </c>
      <c r="B18" s="29"/>
      <c r="C18" s="28">
        <v>58498514</v>
      </c>
      <c r="D18" s="28"/>
      <c r="E18" s="28">
        <v>12305218</v>
      </c>
      <c r="F18" s="28"/>
      <c r="G18" s="28">
        <v>0</v>
      </c>
      <c r="H18" s="28"/>
      <c r="I18" s="28">
        <v>1643071</v>
      </c>
      <c r="J18" s="28"/>
      <c r="K18" s="28">
        <v>2512592</v>
      </c>
      <c r="L18" s="28"/>
      <c r="M18" s="28">
        <v>8045115</v>
      </c>
      <c r="N18" s="28"/>
      <c r="O18" s="28">
        <f>31014392+24751340+2769212</f>
        <v>58534944</v>
      </c>
      <c r="P18" s="28"/>
      <c r="Q18" s="28">
        <f t="shared" si="0"/>
        <v>141539454</v>
      </c>
      <c r="R18" s="34"/>
      <c r="S18" s="28">
        <v>11814733</v>
      </c>
      <c r="U18" s="78">
        <f>+Q18-'St of Net Assets - GA'!M18-'LT _Lia - GA'!S18</f>
        <v>89330861</v>
      </c>
    </row>
    <row r="19" spans="1:21" ht="12" customHeight="1">
      <c r="A19" s="29" t="s">
        <v>20</v>
      </c>
      <c r="B19" s="29"/>
      <c r="C19" s="28">
        <v>50000</v>
      </c>
      <c r="D19" s="28"/>
      <c r="E19" s="28">
        <v>7000</v>
      </c>
      <c r="F19" s="28"/>
      <c r="G19" s="28">
        <v>0</v>
      </c>
      <c r="H19" s="28"/>
      <c r="I19" s="28">
        <v>0</v>
      </c>
      <c r="J19" s="28"/>
      <c r="K19" s="28">
        <v>62027</v>
      </c>
      <c r="L19" s="28"/>
      <c r="M19" s="28">
        <v>1129777</v>
      </c>
      <c r="N19" s="28"/>
      <c r="O19" s="28">
        <v>35000</v>
      </c>
      <c r="P19" s="28"/>
      <c r="Q19" s="28">
        <f>SUM(C19:O19)</f>
        <v>1283804</v>
      </c>
      <c r="R19" s="34"/>
      <c r="S19" s="28">
        <v>91905</v>
      </c>
      <c r="U19" s="78">
        <f>+Q19-'St of Net Assets - GA'!M19-'LT _Lia - GA'!S19</f>
        <v>-35088580</v>
      </c>
    </row>
    <row r="20" spans="1:21" ht="12" customHeight="1" hidden="1">
      <c r="A20" s="22" t="s">
        <v>164</v>
      </c>
      <c r="B20" s="22"/>
      <c r="C20" s="28">
        <v>0</v>
      </c>
      <c r="D20" s="28"/>
      <c r="E20" s="28">
        <v>0</v>
      </c>
      <c r="F20" s="28"/>
      <c r="G20" s="28">
        <v>0</v>
      </c>
      <c r="H20" s="28"/>
      <c r="I20" s="28">
        <v>0</v>
      </c>
      <c r="J20" s="28"/>
      <c r="K20" s="28">
        <v>0</v>
      </c>
      <c r="L20" s="28"/>
      <c r="M20" s="28">
        <v>0</v>
      </c>
      <c r="N20" s="28"/>
      <c r="O20" s="28">
        <v>0</v>
      </c>
      <c r="P20" s="28"/>
      <c r="Q20" s="28">
        <f t="shared" si="0"/>
        <v>0</v>
      </c>
      <c r="R20" s="34"/>
      <c r="S20" s="28">
        <v>0</v>
      </c>
      <c r="U20" s="78">
        <f>+Q20-'St of Net Assets - GA'!M20-'LT _Lia - GA'!S20</f>
        <v>-38487675</v>
      </c>
    </row>
    <row r="21" spans="1:21" ht="12" customHeight="1">
      <c r="A21" s="29" t="s">
        <v>21</v>
      </c>
      <c r="B21" s="29"/>
      <c r="C21" s="28">
        <f>13425000+187538</f>
        <v>13612538</v>
      </c>
      <c r="D21" s="28"/>
      <c r="E21" s="28">
        <v>0</v>
      </c>
      <c r="F21" s="28"/>
      <c r="G21" s="28">
        <v>0</v>
      </c>
      <c r="H21" s="28"/>
      <c r="I21" s="28">
        <v>0</v>
      </c>
      <c r="J21" s="28"/>
      <c r="K21" s="28">
        <v>0</v>
      </c>
      <c r="L21" s="28"/>
      <c r="M21" s="28">
        <v>5019625</v>
      </c>
      <c r="N21" s="28"/>
      <c r="O21" s="28">
        <v>0</v>
      </c>
      <c r="P21" s="28"/>
      <c r="Q21" s="28">
        <f t="shared" si="0"/>
        <v>18632163</v>
      </c>
      <c r="R21" s="34"/>
      <c r="S21" s="28">
        <v>1291174</v>
      </c>
      <c r="U21" s="78">
        <f>+Q21-'St of Net Assets - GA'!M21-'LT _Lia - GA'!S21</f>
        <v>-18220149</v>
      </c>
    </row>
    <row r="22" spans="1:21" ht="12" customHeight="1">
      <c r="A22" s="29" t="s">
        <v>170</v>
      </c>
      <c r="B22" s="29"/>
      <c r="C22" s="28">
        <v>14215000</v>
      </c>
      <c r="D22" s="28"/>
      <c r="E22" s="28">
        <v>5924000</v>
      </c>
      <c r="F22" s="28"/>
      <c r="G22" s="28">
        <v>0</v>
      </c>
      <c r="H22" s="28"/>
      <c r="I22" s="28">
        <v>1092437</v>
      </c>
      <c r="J22" s="28"/>
      <c r="K22" s="28">
        <v>0</v>
      </c>
      <c r="L22" s="28"/>
      <c r="M22" s="28">
        <v>5000987</v>
      </c>
      <c r="N22" s="28"/>
      <c r="O22" s="28">
        <v>0</v>
      </c>
      <c r="P22" s="28"/>
      <c r="Q22" s="28">
        <f t="shared" si="0"/>
        <v>26232424</v>
      </c>
      <c r="R22" s="34"/>
      <c r="S22" s="28">
        <v>7113473</v>
      </c>
      <c r="U22" s="78">
        <f>+Q22-'St of Net Assets - GA'!M22-'LT _Lia - GA'!S22</f>
        <v>-9285450</v>
      </c>
    </row>
    <row r="23" spans="1:21" ht="12" customHeight="1">
      <c r="A23" s="29" t="s">
        <v>22</v>
      </c>
      <c r="B23" s="29"/>
      <c r="C23" s="28">
        <f>11567000+39030</f>
        <v>11606030</v>
      </c>
      <c r="D23" s="28"/>
      <c r="E23" s="28">
        <v>11616</v>
      </c>
      <c r="F23" s="28"/>
      <c r="G23" s="28">
        <v>4925000</v>
      </c>
      <c r="H23" s="28"/>
      <c r="I23" s="28">
        <v>195000</v>
      </c>
      <c r="J23" s="28"/>
      <c r="K23" s="28">
        <v>92615</v>
      </c>
      <c r="L23" s="28"/>
      <c r="M23" s="28">
        <v>1181261</v>
      </c>
      <c r="N23" s="28"/>
      <c r="O23" s="28">
        <v>0</v>
      </c>
      <c r="P23" s="28"/>
      <c r="Q23" s="28">
        <f t="shared" si="0"/>
        <v>18011522</v>
      </c>
      <c r="R23" s="34"/>
      <c r="S23" s="28">
        <v>6065230</v>
      </c>
      <c r="U23" s="78">
        <f>+Q23-'St of Net Assets - GA'!M23-'LT _Lia - GA'!S23</f>
        <v>-7172659</v>
      </c>
    </row>
    <row r="24" spans="1:21" ht="12" customHeight="1" hidden="1">
      <c r="A24" s="29" t="s">
        <v>23</v>
      </c>
      <c r="B24" s="29"/>
      <c r="C24" s="28">
        <v>0</v>
      </c>
      <c r="D24" s="28"/>
      <c r="E24" s="28">
        <v>0</v>
      </c>
      <c r="F24" s="28"/>
      <c r="G24" s="28">
        <v>0</v>
      </c>
      <c r="H24" s="28"/>
      <c r="I24" s="28">
        <v>0</v>
      </c>
      <c r="J24" s="28"/>
      <c r="K24" s="28">
        <v>0</v>
      </c>
      <c r="L24" s="28"/>
      <c r="M24" s="28">
        <v>0</v>
      </c>
      <c r="N24" s="28"/>
      <c r="O24" s="28">
        <v>0</v>
      </c>
      <c r="P24" s="28"/>
      <c r="Q24" s="28">
        <f t="shared" si="0"/>
        <v>0</v>
      </c>
      <c r="R24" s="34"/>
      <c r="S24" s="28">
        <v>0</v>
      </c>
      <c r="U24" s="78">
        <f>+Q24-'St of Net Assets - GA'!M24-'LT _Lia - GA'!S24</f>
        <v>-10839479</v>
      </c>
    </row>
    <row r="25" spans="1:21" ht="12" customHeight="1">
      <c r="A25" s="29" t="s">
        <v>24</v>
      </c>
      <c r="B25" s="29"/>
      <c r="C25" s="28">
        <v>3661388</v>
      </c>
      <c r="D25" s="28"/>
      <c r="E25" s="28">
        <v>0</v>
      </c>
      <c r="F25" s="28"/>
      <c r="G25" s="28">
        <v>75000</v>
      </c>
      <c r="H25" s="28"/>
      <c r="I25" s="28">
        <v>564120</v>
      </c>
      <c r="J25" s="28"/>
      <c r="K25" s="28">
        <v>179663</v>
      </c>
      <c r="L25" s="28"/>
      <c r="M25" s="28">
        <v>1073473</v>
      </c>
      <c r="N25" s="28"/>
      <c r="O25" s="28">
        <v>1240000</v>
      </c>
      <c r="P25" s="28"/>
      <c r="Q25" s="28">
        <f t="shared" si="0"/>
        <v>6793644</v>
      </c>
      <c r="R25" s="34"/>
      <c r="S25" s="28">
        <v>1065169</v>
      </c>
      <c r="U25" s="78">
        <f>+Q25-'St of Net Assets - GA'!M25-'LT _Lia - GA'!S25</f>
        <v>-36684356</v>
      </c>
    </row>
    <row r="26" spans="1:21" ht="12" customHeight="1">
      <c r="A26" s="29" t="s">
        <v>220</v>
      </c>
      <c r="B26" s="29"/>
      <c r="C26" s="28">
        <v>11634931</v>
      </c>
      <c r="D26" s="28"/>
      <c r="E26" s="28">
        <v>0</v>
      </c>
      <c r="F26" s="28"/>
      <c r="G26" s="28">
        <v>0</v>
      </c>
      <c r="H26" s="28"/>
      <c r="I26" s="28">
        <v>0</v>
      </c>
      <c r="J26" s="28"/>
      <c r="K26" s="28">
        <v>0</v>
      </c>
      <c r="L26" s="28"/>
      <c r="M26" s="28">
        <v>1082606</v>
      </c>
      <c r="N26" s="28"/>
      <c r="O26" s="28">
        <v>0</v>
      </c>
      <c r="P26" s="28"/>
      <c r="Q26" s="28">
        <f t="shared" si="0"/>
        <v>12717537</v>
      </c>
      <c r="R26" s="34"/>
      <c r="S26" s="28">
        <v>590225</v>
      </c>
      <c r="U26" s="78">
        <f>+Q26-'St of Net Assets - GA'!M26-'LT _Lia - GA'!S26</f>
        <v>1654503</v>
      </c>
    </row>
    <row r="27" spans="1:21" ht="12" customHeight="1">
      <c r="A27" s="29" t="s">
        <v>25</v>
      </c>
      <c r="B27" s="29"/>
      <c r="C27" s="28">
        <f>166390000+7110000+9861000</f>
        <v>183361000</v>
      </c>
      <c r="D27" s="28"/>
      <c r="E27" s="28">
        <v>0</v>
      </c>
      <c r="F27" s="28"/>
      <c r="G27" s="28">
        <v>70000000</v>
      </c>
      <c r="H27" s="28"/>
      <c r="I27" s="28">
        <v>5262000</v>
      </c>
      <c r="J27" s="28"/>
      <c r="K27" s="28">
        <f>27575000+2269000+190000</f>
        <v>30034000</v>
      </c>
      <c r="L27" s="28"/>
      <c r="M27" s="28">
        <f>29744000+2558000</f>
        <v>32302000</v>
      </c>
      <c r="N27" s="28"/>
      <c r="O27" s="28">
        <v>97575000</v>
      </c>
      <c r="P27" s="28"/>
      <c r="Q27" s="28">
        <f t="shared" si="0"/>
        <v>418534000</v>
      </c>
      <c r="R27" s="34"/>
      <c r="S27" s="28">
        <v>99751000</v>
      </c>
      <c r="U27" s="78">
        <f>+Q27-'St of Net Assets - GA'!M27-'LT _Lia - GA'!S27</f>
        <v>300273879</v>
      </c>
    </row>
    <row r="28" spans="1:21" s="131" customFormat="1" ht="12" customHeight="1" hidden="1">
      <c r="A28" s="127" t="s">
        <v>26</v>
      </c>
      <c r="B28" s="127"/>
      <c r="C28" s="128">
        <v>0</v>
      </c>
      <c r="D28" s="128"/>
      <c r="E28" s="128">
        <v>0</v>
      </c>
      <c r="F28" s="128"/>
      <c r="G28" s="128">
        <v>0</v>
      </c>
      <c r="H28" s="128"/>
      <c r="I28" s="128">
        <v>0</v>
      </c>
      <c r="J28" s="128"/>
      <c r="K28" s="128">
        <v>0</v>
      </c>
      <c r="L28" s="128"/>
      <c r="M28" s="128">
        <v>0</v>
      </c>
      <c r="N28" s="128"/>
      <c r="O28" s="128">
        <v>0</v>
      </c>
      <c r="P28" s="128"/>
      <c r="Q28" s="128">
        <f t="shared" si="0"/>
        <v>0</v>
      </c>
      <c r="R28" s="129"/>
      <c r="S28" s="128">
        <v>0</v>
      </c>
      <c r="T28" s="130"/>
      <c r="U28" s="126" t="e">
        <f>+Q28-'St of Net Assets - GA'!#REF!-'LT _Lia - GA'!S28</f>
        <v>#REF!</v>
      </c>
    </row>
    <row r="29" spans="1:21" ht="12" customHeight="1">
      <c r="A29" s="29" t="s">
        <v>27</v>
      </c>
      <c r="B29" s="29"/>
      <c r="C29" s="28">
        <v>2070000</v>
      </c>
      <c r="D29" s="28"/>
      <c r="E29" s="28">
        <v>1036000</v>
      </c>
      <c r="F29" s="28"/>
      <c r="G29" s="28">
        <f>226245+1202080</f>
        <v>1428325</v>
      </c>
      <c r="H29" s="28"/>
      <c r="I29" s="28">
        <f>245726+990870</f>
        <v>1236596</v>
      </c>
      <c r="J29" s="28"/>
      <c r="K29" s="28">
        <v>92083</v>
      </c>
      <c r="L29" s="28"/>
      <c r="M29" s="28">
        <v>1295123</v>
      </c>
      <c r="N29" s="28"/>
      <c r="O29" s="28">
        <v>0</v>
      </c>
      <c r="P29" s="28"/>
      <c r="Q29" s="28">
        <f aca="true" t="shared" si="1" ref="Q29:Q93">SUM(C29:O29)</f>
        <v>7158127</v>
      </c>
      <c r="R29" s="34"/>
      <c r="S29" s="28">
        <v>2209080</v>
      </c>
      <c r="U29" s="78">
        <f>+Q29-'St of Net Assets - GA'!M29-'LT _Lia - GA'!S29</f>
        <v>-12391942</v>
      </c>
    </row>
    <row r="30" spans="1:21" ht="12" customHeight="1">
      <c r="A30" s="29" t="s">
        <v>28</v>
      </c>
      <c r="B30" s="29"/>
      <c r="C30" s="28">
        <v>37844564</v>
      </c>
      <c r="D30" s="28"/>
      <c r="E30" s="28">
        <v>5599207</v>
      </c>
      <c r="F30" s="28"/>
      <c r="G30" s="28">
        <v>0</v>
      </c>
      <c r="H30" s="28"/>
      <c r="I30" s="28">
        <v>0</v>
      </c>
      <c r="J30" s="28"/>
      <c r="K30" s="28">
        <v>0</v>
      </c>
      <c r="L30" s="28"/>
      <c r="M30" s="28">
        <v>3449651</v>
      </c>
      <c r="N30" s="28"/>
      <c r="O30" s="28">
        <v>0</v>
      </c>
      <c r="P30" s="28"/>
      <c r="Q30" s="28">
        <f t="shared" si="1"/>
        <v>46893422</v>
      </c>
      <c r="R30" s="34"/>
      <c r="S30" s="28">
        <v>4480591</v>
      </c>
      <c r="U30" s="78" t="e">
        <f>+Q30-'St of Net Assets - GA'!#REF!-'LT _Lia - GA'!S30</f>
        <v>#REF!</v>
      </c>
    </row>
    <row r="31" spans="1:21" ht="12" customHeight="1">
      <c r="A31" s="29" t="s">
        <v>29</v>
      </c>
      <c r="B31" s="29"/>
      <c r="C31" s="28">
        <f>17997744+330314</f>
        <v>18328058</v>
      </c>
      <c r="D31" s="28"/>
      <c r="E31" s="28">
        <v>746990</v>
      </c>
      <c r="F31" s="28"/>
      <c r="G31" s="28">
        <v>0</v>
      </c>
      <c r="H31" s="28"/>
      <c r="I31" s="28">
        <v>0</v>
      </c>
      <c r="J31" s="28"/>
      <c r="K31" s="28">
        <v>160823</v>
      </c>
      <c r="L31" s="28"/>
      <c r="M31" s="28">
        <v>2910241</v>
      </c>
      <c r="N31" s="28"/>
      <c r="O31" s="28">
        <v>0</v>
      </c>
      <c r="P31" s="28"/>
      <c r="Q31" s="28">
        <f t="shared" si="1"/>
        <v>22146112</v>
      </c>
      <c r="R31" s="34"/>
      <c r="S31" s="28">
        <v>2337605</v>
      </c>
      <c r="U31" s="78" t="e">
        <f>+Q31-'St of Net Assets - GA'!#REF!-'LT _Lia - GA'!S31</f>
        <v>#REF!</v>
      </c>
    </row>
    <row r="32" spans="1:21" ht="12" customHeight="1">
      <c r="A32" s="29" t="s">
        <v>30</v>
      </c>
      <c r="B32" s="29"/>
      <c r="C32" s="28">
        <f>15969866+1714843</f>
        <v>17684709</v>
      </c>
      <c r="D32" s="28"/>
      <c r="E32" s="28">
        <v>2076574</v>
      </c>
      <c r="F32" s="28"/>
      <c r="G32" s="28">
        <v>1390000</v>
      </c>
      <c r="H32" s="28"/>
      <c r="I32" s="28">
        <v>0</v>
      </c>
      <c r="J32" s="28"/>
      <c r="K32" s="28">
        <v>491575</v>
      </c>
      <c r="L32" s="28"/>
      <c r="M32" s="28">
        <v>4169854</v>
      </c>
      <c r="N32" s="28"/>
      <c r="O32" s="28">
        <v>10096</v>
      </c>
      <c r="P32" s="28"/>
      <c r="Q32" s="28">
        <f t="shared" si="1"/>
        <v>25822808</v>
      </c>
      <c r="R32" s="34"/>
      <c r="S32" s="28">
        <v>3181138</v>
      </c>
      <c r="U32" s="78" t="e">
        <f>+Q32-'St of Net Assets - GA'!#REF!-'LT _Lia - GA'!S32</f>
        <v>#REF!</v>
      </c>
    </row>
    <row r="33" spans="1:21" ht="12" customHeight="1" hidden="1">
      <c r="A33" s="29" t="s">
        <v>217</v>
      </c>
      <c r="B33" s="29"/>
      <c r="C33" s="28">
        <v>0</v>
      </c>
      <c r="D33" s="28"/>
      <c r="E33" s="28">
        <v>0</v>
      </c>
      <c r="F33" s="28"/>
      <c r="G33" s="28">
        <v>0</v>
      </c>
      <c r="H33" s="28"/>
      <c r="I33" s="28">
        <v>0</v>
      </c>
      <c r="J33" s="28"/>
      <c r="K33" s="28">
        <v>0</v>
      </c>
      <c r="L33" s="28"/>
      <c r="M33" s="28">
        <v>0</v>
      </c>
      <c r="N33" s="28"/>
      <c r="O33" s="28">
        <v>0</v>
      </c>
      <c r="P33" s="28"/>
      <c r="Q33" s="28">
        <f t="shared" si="1"/>
        <v>0</v>
      </c>
      <c r="R33" s="34"/>
      <c r="S33" s="28">
        <v>0</v>
      </c>
      <c r="U33" s="78" t="e">
        <f>+Q33-'St of Net Assets - GA'!#REF!-'LT _Lia - GA'!S33</f>
        <v>#REF!</v>
      </c>
    </row>
    <row r="34" spans="1:21" ht="12" customHeight="1">
      <c r="A34" s="29" t="s">
        <v>31</v>
      </c>
      <c r="B34" s="29"/>
      <c r="C34" s="28">
        <f>229835000+8978000-1461000</f>
        <v>237352000</v>
      </c>
      <c r="D34" s="28"/>
      <c r="E34" s="28">
        <v>42500000</v>
      </c>
      <c r="F34" s="28"/>
      <c r="G34" s="28">
        <v>0</v>
      </c>
      <c r="H34" s="28"/>
      <c r="I34" s="28">
        <v>4761000</v>
      </c>
      <c r="J34" s="28"/>
      <c r="K34" s="28">
        <v>1409000</v>
      </c>
      <c r="L34" s="28"/>
      <c r="M34" s="28">
        <v>38485000</v>
      </c>
      <c r="N34" s="28"/>
      <c r="O34" s="28">
        <v>4949000</v>
      </c>
      <c r="P34" s="28"/>
      <c r="Q34" s="28">
        <f t="shared" si="1"/>
        <v>329456000</v>
      </c>
      <c r="R34" s="34"/>
      <c r="S34" s="28">
        <v>29349000</v>
      </c>
      <c r="U34" s="78" t="e">
        <f>+Q34-'St of Net Assets - GA'!#REF!-'LT _Lia - GA'!S34</f>
        <v>#REF!</v>
      </c>
    </row>
    <row r="35" spans="1:21" ht="12" customHeight="1">
      <c r="A35" s="29" t="s">
        <v>32</v>
      </c>
      <c r="B35" s="29"/>
      <c r="C35" s="28">
        <v>840000</v>
      </c>
      <c r="D35" s="28"/>
      <c r="E35" s="28">
        <v>144666</v>
      </c>
      <c r="F35" s="28"/>
      <c r="G35" s="28">
        <v>238042</v>
      </c>
      <c r="H35" s="28"/>
      <c r="I35" s="28">
        <f>562723+339649</f>
        <v>902372</v>
      </c>
      <c r="J35" s="28"/>
      <c r="K35" s="28">
        <v>16778</v>
      </c>
      <c r="L35" s="28"/>
      <c r="M35" s="28">
        <v>889149</v>
      </c>
      <c r="N35" s="28"/>
      <c r="O35" s="28">
        <v>413467</v>
      </c>
      <c r="P35" s="28"/>
      <c r="Q35" s="28">
        <f t="shared" si="1"/>
        <v>3444474</v>
      </c>
      <c r="R35" s="34"/>
      <c r="S35" s="28">
        <v>986228</v>
      </c>
      <c r="U35" s="78" t="e">
        <f>+Q35-'St of Net Assets - GA'!#REF!-'LT _Lia - GA'!S35</f>
        <v>#REF!</v>
      </c>
    </row>
    <row r="36" spans="1:21" ht="12" customHeight="1">
      <c r="A36" s="29" t="s">
        <v>33</v>
      </c>
      <c r="B36" s="29"/>
      <c r="C36" s="28">
        <f>115000+1444026</f>
        <v>1559026</v>
      </c>
      <c r="D36" s="28"/>
      <c r="E36" s="28">
        <v>0</v>
      </c>
      <c r="F36" s="28"/>
      <c r="G36" s="28">
        <v>0</v>
      </c>
      <c r="H36" s="28"/>
      <c r="I36" s="28">
        <f>84697+31831+208003+214870</f>
        <v>539401</v>
      </c>
      <c r="J36" s="28"/>
      <c r="K36" s="28">
        <v>10816</v>
      </c>
      <c r="L36" s="28"/>
      <c r="M36" s="28">
        <v>1512950</v>
      </c>
      <c r="N36" s="28"/>
      <c r="O36" s="28">
        <v>0</v>
      </c>
      <c r="P36" s="28"/>
      <c r="Q36" s="28">
        <f t="shared" si="1"/>
        <v>3622193</v>
      </c>
      <c r="R36" s="34"/>
      <c r="S36" s="28">
        <v>1239625</v>
      </c>
      <c r="U36" s="78" t="e">
        <f>+Q36-'St of Net Assets - GA'!#REF!-'LT _Lia - GA'!S36</f>
        <v>#REF!</v>
      </c>
    </row>
    <row r="37" spans="1:21" ht="12" customHeight="1">
      <c r="A37" s="29" t="s">
        <v>34</v>
      </c>
      <c r="B37" s="29"/>
      <c r="C37" s="28">
        <v>0</v>
      </c>
      <c r="D37" s="28"/>
      <c r="E37" s="28">
        <v>2592649</v>
      </c>
      <c r="F37" s="28"/>
      <c r="G37" s="28">
        <v>200000</v>
      </c>
      <c r="H37" s="28"/>
      <c r="I37" s="28">
        <v>270000</v>
      </c>
      <c r="J37" s="28"/>
      <c r="K37" s="28">
        <v>0</v>
      </c>
      <c r="L37" s="28"/>
      <c r="M37" s="28">
        <v>2030696</v>
      </c>
      <c r="N37" s="28"/>
      <c r="O37" s="28">
        <v>0</v>
      </c>
      <c r="P37" s="28"/>
      <c r="Q37" s="28">
        <f t="shared" si="1"/>
        <v>5093345</v>
      </c>
      <c r="R37" s="34"/>
      <c r="S37" s="28">
        <v>405875</v>
      </c>
      <c r="U37" s="78" t="e">
        <f>+Q37-'St of Net Assets - GA'!#REF!-'LT _Lia - GA'!S37</f>
        <v>#REF!</v>
      </c>
    </row>
    <row r="38" spans="1:21" ht="12" customHeight="1">
      <c r="A38" s="29" t="s">
        <v>171</v>
      </c>
      <c r="B38" s="29"/>
      <c r="C38" s="28">
        <f>10175000+10500024</f>
        <v>20675024</v>
      </c>
      <c r="D38" s="28"/>
      <c r="E38" s="28">
        <v>140000</v>
      </c>
      <c r="F38" s="28"/>
      <c r="G38" s="28">
        <v>10840000</v>
      </c>
      <c r="H38" s="28"/>
      <c r="I38" s="28">
        <v>0</v>
      </c>
      <c r="J38" s="28"/>
      <c r="K38" s="28">
        <v>0</v>
      </c>
      <c r="L38" s="28"/>
      <c r="M38" s="28">
        <v>5678169</v>
      </c>
      <c r="N38" s="28"/>
      <c r="O38" s="28">
        <v>0</v>
      </c>
      <c r="P38" s="28"/>
      <c r="Q38" s="28">
        <f t="shared" si="1"/>
        <v>37333193</v>
      </c>
      <c r="R38" s="34"/>
      <c r="S38" s="28">
        <v>12428505</v>
      </c>
      <c r="U38" s="78" t="e">
        <f>+Q38-'St of Net Assets - GA'!#REF!-'LT _Lia - GA'!S38</f>
        <v>#REF!</v>
      </c>
    </row>
    <row r="39" spans="1:21" ht="12" customHeight="1" hidden="1">
      <c r="A39" s="29" t="s">
        <v>221</v>
      </c>
      <c r="B39" s="29"/>
      <c r="C39" s="28">
        <v>0</v>
      </c>
      <c r="D39" s="28"/>
      <c r="E39" s="28">
        <v>0</v>
      </c>
      <c r="F39" s="28"/>
      <c r="G39" s="28">
        <v>0</v>
      </c>
      <c r="H39" s="28"/>
      <c r="I39" s="28">
        <v>0</v>
      </c>
      <c r="J39" s="28"/>
      <c r="K39" s="28">
        <v>0</v>
      </c>
      <c r="L39" s="28"/>
      <c r="M39" s="28">
        <v>0</v>
      </c>
      <c r="N39" s="28"/>
      <c r="O39" s="28">
        <v>0</v>
      </c>
      <c r="P39" s="28"/>
      <c r="Q39" s="28">
        <f t="shared" si="1"/>
        <v>0</v>
      </c>
      <c r="R39" s="34"/>
      <c r="S39" s="28">
        <v>0</v>
      </c>
      <c r="U39" s="78" t="e">
        <f>+Q39-'St of Net Assets - GA'!#REF!-'LT _Lia - GA'!S39</f>
        <v>#REF!</v>
      </c>
    </row>
    <row r="40" spans="1:21" ht="12" customHeight="1">
      <c r="A40" s="29" t="s">
        <v>35</v>
      </c>
      <c r="B40" s="29"/>
      <c r="C40" s="28">
        <f>5380000+97420000</f>
        <v>102800000</v>
      </c>
      <c r="D40" s="28"/>
      <c r="E40" s="28">
        <v>4252000</v>
      </c>
      <c r="F40" s="28"/>
      <c r="G40" s="28">
        <v>0</v>
      </c>
      <c r="H40" s="28"/>
      <c r="I40" s="28">
        <f>3225000+5028000</f>
        <v>8253000</v>
      </c>
      <c r="J40" s="28"/>
      <c r="K40" s="28">
        <v>0</v>
      </c>
      <c r="L40" s="28"/>
      <c r="M40" s="28">
        <v>41951000</v>
      </c>
      <c r="N40" s="28"/>
      <c r="O40" s="28">
        <v>1437000</v>
      </c>
      <c r="P40" s="28"/>
      <c r="Q40" s="28">
        <f t="shared" si="1"/>
        <v>158693000</v>
      </c>
      <c r="R40" s="34"/>
      <c r="S40" s="28">
        <v>16090000</v>
      </c>
      <c r="U40" s="78" t="e">
        <f>+Q40-'St of Net Assets - GA'!#REF!-'LT _Lia - GA'!S40</f>
        <v>#REF!</v>
      </c>
    </row>
    <row r="41" spans="1:21" ht="12" customHeight="1">
      <c r="A41" s="29" t="s">
        <v>36</v>
      </c>
      <c r="B41" s="29"/>
      <c r="C41" s="28">
        <v>9259341</v>
      </c>
      <c r="D41" s="28"/>
      <c r="E41" s="28">
        <v>2413811</v>
      </c>
      <c r="F41" s="28"/>
      <c r="G41" s="28">
        <v>0</v>
      </c>
      <c r="H41" s="28"/>
      <c r="I41" s="28">
        <f>345392+23980+2011500+679950</f>
        <v>3060822</v>
      </c>
      <c r="J41" s="28"/>
      <c r="K41" s="28">
        <v>0</v>
      </c>
      <c r="L41" s="28"/>
      <c r="M41" s="28">
        <v>2975067</v>
      </c>
      <c r="N41" s="28"/>
      <c r="O41" s="28">
        <v>0</v>
      </c>
      <c r="P41" s="28"/>
      <c r="Q41" s="28">
        <f t="shared" si="1"/>
        <v>17709041</v>
      </c>
      <c r="R41" s="34"/>
      <c r="S41" s="28">
        <v>1974844</v>
      </c>
      <c r="U41" s="78" t="e">
        <f>+Q41-'St of Net Assets - GA'!#REF!-'LT _Lia - GA'!S41</f>
        <v>#REF!</v>
      </c>
    </row>
    <row r="42" spans="1:21" ht="12" customHeight="1" hidden="1">
      <c r="A42" s="29" t="s">
        <v>161</v>
      </c>
      <c r="B42" s="29"/>
      <c r="C42" s="28">
        <v>0</v>
      </c>
      <c r="D42" s="28"/>
      <c r="E42" s="28">
        <v>0</v>
      </c>
      <c r="F42" s="28"/>
      <c r="G42" s="28">
        <v>0</v>
      </c>
      <c r="H42" s="28"/>
      <c r="I42" s="28">
        <v>0</v>
      </c>
      <c r="J42" s="28"/>
      <c r="K42" s="28">
        <v>0</v>
      </c>
      <c r="L42" s="28"/>
      <c r="M42" s="28">
        <v>0</v>
      </c>
      <c r="N42" s="28"/>
      <c r="O42" s="28">
        <v>0</v>
      </c>
      <c r="P42" s="28"/>
      <c r="Q42" s="28">
        <f t="shared" si="1"/>
        <v>0</v>
      </c>
      <c r="R42" s="34"/>
      <c r="S42" s="28">
        <v>0</v>
      </c>
      <c r="U42" s="78" t="e">
        <f>+Q42-'St of Net Assets - GA'!#REF!-'LT _Lia - GA'!S42</f>
        <v>#REF!</v>
      </c>
    </row>
    <row r="43" spans="1:21" ht="12" customHeight="1" hidden="1">
      <c r="A43" s="29" t="s">
        <v>37</v>
      </c>
      <c r="B43" s="29"/>
      <c r="C43" s="28">
        <v>0</v>
      </c>
      <c r="D43" s="28"/>
      <c r="E43" s="28">
        <v>0</v>
      </c>
      <c r="F43" s="28"/>
      <c r="G43" s="28">
        <v>0</v>
      </c>
      <c r="H43" s="28"/>
      <c r="I43" s="28">
        <v>0</v>
      </c>
      <c r="J43" s="28"/>
      <c r="K43" s="28">
        <v>0</v>
      </c>
      <c r="L43" s="28"/>
      <c r="M43" s="28">
        <v>0</v>
      </c>
      <c r="N43" s="28"/>
      <c r="O43" s="28">
        <v>0</v>
      </c>
      <c r="P43" s="28"/>
      <c r="Q43" s="28">
        <f t="shared" si="1"/>
        <v>0</v>
      </c>
      <c r="R43" s="34"/>
      <c r="S43" s="28">
        <v>0</v>
      </c>
      <c r="U43" s="78" t="e">
        <f>+Q43-'St of Net Assets - GA'!#REF!-'LT _Lia - GA'!S43</f>
        <v>#REF!</v>
      </c>
    </row>
    <row r="44" spans="1:21" ht="12" customHeight="1">
      <c r="A44" s="29" t="s">
        <v>38</v>
      </c>
      <c r="B44" s="29"/>
      <c r="C44" s="28">
        <v>22000</v>
      </c>
      <c r="D44" s="28"/>
      <c r="E44" s="28">
        <v>154147</v>
      </c>
      <c r="F44" s="28"/>
      <c r="G44" s="28">
        <v>2095000</v>
      </c>
      <c r="H44" s="28"/>
      <c r="I44" s="28">
        <f>361679+64628</f>
        <v>426307</v>
      </c>
      <c r="J44" s="28"/>
      <c r="K44" s="28">
        <v>0</v>
      </c>
      <c r="L44" s="28"/>
      <c r="M44" s="28">
        <v>1693350</v>
      </c>
      <c r="N44" s="28"/>
      <c r="O44" s="28">
        <v>0</v>
      </c>
      <c r="P44" s="28"/>
      <c r="Q44" s="28">
        <f t="shared" si="1"/>
        <v>4390804</v>
      </c>
      <c r="R44" s="34"/>
      <c r="S44" s="28">
        <v>2944720</v>
      </c>
      <c r="U44" s="78" t="e">
        <f>+Q44-'St of Net Assets - GA'!#REF!-'LT _Lia - GA'!S44</f>
        <v>#REF!</v>
      </c>
    </row>
    <row r="45" spans="1:21" ht="12" customHeight="1" hidden="1">
      <c r="A45" s="29" t="s">
        <v>39</v>
      </c>
      <c r="B45" s="29"/>
      <c r="C45" s="28">
        <v>0</v>
      </c>
      <c r="D45" s="28"/>
      <c r="E45" s="28">
        <v>0</v>
      </c>
      <c r="F45" s="28"/>
      <c r="G45" s="28">
        <v>0</v>
      </c>
      <c r="H45" s="28"/>
      <c r="I45" s="28">
        <v>0</v>
      </c>
      <c r="J45" s="28"/>
      <c r="K45" s="28">
        <v>0</v>
      </c>
      <c r="L45" s="28"/>
      <c r="M45" s="28">
        <v>0</v>
      </c>
      <c r="N45" s="28"/>
      <c r="O45" s="28">
        <v>0</v>
      </c>
      <c r="P45" s="28"/>
      <c r="Q45" s="28">
        <f t="shared" si="1"/>
        <v>0</v>
      </c>
      <c r="R45" s="34"/>
      <c r="S45" s="28">
        <v>0</v>
      </c>
      <c r="U45" s="78" t="e">
        <f>+Q45-'St of Net Assets - GA'!#REF!-'LT _Lia - GA'!S45</f>
        <v>#REF!</v>
      </c>
    </row>
    <row r="46" spans="1:21" ht="12" customHeight="1">
      <c r="A46" s="29" t="s">
        <v>40</v>
      </c>
      <c r="B46" s="29"/>
      <c r="C46" s="111">
        <v>295000</v>
      </c>
      <c r="D46" s="111"/>
      <c r="E46" s="111">
        <v>41900</v>
      </c>
      <c r="F46" s="111"/>
      <c r="G46" s="111">
        <v>621394</v>
      </c>
      <c r="H46" s="111"/>
      <c r="I46" s="111">
        <v>0</v>
      </c>
      <c r="J46" s="111"/>
      <c r="K46" s="111">
        <v>39570</v>
      </c>
      <c r="L46" s="111"/>
      <c r="M46" s="111">
        <v>810858</v>
      </c>
      <c r="N46" s="111"/>
      <c r="O46" s="111">
        <v>0</v>
      </c>
      <c r="P46" s="111"/>
      <c r="Q46" s="111">
        <f t="shared" si="1"/>
        <v>1808722</v>
      </c>
      <c r="R46" s="125"/>
      <c r="S46" s="111">
        <v>313817</v>
      </c>
      <c r="T46" s="31"/>
      <c r="U46" s="83">
        <f>+Q46-'[1]St of Net Assets - GA'!M46-'[1]LT _Lia - GA'!S46</f>
        <v>0</v>
      </c>
    </row>
    <row r="47" spans="1:21" ht="12" customHeight="1">
      <c r="A47" s="29" t="s">
        <v>41</v>
      </c>
      <c r="B47" s="29"/>
      <c r="C47" s="111">
        <v>3794000</v>
      </c>
      <c r="D47" s="111"/>
      <c r="E47" s="111">
        <v>0</v>
      </c>
      <c r="F47" s="111"/>
      <c r="G47" s="111">
        <v>0</v>
      </c>
      <c r="H47" s="111"/>
      <c r="I47" s="111">
        <v>0</v>
      </c>
      <c r="J47" s="111"/>
      <c r="K47" s="111">
        <v>0</v>
      </c>
      <c r="L47" s="111"/>
      <c r="M47" s="111">
        <v>1246199</v>
      </c>
      <c r="N47" s="111"/>
      <c r="O47" s="111">
        <v>0</v>
      </c>
      <c r="P47" s="111"/>
      <c r="Q47" s="111">
        <f t="shared" si="1"/>
        <v>5040199</v>
      </c>
      <c r="R47" s="125"/>
      <c r="S47" s="111">
        <v>1204122</v>
      </c>
      <c r="T47" s="31"/>
      <c r="U47" s="83">
        <f>+Q47-'[1]St of Net Assets - GA'!M47-'[1]LT _Lia - GA'!S47</f>
        <v>0</v>
      </c>
    </row>
    <row r="48" spans="1:21" ht="12" customHeight="1">
      <c r="A48" s="29" t="s">
        <v>42</v>
      </c>
      <c r="B48" s="29"/>
      <c r="C48" s="111">
        <v>8645000</v>
      </c>
      <c r="D48" s="111"/>
      <c r="E48" s="111">
        <v>0</v>
      </c>
      <c r="F48" s="111"/>
      <c r="G48" s="111">
        <v>0</v>
      </c>
      <c r="H48" s="111"/>
      <c r="I48" s="111">
        <v>0</v>
      </c>
      <c r="J48" s="111"/>
      <c r="K48" s="111">
        <v>0</v>
      </c>
      <c r="L48" s="111"/>
      <c r="M48" s="111">
        <v>1730864</v>
      </c>
      <c r="N48" s="111"/>
      <c r="O48" s="111">
        <v>0</v>
      </c>
      <c r="P48" s="111"/>
      <c r="Q48" s="111">
        <f t="shared" si="1"/>
        <v>10375864</v>
      </c>
      <c r="R48" s="125"/>
      <c r="S48" s="111">
        <v>615726</v>
      </c>
      <c r="T48" s="31"/>
      <c r="U48" s="83">
        <f>+Q48-'[1]St of Net Assets - GA'!M48-'[1]LT _Lia - GA'!S48</f>
        <v>0</v>
      </c>
    </row>
    <row r="49" spans="1:21" ht="12" customHeight="1" hidden="1">
      <c r="A49" s="29" t="s">
        <v>219</v>
      </c>
      <c r="B49" s="29"/>
      <c r="C49" s="111">
        <v>0</v>
      </c>
      <c r="D49" s="111"/>
      <c r="E49" s="111">
        <v>0</v>
      </c>
      <c r="F49" s="111"/>
      <c r="G49" s="111">
        <v>0</v>
      </c>
      <c r="H49" s="111"/>
      <c r="I49" s="111">
        <v>0</v>
      </c>
      <c r="J49" s="111"/>
      <c r="K49" s="111">
        <v>0</v>
      </c>
      <c r="L49" s="111"/>
      <c r="M49" s="111">
        <v>0</v>
      </c>
      <c r="N49" s="111"/>
      <c r="O49" s="111">
        <v>0</v>
      </c>
      <c r="P49" s="111"/>
      <c r="Q49" s="111">
        <f t="shared" si="1"/>
        <v>0</v>
      </c>
      <c r="R49" s="125"/>
      <c r="S49" s="111">
        <v>0</v>
      </c>
      <c r="T49" s="31"/>
      <c r="U49" s="83">
        <f>+Q49-'[1]St of Net Assets - GA'!M49-'[1]LT _Lia - GA'!S49</f>
        <v>0</v>
      </c>
    </row>
    <row r="50" spans="1:21" ht="12" customHeight="1">
      <c r="A50" s="29" t="s">
        <v>43</v>
      </c>
      <c r="B50" s="29"/>
      <c r="C50" s="111">
        <v>22330547</v>
      </c>
      <c r="D50" s="111"/>
      <c r="E50" s="111">
        <v>0</v>
      </c>
      <c r="F50" s="111"/>
      <c r="G50" s="111">
        <v>3609724</v>
      </c>
      <c r="H50" s="111"/>
      <c r="I50" s="111">
        <v>268351</v>
      </c>
      <c r="J50" s="111"/>
      <c r="K50" s="111">
        <v>330885</v>
      </c>
      <c r="L50" s="111"/>
      <c r="M50" s="111">
        <v>2488701</v>
      </c>
      <c r="N50" s="111"/>
      <c r="O50" s="111">
        <v>1023914</v>
      </c>
      <c r="P50" s="111"/>
      <c r="Q50" s="111">
        <f t="shared" si="1"/>
        <v>30052122</v>
      </c>
      <c r="R50" s="125"/>
      <c r="S50" s="111">
        <v>2925205</v>
      </c>
      <c r="T50" s="31"/>
      <c r="U50" s="83">
        <f>+Q50-'[1]St of Net Assets - GA'!M50-'[1]LT _Lia - GA'!S50</f>
        <v>0</v>
      </c>
    </row>
    <row r="51" spans="1:21" ht="12" customHeight="1">
      <c r="A51" s="29" t="s">
        <v>44</v>
      </c>
      <c r="B51" s="29"/>
      <c r="C51" s="111">
        <v>9260000</v>
      </c>
      <c r="D51" s="111"/>
      <c r="E51" s="111">
        <v>0</v>
      </c>
      <c r="F51" s="111"/>
      <c r="G51" s="111">
        <v>0</v>
      </c>
      <c r="H51" s="111"/>
      <c r="I51" s="111">
        <f>304948+112609</f>
        <v>417557</v>
      </c>
      <c r="J51" s="111"/>
      <c r="K51" s="111">
        <v>71747</v>
      </c>
      <c r="L51" s="111"/>
      <c r="M51" s="111">
        <v>1080290</v>
      </c>
      <c r="N51" s="111"/>
      <c r="O51" s="111">
        <v>0</v>
      </c>
      <c r="P51" s="111"/>
      <c r="Q51" s="111">
        <f t="shared" si="1"/>
        <v>10829594</v>
      </c>
      <c r="R51" s="125"/>
      <c r="S51" s="111">
        <v>1512198</v>
      </c>
      <c r="T51" s="31"/>
      <c r="U51" s="83">
        <f>+Q51-'[1]St of Net Assets - GA'!M51-'[1]LT _Lia - GA'!S51</f>
        <v>0</v>
      </c>
    </row>
    <row r="52" spans="1:21" ht="12" customHeight="1">
      <c r="A52" s="29" t="s">
        <v>45</v>
      </c>
      <c r="B52" s="29"/>
      <c r="C52" s="111">
        <v>21685000</v>
      </c>
      <c r="D52" s="111"/>
      <c r="E52" s="111">
        <v>8891050</v>
      </c>
      <c r="F52" s="111"/>
      <c r="G52" s="111">
        <v>0</v>
      </c>
      <c r="H52" s="111"/>
      <c r="I52" s="111">
        <v>142500</v>
      </c>
      <c r="J52" s="111"/>
      <c r="K52" s="111">
        <v>0</v>
      </c>
      <c r="L52" s="111"/>
      <c r="M52" s="111">
        <v>11844738</v>
      </c>
      <c r="N52" s="111"/>
      <c r="O52" s="111">
        <v>0</v>
      </c>
      <c r="P52" s="111"/>
      <c r="Q52" s="111">
        <f>SUM(C52:O52)</f>
        <v>42563288</v>
      </c>
      <c r="R52" s="125"/>
      <c r="S52" s="111">
        <f>2693000+575200+15000+792413</f>
        <v>4075613</v>
      </c>
      <c r="T52" s="31"/>
      <c r="U52" s="83">
        <f>+Q52-'[1]St of Net Assets - GA'!M52-'[1]LT _Lia - GA'!S52</f>
        <v>0</v>
      </c>
    </row>
    <row r="53" spans="1:21" ht="12" customHeight="1" hidden="1">
      <c r="A53" s="29" t="s">
        <v>162</v>
      </c>
      <c r="B53" s="29"/>
      <c r="C53" s="111">
        <v>0</v>
      </c>
      <c r="D53" s="111"/>
      <c r="E53" s="111">
        <v>0</v>
      </c>
      <c r="F53" s="111"/>
      <c r="G53" s="111">
        <v>0</v>
      </c>
      <c r="H53" s="111"/>
      <c r="I53" s="111">
        <v>0</v>
      </c>
      <c r="J53" s="111"/>
      <c r="K53" s="111">
        <v>0</v>
      </c>
      <c r="L53" s="111"/>
      <c r="M53" s="111">
        <v>0</v>
      </c>
      <c r="N53" s="111"/>
      <c r="O53" s="111">
        <v>0</v>
      </c>
      <c r="P53" s="111"/>
      <c r="Q53" s="111">
        <f t="shared" si="1"/>
        <v>0</v>
      </c>
      <c r="R53" s="125"/>
      <c r="S53" s="111">
        <v>0</v>
      </c>
      <c r="T53" s="31"/>
      <c r="U53" s="83">
        <f>+Q53-'[1]St of Net Assets - GA'!M53-'[1]LT _Lia - GA'!S53</f>
        <v>0</v>
      </c>
    </row>
    <row r="54" spans="1:21" ht="12" customHeight="1">
      <c r="A54" s="29" t="s">
        <v>46</v>
      </c>
      <c r="B54" s="29"/>
      <c r="C54" s="111">
        <v>9237549</v>
      </c>
      <c r="D54" s="111"/>
      <c r="E54" s="111">
        <v>440181</v>
      </c>
      <c r="F54" s="111"/>
      <c r="G54" s="111">
        <v>0</v>
      </c>
      <c r="H54" s="111"/>
      <c r="I54" s="111">
        <v>0</v>
      </c>
      <c r="J54" s="111"/>
      <c r="K54" s="111">
        <v>91280</v>
      </c>
      <c r="L54" s="111"/>
      <c r="M54" s="111">
        <v>3780581</v>
      </c>
      <c r="N54" s="111"/>
      <c r="O54" s="111">
        <v>0</v>
      </c>
      <c r="P54" s="111"/>
      <c r="Q54" s="111">
        <f t="shared" si="1"/>
        <v>13549591</v>
      </c>
      <c r="R54" s="125"/>
      <c r="S54" s="111">
        <v>3076782</v>
      </c>
      <c r="T54" s="31"/>
      <c r="U54" s="83">
        <f>+Q54-'[1]St of Net Assets - GA'!M54-'[1]LT _Lia - GA'!S54</f>
        <v>0</v>
      </c>
    </row>
    <row r="55" spans="1:21" ht="12" customHeight="1">
      <c r="A55" s="29" t="s">
        <v>47</v>
      </c>
      <c r="B55" s="29"/>
      <c r="C55" s="111">
        <v>6050625</v>
      </c>
      <c r="D55" s="111"/>
      <c r="E55" s="111">
        <v>0</v>
      </c>
      <c r="F55" s="111"/>
      <c r="G55" s="111">
        <v>0</v>
      </c>
      <c r="H55" s="111"/>
      <c r="I55" s="111">
        <v>0</v>
      </c>
      <c r="J55" s="111"/>
      <c r="K55" s="111">
        <v>0</v>
      </c>
      <c r="L55" s="111"/>
      <c r="M55" s="111">
        <v>1348329</v>
      </c>
      <c r="N55" s="111"/>
      <c r="O55" s="111">
        <v>0</v>
      </c>
      <c r="P55" s="111"/>
      <c r="Q55" s="111">
        <f t="shared" si="1"/>
        <v>7398954</v>
      </c>
      <c r="R55" s="125"/>
      <c r="S55" s="111">
        <v>1330470</v>
      </c>
      <c r="T55" s="31"/>
      <c r="U55" s="83">
        <f>+Q55-'[1]St of Net Assets - GA'!M55-'[1]LT _Lia - GA'!S55</f>
        <v>0</v>
      </c>
    </row>
    <row r="56" spans="1:21" ht="12" customHeight="1">
      <c r="A56" s="29" t="s">
        <v>222</v>
      </c>
      <c r="B56" s="29"/>
      <c r="C56" s="111">
        <v>26435000</v>
      </c>
      <c r="D56" s="111"/>
      <c r="E56" s="111">
        <v>3781683</v>
      </c>
      <c r="F56" s="111"/>
      <c r="G56" s="111">
        <v>0</v>
      </c>
      <c r="H56" s="111"/>
      <c r="I56" s="111">
        <v>926918</v>
      </c>
      <c r="J56" s="111"/>
      <c r="K56" s="111">
        <v>0</v>
      </c>
      <c r="L56" s="111"/>
      <c r="M56" s="111">
        <v>16467460</v>
      </c>
      <c r="N56" s="111"/>
      <c r="O56" s="111">
        <v>0</v>
      </c>
      <c r="P56" s="111"/>
      <c r="Q56" s="111">
        <f t="shared" si="1"/>
        <v>47611061</v>
      </c>
      <c r="R56" s="125"/>
      <c r="S56" s="111">
        <v>7217201</v>
      </c>
      <c r="T56" s="31"/>
      <c r="U56" s="83">
        <f>+Q56-'[1]St of Net Assets - GA'!M56-'[1]LT _Lia - GA'!S56</f>
        <v>0</v>
      </c>
    </row>
    <row r="57" spans="1:21" ht="12" customHeight="1">
      <c r="A57" s="29" t="s">
        <v>172</v>
      </c>
      <c r="B57" s="29"/>
      <c r="C57" s="111">
        <v>25230000</v>
      </c>
      <c r="D57" s="111"/>
      <c r="E57" s="111">
        <v>17053000</v>
      </c>
      <c r="F57" s="111"/>
      <c r="G57" s="111">
        <v>0</v>
      </c>
      <c r="H57" s="111"/>
      <c r="I57" s="111">
        <f>626268+1735998</f>
        <v>2362266</v>
      </c>
      <c r="J57" s="111"/>
      <c r="K57" s="111">
        <v>27529</v>
      </c>
      <c r="L57" s="111"/>
      <c r="M57" s="111">
        <v>20806855</v>
      </c>
      <c r="N57" s="111"/>
      <c r="O57" s="111">
        <f>15825000+718600+12428650+10462769-330245</f>
        <v>39104774</v>
      </c>
      <c r="P57" s="111"/>
      <c r="Q57" s="111">
        <f t="shared" si="1"/>
        <v>104584424</v>
      </c>
      <c r="R57" s="125"/>
      <c r="S57" s="111">
        <v>25164889</v>
      </c>
      <c r="T57" s="31"/>
      <c r="U57" s="83">
        <f>+Q57-'[1]St of Net Assets - GA'!M57-'[1]LT _Lia - GA'!S57</f>
        <v>0</v>
      </c>
    </row>
    <row r="58" spans="1:21" ht="12" customHeight="1" hidden="1">
      <c r="A58" s="29" t="s">
        <v>49</v>
      </c>
      <c r="B58" s="29"/>
      <c r="C58" s="111">
        <v>0</v>
      </c>
      <c r="D58" s="111"/>
      <c r="E58" s="111">
        <v>0</v>
      </c>
      <c r="F58" s="111"/>
      <c r="G58" s="111">
        <v>0</v>
      </c>
      <c r="H58" s="111"/>
      <c r="I58" s="111">
        <v>0</v>
      </c>
      <c r="J58" s="111"/>
      <c r="K58" s="111">
        <v>0</v>
      </c>
      <c r="L58" s="111"/>
      <c r="M58" s="111">
        <v>0</v>
      </c>
      <c r="N58" s="111"/>
      <c r="O58" s="111">
        <v>0</v>
      </c>
      <c r="P58" s="111"/>
      <c r="Q58" s="111">
        <f t="shared" si="1"/>
        <v>0</v>
      </c>
      <c r="R58" s="125"/>
      <c r="S58" s="111">
        <v>0</v>
      </c>
      <c r="T58" s="31"/>
      <c r="U58" s="83">
        <f>+Q58-'[1]St of Net Assets - GA'!M58-'[1]LT _Lia - GA'!S58</f>
        <v>0</v>
      </c>
    </row>
    <row r="59" spans="1:21" ht="12" customHeight="1">
      <c r="A59" s="29" t="s">
        <v>50</v>
      </c>
      <c r="B59" s="29"/>
      <c r="C59" s="111">
        <v>34531755</v>
      </c>
      <c r="D59" s="111"/>
      <c r="E59" s="111">
        <v>0</v>
      </c>
      <c r="F59" s="111"/>
      <c r="G59" s="111">
        <v>392722</v>
      </c>
      <c r="H59" s="111"/>
      <c r="I59" s="111">
        <v>400490</v>
      </c>
      <c r="J59" s="111"/>
      <c r="K59" s="111">
        <v>1159899</v>
      </c>
      <c r="L59" s="111"/>
      <c r="M59" s="111">
        <v>7682100</v>
      </c>
      <c r="N59" s="111"/>
      <c r="O59" s="111">
        <f>1723469+459060</f>
        <v>2182529</v>
      </c>
      <c r="P59" s="111"/>
      <c r="Q59" s="111">
        <f t="shared" si="1"/>
        <v>46349495</v>
      </c>
      <c r="R59" s="125"/>
      <c r="S59" s="111">
        <v>10069016</v>
      </c>
      <c r="T59" s="31"/>
      <c r="U59" s="83">
        <f>+Q59-'[1]St of Net Assets - GA'!M59-'[1]LT _Lia - GA'!S59</f>
        <v>0</v>
      </c>
    </row>
    <row r="60" spans="1:21" ht="12" customHeight="1">
      <c r="A60" s="29" t="s">
        <v>51</v>
      </c>
      <c r="B60" s="29"/>
      <c r="C60" s="111">
        <f>8903237+43807-415588</f>
        <v>8531456</v>
      </c>
      <c r="D60" s="111"/>
      <c r="E60" s="111">
        <f>36763+388-429</f>
        <v>36722</v>
      </c>
      <c r="F60" s="111"/>
      <c r="G60" s="111">
        <v>0</v>
      </c>
      <c r="H60" s="111"/>
      <c r="I60" s="111">
        <v>32954</v>
      </c>
      <c r="J60" s="111"/>
      <c r="K60" s="111">
        <v>0</v>
      </c>
      <c r="L60" s="111"/>
      <c r="M60" s="111">
        <v>1682596</v>
      </c>
      <c r="N60" s="111"/>
      <c r="O60" s="111">
        <v>2488268</v>
      </c>
      <c r="P60" s="111"/>
      <c r="Q60" s="111">
        <f t="shared" si="1"/>
        <v>12771996</v>
      </c>
      <c r="R60" s="125"/>
      <c r="S60" s="111">
        <v>1281058</v>
      </c>
      <c r="T60" s="31"/>
      <c r="U60" s="83">
        <f>+Q60-'[1]St of Net Assets - GA'!M60-'[1]LT _Lia - GA'!S60</f>
        <v>0</v>
      </c>
    </row>
    <row r="61" spans="1:21" ht="12" customHeight="1">
      <c r="A61" s="29" t="s">
        <v>52</v>
      </c>
      <c r="B61" s="29"/>
      <c r="C61" s="111">
        <v>5600899</v>
      </c>
      <c r="D61" s="111"/>
      <c r="E61" s="111">
        <v>1405652</v>
      </c>
      <c r="F61" s="111"/>
      <c r="G61" s="111">
        <v>0</v>
      </c>
      <c r="H61" s="111"/>
      <c r="I61" s="111">
        <f>133863+113315+1147596</f>
        <v>1394774</v>
      </c>
      <c r="J61" s="111"/>
      <c r="K61" s="111">
        <v>0</v>
      </c>
      <c r="L61" s="111"/>
      <c r="M61" s="111">
        <v>4727638</v>
      </c>
      <c r="N61" s="111"/>
      <c r="O61" s="111">
        <v>0</v>
      </c>
      <c r="P61" s="111"/>
      <c r="Q61" s="111">
        <f t="shared" si="1"/>
        <v>13128963</v>
      </c>
      <c r="R61" s="125"/>
      <c r="S61" s="111">
        <v>2289484</v>
      </c>
      <c r="T61" s="31"/>
      <c r="U61" s="83">
        <f>+Q61-'[1]St of Net Assets - GA'!M61-'[1]LT _Lia - GA'!S61</f>
        <v>0</v>
      </c>
    </row>
    <row r="62" spans="1:21" ht="12" customHeight="1" hidden="1">
      <c r="A62" s="29" t="s">
        <v>163</v>
      </c>
      <c r="B62" s="29"/>
      <c r="C62" s="111">
        <v>0</v>
      </c>
      <c r="D62" s="111"/>
      <c r="E62" s="111">
        <v>0</v>
      </c>
      <c r="F62" s="111"/>
      <c r="G62" s="111">
        <v>0</v>
      </c>
      <c r="H62" s="111"/>
      <c r="I62" s="111">
        <v>0</v>
      </c>
      <c r="J62" s="111"/>
      <c r="K62" s="111">
        <v>0</v>
      </c>
      <c r="L62" s="111"/>
      <c r="M62" s="111">
        <v>0</v>
      </c>
      <c r="N62" s="111"/>
      <c r="O62" s="111">
        <v>0</v>
      </c>
      <c r="P62" s="111"/>
      <c r="Q62" s="111">
        <f t="shared" si="1"/>
        <v>0</v>
      </c>
      <c r="R62" s="125"/>
      <c r="S62" s="111">
        <v>0</v>
      </c>
      <c r="T62" s="31"/>
      <c r="U62" s="83">
        <f>+Q62-'[1]St of Net Assets - GA'!M62-'[1]LT _Lia - GA'!S62</f>
        <v>0</v>
      </c>
    </row>
    <row r="63" spans="1:21" ht="12" customHeight="1" hidden="1">
      <c r="A63" s="29" t="s">
        <v>53</v>
      </c>
      <c r="B63" s="29"/>
      <c r="C63" s="111">
        <v>0</v>
      </c>
      <c r="D63" s="111"/>
      <c r="E63" s="111">
        <v>0</v>
      </c>
      <c r="F63" s="111"/>
      <c r="G63" s="111">
        <v>0</v>
      </c>
      <c r="H63" s="111"/>
      <c r="I63" s="111">
        <v>0</v>
      </c>
      <c r="J63" s="111"/>
      <c r="K63" s="111">
        <v>0</v>
      </c>
      <c r="L63" s="111"/>
      <c r="M63" s="111">
        <v>0</v>
      </c>
      <c r="N63" s="111"/>
      <c r="O63" s="111">
        <v>0</v>
      </c>
      <c r="P63" s="111"/>
      <c r="Q63" s="111">
        <f t="shared" si="1"/>
        <v>0</v>
      </c>
      <c r="R63" s="125"/>
      <c r="S63" s="111">
        <v>0</v>
      </c>
      <c r="T63" s="31"/>
      <c r="U63" s="83">
        <f>+Q63-'[1]St of Net Assets - GA'!M63-'[1]LT _Lia - GA'!S63</f>
        <v>0</v>
      </c>
    </row>
    <row r="64" spans="1:21" ht="12" customHeight="1">
      <c r="A64" s="29" t="s">
        <v>54</v>
      </c>
      <c r="B64" s="29"/>
      <c r="C64" s="111">
        <v>4995000</v>
      </c>
      <c r="D64" s="111"/>
      <c r="E64" s="111">
        <v>0</v>
      </c>
      <c r="F64" s="111"/>
      <c r="G64" s="111">
        <v>0</v>
      </c>
      <c r="H64" s="111"/>
      <c r="I64" s="111">
        <v>0</v>
      </c>
      <c r="J64" s="111"/>
      <c r="K64" s="111">
        <v>114136</v>
      </c>
      <c r="L64" s="111"/>
      <c r="M64" s="111">
        <v>3010328</v>
      </c>
      <c r="N64" s="111"/>
      <c r="O64" s="111">
        <v>1651248</v>
      </c>
      <c r="P64" s="111"/>
      <c r="Q64" s="111">
        <f t="shared" si="1"/>
        <v>9770712</v>
      </c>
      <c r="R64" s="125"/>
      <c r="S64" s="111">
        <v>2308261</v>
      </c>
      <c r="T64" s="31"/>
      <c r="U64" s="83">
        <f>+Q64-'[1]St of Net Assets - GA'!M64-'[1]LT _Lia - GA'!S64</f>
        <v>0</v>
      </c>
    </row>
    <row r="65" spans="1:21" ht="12" customHeight="1">
      <c r="A65" s="29" t="s">
        <v>55</v>
      </c>
      <c r="B65" s="29"/>
      <c r="C65" s="111">
        <v>232427</v>
      </c>
      <c r="D65" s="111"/>
      <c r="E65" s="111">
        <v>0</v>
      </c>
      <c r="F65" s="111"/>
      <c r="G65" s="111">
        <v>0</v>
      </c>
      <c r="H65" s="111"/>
      <c r="I65" s="111">
        <v>4644</v>
      </c>
      <c r="J65" s="111"/>
      <c r="K65" s="111">
        <v>0</v>
      </c>
      <c r="L65" s="111"/>
      <c r="M65" s="111">
        <v>460836</v>
      </c>
      <c r="N65" s="111"/>
      <c r="O65" s="111">
        <v>2398</v>
      </c>
      <c r="P65" s="111"/>
      <c r="Q65" s="111">
        <f t="shared" si="1"/>
        <v>700305</v>
      </c>
      <c r="R65" s="125"/>
      <c r="S65" s="111">
        <v>173944</v>
      </c>
      <c r="T65" s="31"/>
      <c r="U65" s="83">
        <f>+Q65-'[1]St of Net Assets - GA'!M65-'[1]LT _Lia - GA'!S65</f>
        <v>0</v>
      </c>
    </row>
    <row r="66" spans="1:21" ht="12" customHeight="1">
      <c r="A66" s="29" t="s">
        <v>56</v>
      </c>
      <c r="B66" s="29"/>
      <c r="C66" s="28">
        <v>42360304</v>
      </c>
      <c r="D66" s="28"/>
      <c r="E66" s="28">
        <v>1337844</v>
      </c>
      <c r="F66" s="28"/>
      <c r="G66" s="28">
        <v>0</v>
      </c>
      <c r="H66" s="28"/>
      <c r="I66" s="28">
        <v>0</v>
      </c>
      <c r="J66" s="28"/>
      <c r="K66" s="28">
        <v>720537</v>
      </c>
      <c r="L66" s="28"/>
      <c r="M66" s="28">
        <v>21469899</v>
      </c>
      <c r="N66" s="28"/>
      <c r="O66" s="28">
        <v>0</v>
      </c>
      <c r="P66" s="28"/>
      <c r="Q66" s="28">
        <f>SUM(C66:O66)</f>
        <v>65888584</v>
      </c>
      <c r="R66" s="34"/>
      <c r="S66" s="28">
        <v>256123</v>
      </c>
      <c r="U66" s="78" t="e">
        <f>+Q66-'St of Net Assets - GA'!#REF!-'LT _Lia - GA'!S66</f>
        <v>#REF!</v>
      </c>
    </row>
    <row r="67" spans="1:21" ht="12" customHeight="1" hidden="1">
      <c r="A67" s="29" t="s">
        <v>57</v>
      </c>
      <c r="B67" s="29"/>
      <c r="C67" s="28">
        <v>0</v>
      </c>
      <c r="D67" s="28"/>
      <c r="E67" s="28">
        <v>0</v>
      </c>
      <c r="F67" s="28"/>
      <c r="G67" s="28">
        <v>0</v>
      </c>
      <c r="H67" s="28"/>
      <c r="I67" s="28">
        <v>0</v>
      </c>
      <c r="J67" s="28"/>
      <c r="K67" s="28">
        <v>0</v>
      </c>
      <c r="L67" s="28"/>
      <c r="M67" s="28">
        <v>0</v>
      </c>
      <c r="N67" s="28"/>
      <c r="O67" s="28">
        <v>0</v>
      </c>
      <c r="P67" s="28"/>
      <c r="Q67" s="28">
        <f t="shared" si="1"/>
        <v>0</v>
      </c>
      <c r="R67" s="34"/>
      <c r="S67" s="28">
        <v>0</v>
      </c>
      <c r="U67" s="78" t="e">
        <f>+Q67-'St of Net Assets - GA'!#REF!-'LT _Lia - GA'!S67</f>
        <v>#REF!</v>
      </c>
    </row>
    <row r="68" spans="1:21" ht="12" customHeight="1">
      <c r="A68" s="29" t="s">
        <v>93</v>
      </c>
      <c r="B68" s="29"/>
      <c r="C68" s="28">
        <v>5900000</v>
      </c>
      <c r="D68" s="28"/>
      <c r="E68" s="28">
        <v>0</v>
      </c>
      <c r="F68" s="28"/>
      <c r="G68" s="28">
        <v>1760000</v>
      </c>
      <c r="H68" s="28"/>
      <c r="I68" s="28">
        <f>736000+85393</f>
        <v>821393</v>
      </c>
      <c r="J68" s="28"/>
      <c r="K68" s="28">
        <v>155728</v>
      </c>
      <c r="L68" s="28"/>
      <c r="M68" s="28">
        <v>833700</v>
      </c>
      <c r="N68" s="28"/>
      <c r="O68" s="28">
        <v>-30347</v>
      </c>
      <c r="P68" s="28"/>
      <c r="Q68" s="28">
        <f t="shared" si="1"/>
        <v>9440474</v>
      </c>
      <c r="R68" s="34"/>
      <c r="S68" s="28">
        <v>2347721</v>
      </c>
      <c r="U68" s="78" t="e">
        <f>+Q68-'St of Net Assets - GA'!#REF!-'LT _Lia - GA'!S68</f>
        <v>#REF!</v>
      </c>
    </row>
    <row r="69" spans="1:21" ht="12" customHeight="1">
      <c r="A69" s="29" t="s">
        <v>58</v>
      </c>
      <c r="B69" s="29"/>
      <c r="C69" s="28">
        <v>12050810</v>
      </c>
      <c r="D69" s="28"/>
      <c r="E69" s="28">
        <v>780669</v>
      </c>
      <c r="F69" s="28"/>
      <c r="G69" s="28">
        <v>844000</v>
      </c>
      <c r="H69" s="28"/>
      <c r="I69" s="28">
        <v>0</v>
      </c>
      <c r="J69" s="28"/>
      <c r="K69" s="28">
        <v>327508</v>
      </c>
      <c r="L69" s="28"/>
      <c r="M69" s="28">
        <v>3693519</v>
      </c>
      <c r="N69" s="28"/>
      <c r="O69" s="28">
        <f>181970+10459447+611425</f>
        <v>11252842</v>
      </c>
      <c r="P69" s="28"/>
      <c r="Q69" s="28">
        <f t="shared" si="1"/>
        <v>28949348</v>
      </c>
      <c r="R69" s="34"/>
      <c r="S69" s="28">
        <v>4449969</v>
      </c>
      <c r="U69" s="78" t="e">
        <f>+Q69-'St of Net Assets - GA'!#REF!-'LT _Lia - GA'!S69</f>
        <v>#REF!</v>
      </c>
    </row>
    <row r="70" spans="1:21" s="25" customFormat="1" ht="12" customHeight="1">
      <c r="A70" s="29" t="s">
        <v>59</v>
      </c>
      <c r="B70" s="29"/>
      <c r="C70" s="28">
        <v>700000</v>
      </c>
      <c r="D70" s="28"/>
      <c r="E70" s="28">
        <v>0</v>
      </c>
      <c r="F70" s="28"/>
      <c r="G70" s="28">
        <v>0</v>
      </c>
      <c r="H70" s="28"/>
      <c r="I70" s="28">
        <v>0</v>
      </c>
      <c r="J70" s="28"/>
      <c r="K70" s="28">
        <v>11612</v>
      </c>
      <c r="L70" s="28"/>
      <c r="M70" s="28">
        <v>0</v>
      </c>
      <c r="N70" s="28"/>
      <c r="O70" s="28">
        <v>582924</v>
      </c>
      <c r="P70" s="28"/>
      <c r="Q70" s="28">
        <f t="shared" si="1"/>
        <v>1294536</v>
      </c>
      <c r="R70" s="34"/>
      <c r="S70" s="28">
        <v>255840</v>
      </c>
      <c r="T70" s="35"/>
      <c r="U70" s="78" t="e">
        <f>+Q70-'St of Net Assets - GA'!#REF!-'LT _Lia - GA'!S70</f>
        <v>#REF!</v>
      </c>
    </row>
    <row r="71" spans="1:21" ht="12" customHeight="1">
      <c r="A71" s="29" t="s">
        <v>60</v>
      </c>
      <c r="B71" s="29"/>
      <c r="C71" s="28">
        <v>8265995</v>
      </c>
      <c r="D71" s="28"/>
      <c r="E71" s="28">
        <v>2372117</v>
      </c>
      <c r="F71" s="28"/>
      <c r="G71" s="28">
        <v>0</v>
      </c>
      <c r="H71" s="28"/>
      <c r="I71" s="28">
        <f>12127940+526620</f>
        <v>12654560</v>
      </c>
      <c r="J71" s="28"/>
      <c r="K71" s="28">
        <v>17018</v>
      </c>
      <c r="L71" s="28"/>
      <c r="M71" s="28">
        <v>1550485</v>
      </c>
      <c r="N71" s="28"/>
      <c r="O71" s="28">
        <v>0</v>
      </c>
      <c r="P71" s="28"/>
      <c r="Q71" s="28">
        <f t="shared" si="1"/>
        <v>24860175</v>
      </c>
      <c r="R71" s="34"/>
      <c r="S71" s="28">
        <v>3182066</v>
      </c>
      <c r="U71" s="78" t="e">
        <f>+Q71-'St of Net Assets - GA'!#REF!-'LT _Lia - GA'!S71</f>
        <v>#REF!</v>
      </c>
    </row>
    <row r="72" spans="1:21" ht="12" customHeight="1" hidden="1">
      <c r="A72" s="29" t="s">
        <v>128</v>
      </c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>
        <f t="shared" si="1"/>
        <v>0</v>
      </c>
      <c r="R72" s="34"/>
      <c r="S72" s="28"/>
      <c r="U72" s="78" t="e">
        <f>+Q72-'St of Net Assets - GA'!#REF!-'LT _Lia - GA'!S72</f>
        <v>#REF!</v>
      </c>
    </row>
    <row r="73" spans="1:21" ht="12" customHeight="1" hidden="1">
      <c r="A73" s="29" t="s">
        <v>61</v>
      </c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>
        <f t="shared" si="1"/>
        <v>0</v>
      </c>
      <c r="R73" s="34"/>
      <c r="S73" s="28"/>
      <c r="U73" s="78" t="e">
        <f>+Q73-'St of Net Assets - GA'!#REF!-'LT _Lia - GA'!S73</f>
        <v>#REF!</v>
      </c>
    </row>
    <row r="74" spans="1:21" s="78" customFormat="1" ht="12" customHeight="1">
      <c r="A74" s="23" t="s">
        <v>62</v>
      </c>
      <c r="B74" s="23"/>
      <c r="C74" s="28">
        <f>430000+43522+30400</f>
        <v>503922</v>
      </c>
      <c r="D74" s="28"/>
      <c r="E74" s="28">
        <f>108000+88000</f>
        <v>196000</v>
      </c>
      <c r="F74" s="28"/>
      <c r="G74" s="28">
        <v>0</v>
      </c>
      <c r="H74" s="28"/>
      <c r="I74" s="28">
        <v>0</v>
      </c>
      <c r="J74" s="28"/>
      <c r="K74" s="28">
        <v>85936</v>
      </c>
      <c r="L74" s="28"/>
      <c r="M74" s="28">
        <v>1455238</v>
      </c>
      <c r="N74" s="28"/>
      <c r="O74" s="28">
        <v>0</v>
      </c>
      <c r="P74" s="28"/>
      <c r="Q74" s="28">
        <f t="shared" si="1"/>
        <v>2241096</v>
      </c>
      <c r="R74" s="28"/>
      <c r="S74" s="28">
        <v>1377092</v>
      </c>
      <c r="U74" s="78" t="e">
        <f>+Q74-'St of Net Assets - GA'!#REF!-'LT _Lia - GA'!S74</f>
        <v>#REF!</v>
      </c>
    </row>
    <row r="75" spans="1:21" ht="12" customHeight="1">
      <c r="A75" s="29" t="s">
        <v>63</v>
      </c>
      <c r="B75" s="29"/>
      <c r="C75" s="28">
        <v>2701330</v>
      </c>
      <c r="D75" s="28"/>
      <c r="E75" s="28">
        <v>0</v>
      </c>
      <c r="F75" s="28"/>
      <c r="G75" s="28">
        <v>0</v>
      </c>
      <c r="H75" s="28"/>
      <c r="I75" s="111">
        <f>140000+270203</f>
        <v>410203</v>
      </c>
      <c r="J75" s="28"/>
      <c r="K75" s="28">
        <v>416634</v>
      </c>
      <c r="L75" s="28"/>
      <c r="M75" s="28">
        <v>658885</v>
      </c>
      <c r="N75" s="28"/>
      <c r="O75" s="28">
        <v>806505</v>
      </c>
      <c r="P75" s="28"/>
      <c r="Q75" s="28">
        <f t="shared" si="1"/>
        <v>4993557</v>
      </c>
      <c r="R75" s="34"/>
      <c r="S75" s="28">
        <v>492590</v>
      </c>
      <c r="U75" s="78" t="e">
        <f>+Q75-'St of Net Assets - GA'!#REF!-'LT _Lia - GA'!S75</f>
        <v>#REF!</v>
      </c>
    </row>
    <row r="76" spans="1:21" ht="12" customHeight="1">
      <c r="A76" s="29" t="s">
        <v>64</v>
      </c>
      <c r="B76" s="29"/>
      <c r="C76" s="28">
        <v>13981721</v>
      </c>
      <c r="D76" s="28"/>
      <c r="E76" s="28">
        <v>1072358</v>
      </c>
      <c r="F76" s="28"/>
      <c r="G76" s="28">
        <v>0</v>
      </c>
      <c r="H76" s="28"/>
      <c r="I76" s="28">
        <v>509020</v>
      </c>
      <c r="J76" s="28"/>
      <c r="K76" s="28">
        <v>0</v>
      </c>
      <c r="L76" s="28"/>
      <c r="M76" s="28">
        <v>4715423</v>
      </c>
      <c r="N76" s="28"/>
      <c r="O76" s="28">
        <v>2243677</v>
      </c>
      <c r="P76" s="28"/>
      <c r="Q76" s="28">
        <f t="shared" si="1"/>
        <v>22522199</v>
      </c>
      <c r="R76" s="34"/>
      <c r="S76" s="28">
        <v>4013078</v>
      </c>
      <c r="U76" s="78" t="e">
        <f>+Q76-'St of Net Assets - GA'!#REF!-'LT _Lia - GA'!S76</f>
        <v>#REF!</v>
      </c>
    </row>
    <row r="77" spans="1:21" ht="12" customHeight="1" hidden="1">
      <c r="A77" s="29" t="s">
        <v>65</v>
      </c>
      <c r="B77" s="29"/>
      <c r="C77" s="28">
        <v>0</v>
      </c>
      <c r="D77" s="28"/>
      <c r="E77" s="28">
        <v>0</v>
      </c>
      <c r="F77" s="28"/>
      <c r="G77" s="28">
        <v>0</v>
      </c>
      <c r="H77" s="28"/>
      <c r="I77" s="28">
        <v>0</v>
      </c>
      <c r="J77" s="28"/>
      <c r="K77" s="28">
        <v>0</v>
      </c>
      <c r="L77" s="28"/>
      <c r="M77" s="28">
        <v>0</v>
      </c>
      <c r="N77" s="28"/>
      <c r="O77" s="28">
        <v>0</v>
      </c>
      <c r="P77" s="28"/>
      <c r="Q77" s="28">
        <f t="shared" si="1"/>
        <v>0</v>
      </c>
      <c r="R77" s="34"/>
      <c r="S77" s="28">
        <v>0</v>
      </c>
      <c r="U77" s="78" t="e">
        <f>+Q77-'St of Net Assets - GA'!#REF!-'LT _Lia - GA'!S77</f>
        <v>#REF!</v>
      </c>
    </row>
    <row r="78" spans="1:21" ht="12" customHeight="1">
      <c r="A78" s="29"/>
      <c r="B78" s="2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34"/>
      <c r="S78" s="28"/>
      <c r="U78" s="78"/>
    </row>
    <row r="79" spans="1:21" ht="12" customHeight="1">
      <c r="A79" s="29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 t="s">
        <v>224</v>
      </c>
      <c r="R79" s="34"/>
      <c r="S79" s="28"/>
      <c r="U79" s="78"/>
    </row>
    <row r="80" spans="1:21" ht="12" customHeight="1" hidden="1">
      <c r="A80" s="29" t="s">
        <v>167</v>
      </c>
      <c r="B80" s="29"/>
      <c r="C80" s="28">
        <v>0</v>
      </c>
      <c r="D80" s="28"/>
      <c r="E80" s="28">
        <v>0</v>
      </c>
      <c r="F80" s="28"/>
      <c r="G80" s="28">
        <v>0</v>
      </c>
      <c r="H80" s="28"/>
      <c r="I80" s="28">
        <v>0</v>
      </c>
      <c r="J80" s="28"/>
      <c r="K80" s="28">
        <v>0</v>
      </c>
      <c r="L80" s="28"/>
      <c r="M80" s="28">
        <v>0</v>
      </c>
      <c r="N80" s="28"/>
      <c r="O80" s="28">
        <v>0</v>
      </c>
      <c r="P80" s="28"/>
      <c r="Q80" s="28">
        <f t="shared" si="1"/>
        <v>0</v>
      </c>
      <c r="R80" s="34"/>
      <c r="S80" s="28">
        <v>0</v>
      </c>
      <c r="U80" s="78" t="e">
        <f>+Q80-'St of Net Assets - GA'!#REF!-'LT _Lia - GA'!S80</f>
        <v>#REF!</v>
      </c>
    </row>
    <row r="81" spans="1:21" s="99" customFormat="1" ht="12" customHeight="1">
      <c r="A81" s="41" t="s">
        <v>169</v>
      </c>
      <c r="B81" s="41"/>
      <c r="C81" s="42">
        <f>15572096+22822277</f>
        <v>38394373</v>
      </c>
      <c r="D81" s="42"/>
      <c r="E81" s="42">
        <v>6074738</v>
      </c>
      <c r="F81" s="42"/>
      <c r="G81" s="42">
        <v>0</v>
      </c>
      <c r="H81" s="42"/>
      <c r="I81" s="42">
        <v>0</v>
      </c>
      <c r="J81" s="42"/>
      <c r="K81" s="42">
        <v>0</v>
      </c>
      <c r="L81" s="42"/>
      <c r="M81" s="42">
        <v>4740933</v>
      </c>
      <c r="N81" s="42"/>
      <c r="O81" s="42">
        <v>0</v>
      </c>
      <c r="P81" s="42"/>
      <c r="Q81" s="42">
        <f t="shared" si="1"/>
        <v>49210044</v>
      </c>
      <c r="R81" s="42"/>
      <c r="S81" s="42">
        <v>4793949</v>
      </c>
      <c r="U81" s="99" t="e">
        <f>+Q81-'St of Net Assets - GA'!#REF!-'LT _Lia - GA'!S81</f>
        <v>#REF!</v>
      </c>
    </row>
    <row r="82" spans="1:21" ht="12" customHeight="1">
      <c r="A82" s="29" t="s">
        <v>66</v>
      </c>
      <c r="B82" s="29"/>
      <c r="C82" s="28">
        <f>2545000+13205+5800000+1375000</f>
        <v>9733205</v>
      </c>
      <c r="D82" s="28"/>
      <c r="E82" s="28">
        <v>3300000</v>
      </c>
      <c r="F82" s="28"/>
      <c r="G82" s="28">
        <v>0</v>
      </c>
      <c r="H82" s="28"/>
      <c r="I82" s="28">
        <v>658915</v>
      </c>
      <c r="J82" s="28"/>
      <c r="K82" s="28">
        <v>89707</v>
      </c>
      <c r="L82" s="28"/>
      <c r="M82" s="28">
        <v>2186228</v>
      </c>
      <c r="N82" s="28"/>
      <c r="O82" s="28">
        <v>0</v>
      </c>
      <c r="P82" s="28"/>
      <c r="Q82" s="28">
        <f t="shared" si="1"/>
        <v>15968055</v>
      </c>
      <c r="R82" s="34"/>
      <c r="S82" s="28">
        <v>2098987</v>
      </c>
      <c r="U82" s="78" t="e">
        <f>+Q82-'St of Net Assets - GA'!#REF!-'LT _Lia - GA'!S82</f>
        <v>#REF!</v>
      </c>
    </row>
    <row r="83" spans="1:21" ht="12" customHeight="1">
      <c r="A83" s="29" t="s">
        <v>94</v>
      </c>
      <c r="B83" s="29"/>
      <c r="C83" s="28">
        <v>4340000</v>
      </c>
      <c r="D83" s="28"/>
      <c r="E83" s="28">
        <v>212102</v>
      </c>
      <c r="F83" s="28"/>
      <c r="G83" s="28">
        <v>155000</v>
      </c>
      <c r="H83" s="28"/>
      <c r="I83" s="28">
        <v>0</v>
      </c>
      <c r="J83" s="28"/>
      <c r="K83" s="28">
        <v>70017</v>
      </c>
      <c r="L83" s="28"/>
      <c r="M83" s="28">
        <v>2398923</v>
      </c>
      <c r="N83" s="28"/>
      <c r="O83" s="28">
        <v>0</v>
      </c>
      <c r="P83" s="28"/>
      <c r="Q83" s="28">
        <f t="shared" si="1"/>
        <v>7176042</v>
      </c>
      <c r="R83" s="34"/>
      <c r="S83" s="28">
        <v>1665328</v>
      </c>
      <c r="U83" s="78" t="e">
        <f>+Q83-'St of Net Assets - GA'!#REF!-'LT _Lia - GA'!S83</f>
        <v>#REF!</v>
      </c>
    </row>
    <row r="84" spans="1:21" ht="12" customHeight="1">
      <c r="A84" s="29" t="s">
        <v>67</v>
      </c>
      <c r="B84" s="29"/>
      <c r="C84" s="28">
        <v>11984118</v>
      </c>
      <c r="D84" s="28"/>
      <c r="E84" s="28">
        <v>0</v>
      </c>
      <c r="F84" s="28"/>
      <c r="G84" s="28">
        <v>0</v>
      </c>
      <c r="H84" s="28"/>
      <c r="I84" s="28">
        <f>32500+287286+14228</f>
        <v>334014</v>
      </c>
      <c r="J84" s="28"/>
      <c r="K84" s="28">
        <v>2887026</v>
      </c>
      <c r="L84" s="28"/>
      <c r="M84" s="28">
        <v>1955151</v>
      </c>
      <c r="N84" s="28"/>
      <c r="O84" s="28">
        <v>0</v>
      </c>
      <c r="P84" s="28"/>
      <c r="Q84" s="28">
        <f t="shared" si="1"/>
        <v>17160309</v>
      </c>
      <c r="R84" s="34"/>
      <c r="S84" s="28">
        <v>2569581</v>
      </c>
      <c r="U84" s="78" t="e">
        <f>+Q84-'St of Net Assets - GA'!#REF!-'LT _Lia - GA'!S84</f>
        <v>#REF!</v>
      </c>
    </row>
    <row r="85" spans="1:21" ht="12" customHeight="1">
      <c r="A85" s="29" t="s">
        <v>68</v>
      </c>
      <c r="B85" s="29"/>
      <c r="C85" s="28">
        <v>5070000</v>
      </c>
      <c r="D85" s="28"/>
      <c r="E85" s="28">
        <v>0</v>
      </c>
      <c r="F85" s="28"/>
      <c r="G85" s="28">
        <v>546000</v>
      </c>
      <c r="H85" s="28"/>
      <c r="I85" s="28">
        <v>77056</v>
      </c>
      <c r="J85" s="28"/>
      <c r="K85" s="28">
        <v>13686</v>
      </c>
      <c r="L85" s="28"/>
      <c r="M85" s="28">
        <v>1790554</v>
      </c>
      <c r="N85" s="28"/>
      <c r="O85" s="28">
        <v>0</v>
      </c>
      <c r="P85" s="28"/>
      <c r="Q85" s="28">
        <f t="shared" si="1"/>
        <v>7497296</v>
      </c>
      <c r="R85" s="34"/>
      <c r="S85" s="28">
        <v>1358331</v>
      </c>
      <c r="U85" s="78" t="e">
        <f>+Q85-'St of Net Assets - GA'!#REF!-'LT _Lia - GA'!S85</f>
        <v>#REF!</v>
      </c>
    </row>
    <row r="86" spans="1:21" ht="12" customHeight="1">
      <c r="A86" s="29" t="s">
        <v>69</v>
      </c>
      <c r="B86" s="29"/>
      <c r="C86" s="28">
        <v>374000</v>
      </c>
      <c r="D86" s="28"/>
      <c r="E86" s="28">
        <v>0</v>
      </c>
      <c r="F86" s="28"/>
      <c r="G86" s="28">
        <v>46372</v>
      </c>
      <c r="H86" s="28"/>
      <c r="I86" s="28">
        <v>17742</v>
      </c>
      <c r="J86" s="28"/>
      <c r="K86" s="28">
        <v>776056</v>
      </c>
      <c r="L86" s="28"/>
      <c r="M86" s="28">
        <v>1691040</v>
      </c>
      <c r="N86" s="28"/>
      <c r="O86" s="28">
        <v>0</v>
      </c>
      <c r="P86" s="28"/>
      <c r="Q86" s="28">
        <f t="shared" si="1"/>
        <v>2905210</v>
      </c>
      <c r="R86" s="34"/>
      <c r="S86" s="28">
        <v>456234</v>
      </c>
      <c r="U86" s="78" t="e">
        <f>+Q86-'St of Net Assets - GA'!#REF!-'LT _Lia - GA'!S86</f>
        <v>#REF!</v>
      </c>
    </row>
    <row r="87" spans="1:21" ht="12" customHeight="1">
      <c r="A87" s="29" t="s">
        <v>70</v>
      </c>
      <c r="B87" s="29"/>
      <c r="C87" s="28">
        <v>0</v>
      </c>
      <c r="D87" s="28"/>
      <c r="E87" s="28">
        <v>4359512</v>
      </c>
      <c r="F87" s="28"/>
      <c r="G87" s="28">
        <v>0</v>
      </c>
      <c r="H87" s="28"/>
      <c r="I87" s="28">
        <v>3529956</v>
      </c>
      <c r="J87" s="28"/>
      <c r="K87" s="28">
        <v>55130</v>
      </c>
      <c r="L87" s="28"/>
      <c r="M87" s="28">
        <v>8013502</v>
      </c>
      <c r="N87" s="28"/>
      <c r="O87" s="28">
        <v>0</v>
      </c>
      <c r="P87" s="28"/>
      <c r="Q87" s="28">
        <f t="shared" si="1"/>
        <v>15958100</v>
      </c>
      <c r="R87" s="34"/>
      <c r="S87" s="28">
        <v>5927607</v>
      </c>
      <c r="U87" s="78" t="e">
        <f>+Q87-'St of Net Assets - GA'!#REF!-'LT _Lia - GA'!S87</f>
        <v>#REF!</v>
      </c>
    </row>
    <row r="88" spans="1:21" ht="12" customHeight="1">
      <c r="A88" s="29" t="s">
        <v>71</v>
      </c>
      <c r="B88" s="29"/>
      <c r="C88" s="28">
        <v>54833969</v>
      </c>
      <c r="D88" s="28"/>
      <c r="E88" s="28">
        <v>0</v>
      </c>
      <c r="F88" s="28"/>
      <c r="G88" s="28">
        <v>0</v>
      </c>
      <c r="H88" s="28"/>
      <c r="I88" s="28">
        <v>0</v>
      </c>
      <c r="J88" s="28"/>
      <c r="K88" s="28">
        <v>2034972</v>
      </c>
      <c r="L88" s="28"/>
      <c r="M88" s="28">
        <v>22086482</v>
      </c>
      <c r="N88" s="28"/>
      <c r="O88" s="28">
        <f>93772248-78955423</f>
        <v>14816825</v>
      </c>
      <c r="P88" s="28"/>
      <c r="Q88" s="28">
        <f t="shared" si="1"/>
        <v>93772248</v>
      </c>
      <c r="R88" s="34"/>
      <c r="S88" s="28">
        <v>13770059</v>
      </c>
      <c r="U88" s="78" t="e">
        <f>+Q88-'St of Net Assets - GA'!#REF!-'LT _Lia - GA'!S88</f>
        <v>#REF!</v>
      </c>
    </row>
    <row r="89" spans="1:21" ht="12" customHeight="1">
      <c r="A89" s="29" t="s">
        <v>72</v>
      </c>
      <c r="B89" s="29"/>
      <c r="C89" s="28">
        <v>19871460</v>
      </c>
      <c r="D89" s="28"/>
      <c r="E89" s="28">
        <f>4440000+2323682</f>
        <v>6763682</v>
      </c>
      <c r="F89" s="28"/>
      <c r="G89" s="28">
        <v>2155000</v>
      </c>
      <c r="H89" s="28"/>
      <c r="I89" s="28">
        <v>2014861</v>
      </c>
      <c r="J89" s="28"/>
      <c r="K89" s="28">
        <v>613137</v>
      </c>
      <c r="L89" s="28"/>
      <c r="M89" s="28">
        <v>5641123</v>
      </c>
      <c r="N89" s="28"/>
      <c r="O89" s="28">
        <f>1187158+709478</f>
        <v>1896636</v>
      </c>
      <c r="P89" s="28"/>
      <c r="Q89" s="28">
        <f t="shared" si="1"/>
        <v>38955899</v>
      </c>
      <c r="R89" s="34"/>
      <c r="S89" s="28">
        <v>3394761</v>
      </c>
      <c r="U89" s="78" t="e">
        <f>+Q89-'St of Net Assets - GA'!#REF!-'LT _Lia - GA'!S89</f>
        <v>#REF!</v>
      </c>
    </row>
    <row r="90" spans="1:21" ht="12" customHeight="1">
      <c r="A90" s="29" t="s">
        <v>73</v>
      </c>
      <c r="B90" s="29"/>
      <c r="C90" s="28">
        <v>0</v>
      </c>
      <c r="D90" s="28"/>
      <c r="E90" s="28">
        <v>0</v>
      </c>
      <c r="F90" s="28"/>
      <c r="G90" s="28">
        <v>902000</v>
      </c>
      <c r="H90" s="28"/>
      <c r="I90" s="28">
        <v>0</v>
      </c>
      <c r="J90" s="28"/>
      <c r="K90" s="28">
        <v>22555</v>
      </c>
      <c r="L90" s="28"/>
      <c r="M90" s="28">
        <v>1747197</v>
      </c>
      <c r="N90" s="28"/>
      <c r="O90" s="28">
        <v>0</v>
      </c>
      <c r="P90" s="28"/>
      <c r="Q90" s="28">
        <f t="shared" si="1"/>
        <v>2671752</v>
      </c>
      <c r="R90" s="34"/>
      <c r="S90" s="28">
        <v>938654</v>
      </c>
      <c r="U90" s="78" t="e">
        <f>+Q90-'St of Net Assets - GA'!#REF!-'LT _Lia - GA'!S90</f>
        <v>#REF!</v>
      </c>
    </row>
    <row r="91" spans="1:21" ht="12" customHeight="1">
      <c r="A91" s="29" t="s">
        <v>74</v>
      </c>
      <c r="B91" s="29"/>
      <c r="C91" s="28">
        <v>2445000</v>
      </c>
      <c r="D91" s="28"/>
      <c r="E91" s="28">
        <v>4420000</v>
      </c>
      <c r="F91" s="28"/>
      <c r="G91" s="28">
        <v>3000000</v>
      </c>
      <c r="H91" s="28"/>
      <c r="I91" s="28">
        <v>45336</v>
      </c>
      <c r="J91" s="28"/>
      <c r="K91" s="28">
        <v>0</v>
      </c>
      <c r="L91" s="28"/>
      <c r="M91" s="28">
        <v>1283804</v>
      </c>
      <c r="N91" s="28"/>
      <c r="O91" s="28">
        <v>0</v>
      </c>
      <c r="P91" s="28"/>
      <c r="Q91" s="28">
        <f t="shared" si="1"/>
        <v>11194140</v>
      </c>
      <c r="R91" s="34"/>
      <c r="S91" s="28">
        <v>4924179</v>
      </c>
      <c r="U91" s="78" t="e">
        <f>+Q91-'St of Net Assets - GA'!#REF!-'LT _Lia - GA'!S91</f>
        <v>#REF!</v>
      </c>
    </row>
    <row r="92" spans="1:21" ht="12" customHeight="1">
      <c r="A92" s="29" t="s">
        <v>75</v>
      </c>
      <c r="B92" s="29"/>
      <c r="C92" s="28">
        <v>4265000</v>
      </c>
      <c r="D92" s="28"/>
      <c r="E92" s="28">
        <v>0</v>
      </c>
      <c r="F92" s="28"/>
      <c r="G92" s="28">
        <v>1923987</v>
      </c>
      <c r="H92" s="28"/>
      <c r="I92" s="28">
        <v>485111</v>
      </c>
      <c r="J92" s="28"/>
      <c r="K92" s="28">
        <v>172449</v>
      </c>
      <c r="L92" s="28"/>
      <c r="M92" s="28">
        <v>755980</v>
      </c>
      <c r="N92" s="28"/>
      <c r="O92" s="28">
        <v>0</v>
      </c>
      <c r="P92" s="28"/>
      <c r="Q92" s="28">
        <f>SUM(C92:O92)</f>
        <v>7602527</v>
      </c>
      <c r="R92" s="34"/>
      <c r="S92" s="28">
        <v>834854</v>
      </c>
      <c r="U92" s="78" t="e">
        <f>+Q92-'St of Net Assets - GA'!#REF!-'LT _Lia - GA'!S92</f>
        <v>#REF!</v>
      </c>
    </row>
    <row r="93" spans="1:21" ht="12" customHeight="1" hidden="1">
      <c r="A93" s="29" t="s">
        <v>76</v>
      </c>
      <c r="B93" s="29"/>
      <c r="C93" s="28">
        <v>0</v>
      </c>
      <c r="D93" s="28"/>
      <c r="E93" s="28">
        <v>0</v>
      </c>
      <c r="F93" s="28"/>
      <c r="G93" s="28">
        <v>0</v>
      </c>
      <c r="H93" s="28"/>
      <c r="I93" s="28">
        <v>0</v>
      </c>
      <c r="J93" s="28"/>
      <c r="K93" s="28">
        <v>0</v>
      </c>
      <c r="L93" s="28"/>
      <c r="M93" s="28">
        <v>0</v>
      </c>
      <c r="N93" s="28"/>
      <c r="O93" s="28">
        <v>0</v>
      </c>
      <c r="P93" s="28"/>
      <c r="Q93" s="28">
        <f t="shared" si="1"/>
        <v>0</v>
      </c>
      <c r="R93" s="34"/>
      <c r="S93" s="28">
        <v>0</v>
      </c>
      <c r="U93" s="78" t="e">
        <f>+Q93-'St of Net Assets - GA'!#REF!-'LT _Lia - GA'!S93</f>
        <v>#REF!</v>
      </c>
    </row>
    <row r="94" spans="1:21" ht="12" customHeight="1">
      <c r="A94" s="29" t="s">
        <v>77</v>
      </c>
      <c r="B94" s="29"/>
      <c r="C94" s="28">
        <v>4386220</v>
      </c>
      <c r="D94" s="28"/>
      <c r="E94" s="28">
        <v>14896998</v>
      </c>
      <c r="F94" s="28"/>
      <c r="G94" s="28">
        <v>0</v>
      </c>
      <c r="H94" s="28"/>
      <c r="I94" s="28">
        <v>7664097</v>
      </c>
      <c r="J94" s="28"/>
      <c r="K94" s="28">
        <v>774</v>
      </c>
      <c r="L94" s="28"/>
      <c r="M94" s="28">
        <v>4705996</v>
      </c>
      <c r="N94" s="28"/>
      <c r="O94" s="28">
        <v>0</v>
      </c>
      <c r="P94" s="28"/>
      <c r="Q94" s="28">
        <f aca="true" t="shared" si="2" ref="Q94:Q99">SUM(C94:O94)</f>
        <v>31654085</v>
      </c>
      <c r="R94" s="34"/>
      <c r="S94" s="28">
        <v>3249684</v>
      </c>
      <c r="U94" s="78" t="e">
        <f>+Q94-'St of Net Assets - GA'!#REF!-'LT _Lia - GA'!S94</f>
        <v>#REF!</v>
      </c>
    </row>
    <row r="95" spans="1:21" ht="12" customHeight="1">
      <c r="A95" s="29" t="s">
        <v>78</v>
      </c>
      <c r="B95" s="29"/>
      <c r="C95" s="28">
        <v>5030081</v>
      </c>
      <c r="D95" s="28"/>
      <c r="E95" s="28">
        <f>370000+18464</f>
        <v>388464</v>
      </c>
      <c r="F95" s="28"/>
      <c r="G95" s="28">
        <v>190000</v>
      </c>
      <c r="H95" s="28"/>
      <c r="I95" s="28">
        <v>160956</v>
      </c>
      <c r="J95" s="28"/>
      <c r="K95" s="28">
        <v>26801</v>
      </c>
      <c r="L95" s="28"/>
      <c r="M95" s="28">
        <v>516358</v>
      </c>
      <c r="N95" s="28"/>
      <c r="O95" s="28">
        <v>209982</v>
      </c>
      <c r="P95" s="28"/>
      <c r="Q95" s="28">
        <f t="shared" si="2"/>
        <v>6522642</v>
      </c>
      <c r="R95" s="34"/>
      <c r="S95" s="28">
        <v>688509</v>
      </c>
      <c r="U95" s="78" t="e">
        <f>+Q95-'St of Net Assets - GA'!#REF!-'LT _Lia - GA'!S95</f>
        <v>#REF!</v>
      </c>
    </row>
    <row r="96" spans="1:21" ht="12" customHeight="1">
      <c r="A96" s="29" t="s">
        <v>79</v>
      </c>
      <c r="B96" s="29"/>
      <c r="C96" s="28">
        <v>9499000</v>
      </c>
      <c r="D96" s="28"/>
      <c r="E96" s="28">
        <v>0</v>
      </c>
      <c r="F96" s="28"/>
      <c r="G96" s="28">
        <v>0</v>
      </c>
      <c r="H96" s="28"/>
      <c r="I96" s="28">
        <v>90000</v>
      </c>
      <c r="J96" s="28"/>
      <c r="K96" s="28">
        <v>0</v>
      </c>
      <c r="L96" s="28"/>
      <c r="M96" s="28">
        <v>3539978</v>
      </c>
      <c r="N96" s="28"/>
      <c r="O96" s="28">
        <v>0</v>
      </c>
      <c r="P96" s="28"/>
      <c r="Q96" s="28">
        <f t="shared" si="2"/>
        <v>13128978</v>
      </c>
      <c r="R96" s="34"/>
      <c r="S96" s="28">
        <v>1545930</v>
      </c>
      <c r="U96" s="78" t="e">
        <f>+Q96-'St of Net Assets - GA'!#REF!-'LT _Lia - GA'!S96</f>
        <v>#REF!</v>
      </c>
    </row>
    <row r="97" spans="1:21" ht="12" customHeight="1" hidden="1">
      <c r="A97" s="29" t="s">
        <v>165</v>
      </c>
      <c r="B97" s="29"/>
      <c r="C97" s="28">
        <v>0</v>
      </c>
      <c r="D97" s="28"/>
      <c r="E97" s="28">
        <v>0</v>
      </c>
      <c r="F97" s="28"/>
      <c r="G97" s="28">
        <v>0</v>
      </c>
      <c r="H97" s="28"/>
      <c r="I97" s="28">
        <v>0</v>
      </c>
      <c r="J97" s="28"/>
      <c r="K97" s="28">
        <v>0</v>
      </c>
      <c r="L97" s="28"/>
      <c r="M97" s="28">
        <v>0</v>
      </c>
      <c r="N97" s="28"/>
      <c r="O97" s="28">
        <v>0</v>
      </c>
      <c r="P97" s="28"/>
      <c r="Q97" s="28">
        <f t="shared" si="2"/>
        <v>0</v>
      </c>
      <c r="R97" s="34"/>
      <c r="S97" s="28">
        <v>0</v>
      </c>
      <c r="U97" s="78" t="e">
        <f>+Q97-'St of Net Assets - GA'!#REF!-'LT _Lia - GA'!S97</f>
        <v>#REF!</v>
      </c>
    </row>
    <row r="98" spans="1:21" ht="12" customHeight="1">
      <c r="A98" s="29" t="s">
        <v>80</v>
      </c>
      <c r="B98" s="29"/>
      <c r="C98" s="28">
        <v>6481987</v>
      </c>
      <c r="D98" s="28"/>
      <c r="E98" s="28">
        <v>1079000</v>
      </c>
      <c r="F98" s="28"/>
      <c r="G98" s="28">
        <v>0</v>
      </c>
      <c r="H98" s="28"/>
      <c r="I98" s="28">
        <v>0</v>
      </c>
      <c r="J98" s="28"/>
      <c r="K98" s="28">
        <v>183860</v>
      </c>
      <c r="L98" s="28"/>
      <c r="M98" s="28">
        <v>4523278</v>
      </c>
      <c r="N98" s="28"/>
      <c r="O98" s="28">
        <v>0</v>
      </c>
      <c r="P98" s="28"/>
      <c r="Q98" s="28">
        <f t="shared" si="2"/>
        <v>12268125</v>
      </c>
      <c r="R98" s="34"/>
      <c r="S98" s="28">
        <v>3010534</v>
      </c>
      <c r="U98" s="78" t="e">
        <f>+Q98-'St of Net Assets - GA'!#REF!-'LT _Lia - GA'!S98</f>
        <v>#REF!</v>
      </c>
    </row>
    <row r="99" spans="1:21" ht="12" customHeight="1" hidden="1">
      <c r="A99" s="29" t="s">
        <v>166</v>
      </c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>
        <f t="shared" si="2"/>
        <v>0</v>
      </c>
      <c r="R99" s="34"/>
      <c r="S99" s="28"/>
      <c r="U99" s="78" t="e">
        <f>+Q99-'St of Net Assets - GA'!#REF!-'LT _Lia - GA'!S99</f>
        <v>#REF!</v>
      </c>
    </row>
    <row r="100" spans="1:19" ht="12" customHeight="1">
      <c r="A100" s="29"/>
      <c r="B100" s="29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9"/>
    </row>
    <row r="101" spans="1:19" ht="12" customHeight="1">
      <c r="A101" s="29"/>
      <c r="B101" s="29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9"/>
    </row>
    <row r="102" spans="1:19" ht="12" customHeight="1">
      <c r="A102" s="29"/>
      <c r="B102" s="29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9"/>
    </row>
    <row r="103" spans="1:19" ht="12" customHeight="1">
      <c r="A103" s="29"/>
      <c r="B103" s="29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9"/>
    </row>
    <row r="104" spans="1:19" ht="12" customHeight="1">
      <c r="A104" s="29"/>
      <c r="B104" s="29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9"/>
    </row>
    <row r="105" spans="1:19" ht="12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12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12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12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2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</sheetData>
  <sheetProtection/>
  <printOptions/>
  <pageMargins left="1" right="1" top="0.5" bottom="0.5" header="0" footer="0.25"/>
  <pageSetup firstPageNumber="58" useFirstPageNumber="1" horizontalDpi="600" verticalDpi="600" orientation="portrait" pageOrder="overThenDown" r:id="rId1"/>
  <headerFooter alignWithMargins="0">
    <oddFooter>&amp;C&amp;"Times New Roman,Regular"&amp;11&amp;P</oddFooter>
  </headerFooter>
  <rowBreaks count="1" manualBreakCount="1">
    <brk id="7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7" sqref="A17:IV17"/>
    </sheetView>
  </sheetViews>
  <sheetFormatPr defaultColWidth="9.140625" defaultRowHeight="12" customHeight="1"/>
  <cols>
    <col min="1" max="1" width="15.7109375" style="79" customWidth="1"/>
    <col min="2" max="2" width="1.7109375" style="25" customWidth="1"/>
    <col min="3" max="3" width="10.7109375" style="36" customWidth="1"/>
    <col min="4" max="4" width="1.7109375" style="36" customWidth="1"/>
    <col min="5" max="5" width="10.7109375" style="36" customWidth="1"/>
    <col min="6" max="6" width="1.7109375" style="36" customWidth="1"/>
    <col min="7" max="7" width="10.7109375" style="36" customWidth="1"/>
    <col min="8" max="8" width="1.7109375" style="36" customWidth="1"/>
    <col min="9" max="9" width="10.7109375" style="36" customWidth="1"/>
    <col min="10" max="10" width="1.7109375" style="36" customWidth="1"/>
    <col min="11" max="11" width="10.7109375" style="36" customWidth="1"/>
    <col min="12" max="12" width="1.7109375" style="36" customWidth="1"/>
    <col min="13" max="13" width="10.7109375" style="36" customWidth="1"/>
    <col min="14" max="14" width="1.7109375" style="36" customWidth="1"/>
    <col min="15" max="15" width="10.7109375" style="36" customWidth="1"/>
    <col min="16" max="16" width="1.7109375" style="36" customWidth="1"/>
    <col min="17" max="17" width="12.7109375" style="36" customWidth="1"/>
    <col min="18" max="18" width="1.7109375" style="36" customWidth="1"/>
    <col min="19" max="19" width="10.7109375" style="36" customWidth="1"/>
    <col min="20" max="20" width="1.7109375" style="36" customWidth="1"/>
    <col min="21" max="21" width="10.7109375" style="36" customWidth="1"/>
    <col min="22" max="22" width="1.7109375" style="36" customWidth="1"/>
    <col min="23" max="23" width="11.421875" style="78" bestFit="1" customWidth="1"/>
    <col min="24" max="24" width="1.7109375" style="78" customWidth="1"/>
    <col min="25" max="25" width="12.7109375" style="78" customWidth="1"/>
    <col min="26" max="27" width="9.28125" style="25" bestFit="1" customWidth="1"/>
    <col min="28" max="16384" width="9.140625" style="25" customWidth="1"/>
  </cols>
  <sheetData>
    <row r="1" spans="1:25" ht="12.75" customHeight="1">
      <c r="A1" s="43" t="s">
        <v>184</v>
      </c>
      <c r="B1" s="30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2.75" customHeight="1">
      <c r="A2" s="43" t="s">
        <v>228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2.75" customHeight="1">
      <c r="A3" s="43" t="s">
        <v>224</v>
      </c>
      <c r="B3" s="3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2.75" customHeight="1">
      <c r="A4" s="43" t="s">
        <v>173</v>
      </c>
      <c r="B4" s="3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2.75" customHeight="1">
      <c r="A5" s="30"/>
      <c r="B5" s="3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2.75" customHeight="1">
      <c r="A6" s="43"/>
      <c r="B6" s="30"/>
      <c r="C6" s="44" t="s">
        <v>137</v>
      </c>
      <c r="D6" s="44"/>
      <c r="E6" s="44"/>
      <c r="F6" s="44"/>
      <c r="G6" s="44"/>
      <c r="H6" s="23"/>
      <c r="I6" s="44" t="s">
        <v>138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6" t="s">
        <v>4</v>
      </c>
      <c r="X6" s="45"/>
      <c r="Y6" s="20" t="s">
        <v>4</v>
      </c>
    </row>
    <row r="7" spans="1:25" ht="12.75" customHeight="1">
      <c r="A7" s="18"/>
      <c r="B7" s="18"/>
      <c r="C7" s="46" t="s">
        <v>0</v>
      </c>
      <c r="D7" s="46"/>
      <c r="E7" s="46" t="s">
        <v>140</v>
      </c>
      <c r="F7" s="46"/>
      <c r="G7" s="46" t="s">
        <v>84</v>
      </c>
      <c r="H7" s="23"/>
      <c r="I7" s="20" t="s">
        <v>141</v>
      </c>
      <c r="J7" s="20"/>
      <c r="K7" s="20" t="s">
        <v>160</v>
      </c>
      <c r="L7" s="20"/>
      <c r="M7" s="20" t="s">
        <v>101</v>
      </c>
      <c r="N7" s="20"/>
      <c r="O7" s="20" t="s">
        <v>136</v>
      </c>
      <c r="P7" s="20"/>
      <c r="Q7" s="46" t="s">
        <v>142</v>
      </c>
      <c r="R7" s="46"/>
      <c r="S7" s="46"/>
      <c r="T7" s="46"/>
      <c r="U7" s="46"/>
      <c r="V7" s="46"/>
      <c r="W7" s="46" t="s">
        <v>99</v>
      </c>
      <c r="X7" s="46"/>
      <c r="Y7" s="46" t="s">
        <v>168</v>
      </c>
    </row>
    <row r="8" spans="1:25" ht="12.75" customHeight="1">
      <c r="A8" s="47" t="s">
        <v>5</v>
      </c>
      <c r="B8" s="18"/>
      <c r="C8" s="19" t="s">
        <v>8</v>
      </c>
      <c r="D8" s="23"/>
      <c r="E8" s="19" t="s">
        <v>144</v>
      </c>
      <c r="F8" s="23"/>
      <c r="G8" s="19" t="s">
        <v>145</v>
      </c>
      <c r="H8" s="23"/>
      <c r="I8" s="19" t="s">
        <v>6</v>
      </c>
      <c r="J8" s="23"/>
      <c r="K8" s="19" t="s">
        <v>6</v>
      </c>
      <c r="L8" s="19"/>
      <c r="M8" s="19" t="s">
        <v>6</v>
      </c>
      <c r="N8" s="23"/>
      <c r="O8" s="19" t="s">
        <v>145</v>
      </c>
      <c r="P8" s="23"/>
      <c r="Q8" s="19" t="s">
        <v>146</v>
      </c>
      <c r="R8" s="23"/>
      <c r="S8" s="19" t="s">
        <v>101</v>
      </c>
      <c r="T8" s="23"/>
      <c r="U8" s="19" t="s">
        <v>147</v>
      </c>
      <c r="V8" s="23"/>
      <c r="W8" s="19" t="s">
        <v>12</v>
      </c>
      <c r="X8" s="23"/>
      <c r="Y8" s="19" t="s">
        <v>223</v>
      </c>
    </row>
    <row r="9" spans="1:25" ht="12.75" customHeight="1">
      <c r="A9" s="18"/>
      <c r="B9" s="18"/>
      <c r="C9" s="20"/>
      <c r="D9" s="23"/>
      <c r="E9" s="20"/>
      <c r="F9" s="23"/>
      <c r="G9" s="20"/>
      <c r="H9" s="23"/>
      <c r="I9" s="20"/>
      <c r="J9" s="23"/>
      <c r="K9" s="20"/>
      <c r="L9" s="20"/>
      <c r="M9" s="20"/>
      <c r="N9" s="23"/>
      <c r="O9" s="20"/>
      <c r="P9" s="23"/>
      <c r="Q9" s="20"/>
      <c r="R9" s="23"/>
      <c r="S9" s="20"/>
      <c r="T9" s="23"/>
      <c r="U9" s="20"/>
      <c r="V9" s="23"/>
      <c r="W9" s="23"/>
      <c r="X9" s="23"/>
      <c r="Y9" s="20"/>
    </row>
    <row r="10" spans="1:25" ht="12.75" customHeight="1">
      <c r="A10" s="107" t="s">
        <v>231</v>
      </c>
      <c r="B10" s="22" t="str">
        <f aca="true" t="shared" si="0" ref="B10:B29">LEFT(A10,2)</f>
        <v>1 </v>
      </c>
      <c r="C10" s="23">
        <v>103715000</v>
      </c>
      <c r="D10" s="22" t="str">
        <f aca="true" t="shared" si="1" ref="D10:D29">LEFT(C10,2)</f>
        <v>10</v>
      </c>
      <c r="E10" s="23">
        <v>613967000</v>
      </c>
      <c r="F10" s="23"/>
      <c r="G10" s="23">
        <v>31810000</v>
      </c>
      <c r="H10" s="23"/>
      <c r="I10" s="23">
        <v>344518000</v>
      </c>
      <c r="J10" s="23"/>
      <c r="K10" s="23">
        <v>209997000</v>
      </c>
      <c r="L10" s="23"/>
      <c r="M10" s="23">
        <v>27955000</v>
      </c>
      <c r="N10" s="23"/>
      <c r="O10" s="23">
        <v>818720000</v>
      </c>
      <c r="P10" s="23"/>
      <c r="Q10" s="23">
        <v>41206000</v>
      </c>
      <c r="R10" s="23"/>
      <c r="S10" s="23">
        <v>11582000</v>
      </c>
      <c r="T10" s="23"/>
      <c r="U10" s="23">
        <v>-235000</v>
      </c>
      <c r="V10" s="23"/>
      <c r="W10" s="23">
        <f aca="true" t="shared" si="2" ref="W10:W29">SUM(I10:U10)</f>
        <v>1453743000</v>
      </c>
      <c r="X10" s="23"/>
      <c r="Y10" s="23">
        <f aca="true" t="shared" si="3" ref="Y10:Y29">SUM(B10:V10)</f>
        <v>2203235000</v>
      </c>
    </row>
    <row r="11" spans="1:25" ht="12.75" customHeight="1">
      <c r="A11" s="107" t="s">
        <v>232</v>
      </c>
      <c r="B11" s="22" t="str">
        <f t="shared" si="0"/>
        <v>2 </v>
      </c>
      <c r="C11" s="23">
        <v>106902000</v>
      </c>
      <c r="D11" s="22" t="str">
        <f t="shared" si="1"/>
        <v>10</v>
      </c>
      <c r="E11" s="23">
        <v>403523000</v>
      </c>
      <c r="F11" s="23"/>
      <c r="G11" s="23">
        <v>20716000</v>
      </c>
      <c r="H11" s="23"/>
      <c r="I11" s="23">
        <v>367003000</v>
      </c>
      <c r="J11" s="23"/>
      <c r="K11" s="23">
        <v>130723000</v>
      </c>
      <c r="L11" s="23"/>
      <c r="M11" s="23">
        <v>0</v>
      </c>
      <c r="N11" s="23"/>
      <c r="O11" s="23">
        <v>96250000</v>
      </c>
      <c r="P11" s="23"/>
      <c r="Q11" s="23">
        <v>43084000</v>
      </c>
      <c r="R11" s="23"/>
      <c r="S11" s="23">
        <v>0</v>
      </c>
      <c r="T11" s="23"/>
      <c r="U11" s="23">
        <v>0</v>
      </c>
      <c r="V11" s="23"/>
      <c r="W11" s="23">
        <f t="shared" si="2"/>
        <v>637060000</v>
      </c>
      <c r="X11" s="23"/>
      <c r="Y11" s="23">
        <f t="shared" si="3"/>
        <v>1168201000</v>
      </c>
    </row>
    <row r="12" spans="1:25" ht="12.75" customHeight="1">
      <c r="A12" s="107" t="s">
        <v>233</v>
      </c>
      <c r="B12" s="22" t="str">
        <f t="shared" si="0"/>
        <v>3 </v>
      </c>
      <c r="C12" s="23">
        <v>187786000</v>
      </c>
      <c r="D12" s="22" t="str">
        <f t="shared" si="1"/>
        <v>18</v>
      </c>
      <c r="E12" s="23">
        <v>377578000</v>
      </c>
      <c r="F12" s="23"/>
      <c r="G12" s="23">
        <v>8982000</v>
      </c>
      <c r="H12" s="23"/>
      <c r="I12" s="23">
        <v>259345000</v>
      </c>
      <c r="J12" s="23"/>
      <c r="K12" s="23">
        <v>66671000</v>
      </c>
      <c r="L12" s="23"/>
      <c r="M12" s="23">
        <f>15932000+31803000</f>
        <v>47735000</v>
      </c>
      <c r="N12" s="23"/>
      <c r="O12" s="23">
        <v>39249000</v>
      </c>
      <c r="P12" s="23"/>
      <c r="Q12" s="23">
        <f>20609000+2067000</f>
        <v>22676000</v>
      </c>
      <c r="R12" s="23"/>
      <c r="S12" s="23">
        <v>0</v>
      </c>
      <c r="T12" s="23"/>
      <c r="U12" s="23">
        <v>847000</v>
      </c>
      <c r="V12" s="23"/>
      <c r="W12" s="23">
        <f t="shared" si="2"/>
        <v>436523000</v>
      </c>
      <c r="X12" s="23"/>
      <c r="Y12" s="23">
        <f t="shared" si="3"/>
        <v>1010869000</v>
      </c>
    </row>
    <row r="13" spans="1:25" ht="12.75" customHeight="1">
      <c r="A13" s="107" t="s">
        <v>234</v>
      </c>
      <c r="B13" s="22" t="str">
        <f t="shared" si="0"/>
        <v>4 </v>
      </c>
      <c r="C13" s="23">
        <v>52773960</v>
      </c>
      <c r="D13" s="22" t="str">
        <f t="shared" si="1"/>
        <v>52</v>
      </c>
      <c r="E13" s="23">
        <v>195566585</v>
      </c>
      <c r="F13" s="23"/>
      <c r="G13" s="23">
        <v>0</v>
      </c>
      <c r="H13" s="23"/>
      <c r="I13" s="23">
        <f>116223669+4478273</f>
        <v>120701942</v>
      </c>
      <c r="J13" s="23"/>
      <c r="K13" s="23">
        <v>35371417</v>
      </c>
      <c r="L13" s="23"/>
      <c r="M13" s="23">
        <f>5948466+3963495</f>
        <v>9911961</v>
      </c>
      <c r="N13" s="23"/>
      <c r="O13" s="23">
        <v>21760258</v>
      </c>
      <c r="P13" s="23"/>
      <c r="Q13" s="23">
        <v>11063518</v>
      </c>
      <c r="R13" s="23"/>
      <c r="S13" s="23">
        <v>4714265</v>
      </c>
      <c r="T13" s="23"/>
      <c r="U13" s="23">
        <v>0</v>
      </c>
      <c r="V13" s="23"/>
      <c r="W13" s="23">
        <f t="shared" si="2"/>
        <v>203523361</v>
      </c>
      <c r="X13" s="23"/>
      <c r="Y13" s="23">
        <f t="shared" si="3"/>
        <v>451863906</v>
      </c>
    </row>
    <row r="14" spans="1:25" ht="12.75" customHeight="1">
      <c r="A14" s="107" t="s">
        <v>236</v>
      </c>
      <c r="B14" s="22" t="str">
        <f t="shared" si="0"/>
        <v>5 </v>
      </c>
      <c r="C14" s="23">
        <v>67469137</v>
      </c>
      <c r="D14" s="22" t="str">
        <f t="shared" si="1"/>
        <v>67</v>
      </c>
      <c r="E14" s="23">
        <v>224782787</v>
      </c>
      <c r="F14" s="23"/>
      <c r="G14" s="23">
        <v>9807629</v>
      </c>
      <c r="H14" s="23"/>
      <c r="I14" s="23">
        <f>17279401+3260915+117431241</f>
        <v>137971557</v>
      </c>
      <c r="J14" s="23"/>
      <c r="K14" s="23">
        <v>62946971</v>
      </c>
      <c r="L14" s="23"/>
      <c r="M14" s="23">
        <f>2670894+2373585+4163915</f>
        <v>9208394</v>
      </c>
      <c r="N14" s="23"/>
      <c r="O14" s="23">
        <v>22274489</v>
      </c>
      <c r="P14" s="23"/>
      <c r="Q14" s="23">
        <v>29531315</v>
      </c>
      <c r="R14" s="23"/>
      <c r="S14" s="23">
        <f>5771935+1151015</f>
        <v>6922950</v>
      </c>
      <c r="T14" s="23"/>
      <c r="U14" s="23">
        <v>-4072652</v>
      </c>
      <c r="V14" s="23"/>
      <c r="W14" s="23">
        <f t="shared" si="2"/>
        <v>264783024</v>
      </c>
      <c r="X14" s="23"/>
      <c r="Y14" s="23">
        <f t="shared" si="3"/>
        <v>566842577</v>
      </c>
    </row>
    <row r="15" spans="1:25" ht="12.75" customHeight="1">
      <c r="A15" s="107" t="s">
        <v>237</v>
      </c>
      <c r="B15" s="22" t="str">
        <f t="shared" si="0"/>
        <v>6 </v>
      </c>
      <c r="C15" s="112">
        <v>36238841</v>
      </c>
      <c r="D15" s="22" t="str">
        <f t="shared" si="1"/>
        <v>36</v>
      </c>
      <c r="E15" s="112">
        <v>175780447</v>
      </c>
      <c r="F15" s="112"/>
      <c r="G15" s="112">
        <v>1742732</v>
      </c>
      <c r="H15" s="112"/>
      <c r="I15" s="112">
        <v>95887936</v>
      </c>
      <c r="J15" s="112"/>
      <c r="K15" s="112">
        <v>70511781</v>
      </c>
      <c r="L15" s="112"/>
      <c r="M15" s="112">
        <v>3415247</v>
      </c>
      <c r="N15" s="112"/>
      <c r="O15" s="112">
        <v>96278029</v>
      </c>
      <c r="P15" s="112"/>
      <c r="Q15" s="112">
        <v>15049768</v>
      </c>
      <c r="R15" s="112"/>
      <c r="S15" s="112">
        <v>16175584</v>
      </c>
      <c r="T15" s="112"/>
      <c r="U15" s="112">
        <v>0</v>
      </c>
      <c r="V15" s="112"/>
      <c r="W15" s="112">
        <f t="shared" si="2"/>
        <v>297318345</v>
      </c>
      <c r="X15" s="112"/>
      <c r="Y15" s="112">
        <f t="shared" si="3"/>
        <v>511080365</v>
      </c>
    </row>
    <row r="16" spans="1:25" ht="12.75" customHeight="1">
      <c r="A16" s="107" t="s">
        <v>238</v>
      </c>
      <c r="B16" s="22" t="str">
        <f t="shared" si="0"/>
        <v>7 </v>
      </c>
      <c r="C16" s="23">
        <v>28958507</v>
      </c>
      <c r="D16" s="22" t="str">
        <f t="shared" si="1"/>
        <v>28</v>
      </c>
      <c r="E16" s="23">
        <v>120501768</v>
      </c>
      <c r="F16" s="23"/>
      <c r="G16" s="23">
        <v>4508894</v>
      </c>
      <c r="H16" s="23"/>
      <c r="I16" s="23">
        <f>14667418+19979309+551042+4828872+8602472</f>
        <v>48629113</v>
      </c>
      <c r="J16" s="23"/>
      <c r="K16" s="23">
        <v>15148999</v>
      </c>
      <c r="L16" s="23"/>
      <c r="M16" s="23">
        <v>0</v>
      </c>
      <c r="N16" s="23"/>
      <c r="O16" s="23">
        <v>8601827</v>
      </c>
      <c r="P16" s="23"/>
      <c r="Q16" s="23">
        <v>5120020</v>
      </c>
      <c r="R16" s="23"/>
      <c r="S16" s="23">
        <f>7545658-1107130</f>
        <v>6438528</v>
      </c>
      <c r="T16" s="23"/>
      <c r="U16" s="23">
        <v>70527</v>
      </c>
      <c r="V16" s="23"/>
      <c r="W16" s="23">
        <f t="shared" si="2"/>
        <v>84009014</v>
      </c>
      <c r="X16" s="23"/>
      <c r="Y16" s="23">
        <f t="shared" si="3"/>
        <v>237978183</v>
      </c>
    </row>
    <row r="17" spans="1:25" ht="12.75" customHeight="1">
      <c r="A17" s="107" t="s">
        <v>250</v>
      </c>
      <c r="B17" s="107"/>
      <c r="C17" s="112">
        <v>45710686</v>
      </c>
      <c r="D17" s="112"/>
      <c r="E17" s="112">
        <v>99370504</v>
      </c>
      <c r="F17" s="112"/>
      <c r="G17" s="112">
        <v>13936431</v>
      </c>
      <c r="H17" s="112"/>
      <c r="I17" s="112">
        <f>14191594+19073043+13884835+9023904+13280836</f>
        <v>69454212</v>
      </c>
      <c r="J17" s="112"/>
      <c r="K17" s="112">
        <v>33408493</v>
      </c>
      <c r="L17" s="112"/>
      <c r="M17" s="112">
        <f>2454986+4438718</f>
        <v>6893704</v>
      </c>
      <c r="N17" s="112"/>
      <c r="O17" s="112">
        <v>7664080</v>
      </c>
      <c r="P17" s="112"/>
      <c r="Q17" s="112">
        <v>9085686</v>
      </c>
      <c r="R17" s="112"/>
      <c r="S17" s="112">
        <f>1277036+3707444</f>
        <v>4984480</v>
      </c>
      <c r="T17" s="112"/>
      <c r="U17" s="112">
        <v>0</v>
      </c>
      <c r="V17" s="112"/>
      <c r="W17" s="112">
        <f t="shared" si="2"/>
        <v>131490655</v>
      </c>
      <c r="X17" s="112"/>
      <c r="Y17" s="112">
        <f t="shared" si="3"/>
        <v>290508276</v>
      </c>
    </row>
    <row r="18" spans="1:25" ht="12.75" customHeight="1">
      <c r="A18" s="107" t="s">
        <v>239</v>
      </c>
      <c r="B18" s="22" t="str">
        <f t="shared" si="0"/>
        <v>9 </v>
      </c>
      <c r="C18" s="112">
        <v>38737882</v>
      </c>
      <c r="D18" s="22" t="str">
        <f t="shared" si="1"/>
        <v>38</v>
      </c>
      <c r="E18" s="112">
        <v>100612790</v>
      </c>
      <c r="F18" s="112"/>
      <c r="G18" s="112">
        <v>1075790</v>
      </c>
      <c r="H18" s="112"/>
      <c r="I18" s="112">
        <v>45261842</v>
      </c>
      <c r="J18" s="112"/>
      <c r="K18" s="112">
        <v>22873862</v>
      </c>
      <c r="L18" s="112"/>
      <c r="M18" s="112">
        <v>0</v>
      </c>
      <c r="N18" s="112"/>
      <c r="O18" s="112">
        <v>11496091</v>
      </c>
      <c r="P18" s="112"/>
      <c r="Q18" s="112">
        <v>5941465</v>
      </c>
      <c r="R18" s="112"/>
      <c r="S18" s="112">
        <v>1705814</v>
      </c>
      <c r="T18" s="112"/>
      <c r="U18" s="112">
        <v>-726463</v>
      </c>
      <c r="V18" s="112"/>
      <c r="W18" s="112">
        <f t="shared" si="2"/>
        <v>86552611</v>
      </c>
      <c r="X18" s="112"/>
      <c r="Y18" s="112">
        <f t="shared" si="3"/>
        <v>226979073</v>
      </c>
    </row>
    <row r="19" spans="1:25" ht="12.75" customHeight="1">
      <c r="A19" s="107" t="s">
        <v>240</v>
      </c>
      <c r="B19" s="22" t="str">
        <f t="shared" si="0"/>
        <v>10</v>
      </c>
      <c r="C19" s="112">
        <v>22470784</v>
      </c>
      <c r="D19" s="22" t="str">
        <f t="shared" si="1"/>
        <v>22</v>
      </c>
      <c r="E19" s="112">
        <v>99165872</v>
      </c>
      <c r="F19" s="112"/>
      <c r="G19" s="112">
        <v>9096110</v>
      </c>
      <c r="H19" s="112"/>
      <c r="I19" s="112">
        <f>7657974+27044+5106646+14271078+3578922</f>
        <v>30641664</v>
      </c>
      <c r="J19" s="112"/>
      <c r="K19" s="112">
        <v>27931781</v>
      </c>
      <c r="L19" s="112"/>
      <c r="M19" s="112">
        <v>0</v>
      </c>
      <c r="N19" s="112"/>
      <c r="O19" s="112">
        <v>12884154</v>
      </c>
      <c r="P19" s="112"/>
      <c r="Q19" s="112">
        <v>5081780</v>
      </c>
      <c r="R19" s="112"/>
      <c r="S19" s="112">
        <f>4551145+1743473</f>
        <v>6294618</v>
      </c>
      <c r="T19" s="112"/>
      <c r="U19" s="112">
        <v>0</v>
      </c>
      <c r="V19" s="112"/>
      <c r="W19" s="112">
        <f t="shared" si="2"/>
        <v>82833997</v>
      </c>
      <c r="X19" s="112"/>
      <c r="Y19" s="112">
        <f t="shared" si="3"/>
        <v>213566763</v>
      </c>
    </row>
    <row r="20" spans="1:25" ht="12.75" customHeight="1">
      <c r="A20" s="107" t="s">
        <v>241</v>
      </c>
      <c r="B20" s="22" t="str">
        <f t="shared" si="0"/>
        <v>11</v>
      </c>
      <c r="C20" s="112">
        <v>22293351</v>
      </c>
      <c r="D20" s="22" t="str">
        <f t="shared" si="1"/>
        <v>22</v>
      </c>
      <c r="E20" s="112">
        <v>66399943</v>
      </c>
      <c r="F20" s="112"/>
      <c r="G20" s="112">
        <v>6738465</v>
      </c>
      <c r="H20" s="112"/>
      <c r="I20" s="112">
        <f>12776696+19047995+7345620+3096519+1100867+1331937+2479848</f>
        <v>47179482</v>
      </c>
      <c r="J20" s="112"/>
      <c r="K20" s="112">
        <v>15453092</v>
      </c>
      <c r="L20" s="112"/>
      <c r="M20" s="112">
        <f>2775630+801045</f>
        <v>3576675</v>
      </c>
      <c r="N20" s="112"/>
      <c r="O20" s="112">
        <v>3756351</v>
      </c>
      <c r="P20" s="112"/>
      <c r="Q20" s="112">
        <v>6183840</v>
      </c>
      <c r="R20" s="112"/>
      <c r="S20" s="112">
        <v>9420967</v>
      </c>
      <c r="T20" s="112"/>
      <c r="U20" s="112">
        <v>0</v>
      </c>
      <c r="V20" s="112"/>
      <c r="W20" s="112">
        <f t="shared" si="2"/>
        <v>85570407</v>
      </c>
      <c r="X20" s="112"/>
      <c r="Y20" s="112">
        <f t="shared" si="3"/>
        <v>181002166</v>
      </c>
    </row>
    <row r="21" spans="1:25" ht="12.75" customHeight="1">
      <c r="A21" s="107" t="s">
        <v>235</v>
      </c>
      <c r="B21" s="22" t="str">
        <f t="shared" si="0"/>
        <v>12</v>
      </c>
      <c r="C21" s="23">
        <v>17777902</v>
      </c>
      <c r="D21" s="22" t="str">
        <f t="shared" si="1"/>
        <v>17</v>
      </c>
      <c r="E21" s="23">
        <v>80498309</v>
      </c>
      <c r="F21" s="23"/>
      <c r="G21" s="23">
        <v>1139200</v>
      </c>
      <c r="H21" s="23"/>
      <c r="I21" s="23">
        <f>6732689+13588921+3027701+6735393+2035273</f>
        <v>32119977</v>
      </c>
      <c r="J21" s="23"/>
      <c r="K21" s="23">
        <f>20123020+3139578</f>
        <v>23262598</v>
      </c>
      <c r="L21" s="23"/>
      <c r="M21" s="23">
        <v>0</v>
      </c>
      <c r="N21" s="23"/>
      <c r="O21" s="23">
        <v>7944641</v>
      </c>
      <c r="P21" s="23"/>
      <c r="Q21" s="23">
        <v>3039022</v>
      </c>
      <c r="R21" s="23"/>
      <c r="S21" s="23">
        <v>1469955</v>
      </c>
      <c r="T21" s="23"/>
      <c r="U21" s="23">
        <v>-4259157</v>
      </c>
      <c r="V21" s="23"/>
      <c r="W21" s="23">
        <f t="shared" si="2"/>
        <v>63577036</v>
      </c>
      <c r="X21" s="23"/>
      <c r="Y21" s="23">
        <f t="shared" si="3"/>
        <v>162992447</v>
      </c>
    </row>
    <row r="22" spans="1:25" ht="12.75" customHeight="1">
      <c r="A22" s="107" t="s">
        <v>242</v>
      </c>
      <c r="B22" s="22" t="str">
        <f t="shared" si="0"/>
        <v>13</v>
      </c>
      <c r="C22" s="23">
        <v>15907057</v>
      </c>
      <c r="D22" s="22" t="str">
        <f t="shared" si="1"/>
        <v>15</v>
      </c>
      <c r="E22" s="23">
        <v>18748618</v>
      </c>
      <c r="F22" s="23"/>
      <c r="G22" s="23">
        <v>8908520</v>
      </c>
      <c r="H22" s="23"/>
      <c r="I22" s="23">
        <v>36828915</v>
      </c>
      <c r="J22" s="23"/>
      <c r="K22" s="23">
        <v>26612717</v>
      </c>
      <c r="L22" s="23"/>
      <c r="M22" s="23">
        <f>252824+8126013</f>
        <v>8378837</v>
      </c>
      <c r="N22" s="23"/>
      <c r="O22" s="23">
        <v>9029267</v>
      </c>
      <c r="P22" s="23"/>
      <c r="Q22" s="23">
        <v>10234424</v>
      </c>
      <c r="R22" s="23"/>
      <c r="S22" s="23">
        <v>165161</v>
      </c>
      <c r="T22" s="23"/>
      <c r="U22" s="23">
        <v>0</v>
      </c>
      <c r="V22" s="23"/>
      <c r="W22" s="23">
        <f t="shared" si="2"/>
        <v>91249321</v>
      </c>
      <c r="X22" s="23"/>
      <c r="Y22" s="23">
        <f t="shared" si="3"/>
        <v>134813516</v>
      </c>
    </row>
    <row r="23" spans="1:25" ht="12.75" customHeight="1">
      <c r="A23" s="107" t="s">
        <v>243</v>
      </c>
      <c r="B23" s="22" t="str">
        <f t="shared" si="0"/>
        <v>14</v>
      </c>
      <c r="C23" s="23">
        <v>25970715</v>
      </c>
      <c r="D23" s="22" t="str">
        <f t="shared" si="1"/>
        <v>25</v>
      </c>
      <c r="E23" s="23">
        <v>35473713</v>
      </c>
      <c r="F23" s="23"/>
      <c r="G23" s="23">
        <v>7498695</v>
      </c>
      <c r="H23" s="23"/>
      <c r="I23" s="23">
        <f>8048327+8024908+3825322</f>
        <v>19898557</v>
      </c>
      <c r="J23" s="23"/>
      <c r="K23" s="23">
        <v>22676171</v>
      </c>
      <c r="L23" s="23"/>
      <c r="M23" s="23">
        <v>542690</v>
      </c>
      <c r="N23" s="23"/>
      <c r="O23" s="23">
        <v>7182606</v>
      </c>
      <c r="P23" s="23"/>
      <c r="Q23" s="23">
        <v>4767233</v>
      </c>
      <c r="R23" s="23"/>
      <c r="S23" s="23">
        <v>1044707</v>
      </c>
      <c r="T23" s="23"/>
      <c r="U23" s="23">
        <v>0</v>
      </c>
      <c r="V23" s="23"/>
      <c r="W23" s="23">
        <f t="shared" si="2"/>
        <v>56111964</v>
      </c>
      <c r="X23" s="23"/>
      <c r="Y23" s="23">
        <f t="shared" si="3"/>
        <v>125055087</v>
      </c>
    </row>
    <row r="24" spans="1:25" ht="12.75" customHeight="1">
      <c r="A24" s="107" t="s">
        <v>249</v>
      </c>
      <c r="B24" s="22" t="str">
        <f t="shared" si="0"/>
        <v>15</v>
      </c>
      <c r="C24" s="112">
        <v>19438317</v>
      </c>
      <c r="D24" s="22" t="str">
        <f t="shared" si="1"/>
        <v>19</v>
      </c>
      <c r="E24" s="112">
        <v>35233292</v>
      </c>
      <c r="F24" s="112"/>
      <c r="G24" s="112">
        <v>858418</v>
      </c>
      <c r="H24" s="112"/>
      <c r="I24" s="112">
        <f>10172530+996553+10612384+806357+1397438</f>
        <v>23985262</v>
      </c>
      <c r="J24" s="112"/>
      <c r="K24" s="112">
        <v>9652973</v>
      </c>
      <c r="L24" s="112"/>
      <c r="M24" s="112">
        <v>1580720</v>
      </c>
      <c r="N24" s="112"/>
      <c r="O24" s="112">
        <v>7018100</v>
      </c>
      <c r="P24" s="112"/>
      <c r="Q24" s="112">
        <v>3113294</v>
      </c>
      <c r="R24" s="112"/>
      <c r="S24" s="112">
        <v>4811799</v>
      </c>
      <c r="T24" s="112"/>
      <c r="U24" s="112">
        <v>0</v>
      </c>
      <c r="V24" s="112"/>
      <c r="W24" s="112">
        <f t="shared" si="2"/>
        <v>50162148</v>
      </c>
      <c r="X24" s="112"/>
      <c r="Y24" s="112">
        <f t="shared" si="3"/>
        <v>105692175</v>
      </c>
    </row>
    <row r="25" spans="1:25" ht="12.75" customHeight="1">
      <c r="A25" s="107" t="s">
        <v>244</v>
      </c>
      <c r="B25" s="22" t="str">
        <f t="shared" si="0"/>
        <v>16</v>
      </c>
      <c r="C25" s="23">
        <v>19800865</v>
      </c>
      <c r="D25" s="22" t="str">
        <f t="shared" si="1"/>
        <v>19</v>
      </c>
      <c r="E25" s="23">
        <v>26192747</v>
      </c>
      <c r="F25" s="23"/>
      <c r="G25" s="23">
        <v>953932</v>
      </c>
      <c r="H25" s="23"/>
      <c r="I25" s="23">
        <f>6610326+2163551+11510253+832914+555276</f>
        <v>21672320</v>
      </c>
      <c r="J25" s="23"/>
      <c r="K25" s="23">
        <f>21423965+14283323</f>
        <v>35707288</v>
      </c>
      <c r="L25" s="23"/>
      <c r="M25" s="23">
        <v>0</v>
      </c>
      <c r="N25" s="23"/>
      <c r="O25" s="23">
        <v>3866855</v>
      </c>
      <c r="P25" s="23"/>
      <c r="Q25" s="23">
        <v>5930565</v>
      </c>
      <c r="R25" s="23"/>
      <c r="S25" s="23">
        <v>1033480</v>
      </c>
      <c r="T25" s="23"/>
      <c r="U25" s="23">
        <v>-75000</v>
      </c>
      <c r="V25" s="23"/>
      <c r="W25" s="23">
        <f t="shared" si="2"/>
        <v>68135508</v>
      </c>
      <c r="X25" s="23"/>
      <c r="Y25" s="23">
        <f t="shared" si="3"/>
        <v>115083052</v>
      </c>
    </row>
    <row r="26" spans="1:25" ht="12.75" customHeight="1">
      <c r="A26" s="107" t="s">
        <v>245</v>
      </c>
      <c r="B26" s="22" t="str">
        <f t="shared" si="0"/>
        <v>17</v>
      </c>
      <c r="C26" s="112">
        <v>10289755</v>
      </c>
      <c r="D26" s="22" t="str">
        <f t="shared" si="1"/>
        <v>10</v>
      </c>
      <c r="E26" s="112">
        <v>34926912</v>
      </c>
      <c r="F26" s="112"/>
      <c r="G26" s="112">
        <v>666424</v>
      </c>
      <c r="H26" s="112"/>
      <c r="I26" s="112">
        <f>7082601+14811346</f>
        <v>21893947</v>
      </c>
      <c r="J26" s="112"/>
      <c r="K26" s="112">
        <v>24351715</v>
      </c>
      <c r="L26" s="112"/>
      <c r="M26" s="112">
        <v>0</v>
      </c>
      <c r="N26" s="112"/>
      <c r="O26" s="112">
        <v>13573314</v>
      </c>
      <c r="P26" s="112"/>
      <c r="Q26" s="112">
        <v>2014078</v>
      </c>
      <c r="R26" s="112"/>
      <c r="S26" s="112">
        <v>3946781</v>
      </c>
      <c r="T26" s="112"/>
      <c r="U26" s="112">
        <v>-75110</v>
      </c>
      <c r="V26" s="112"/>
      <c r="W26" s="112">
        <f t="shared" si="2"/>
        <v>65704725</v>
      </c>
      <c r="X26" s="112"/>
      <c r="Y26" s="112">
        <f t="shared" si="3"/>
        <v>111587816</v>
      </c>
    </row>
    <row r="27" spans="1:25" ht="12.75" customHeight="1">
      <c r="A27" s="107" t="s">
        <v>246</v>
      </c>
      <c r="B27" s="22" t="str">
        <f t="shared" si="0"/>
        <v>18</v>
      </c>
      <c r="C27" s="23">
        <v>17701539</v>
      </c>
      <c r="D27" s="22" t="str">
        <f t="shared" si="1"/>
        <v>17</v>
      </c>
      <c r="E27" s="23">
        <v>43278721</v>
      </c>
      <c r="F27" s="23"/>
      <c r="G27" s="23">
        <v>3265904</v>
      </c>
      <c r="H27" s="23"/>
      <c r="I27" s="23">
        <f>4725109+3523173+12949817+2419157+1397524</f>
        <v>25014780</v>
      </c>
      <c r="J27" s="23"/>
      <c r="K27" s="23">
        <v>15133051</v>
      </c>
      <c r="L27" s="23"/>
      <c r="M27" s="23">
        <v>0</v>
      </c>
      <c r="N27" s="23"/>
      <c r="O27" s="23">
        <v>9714340</v>
      </c>
      <c r="P27" s="23"/>
      <c r="Q27" s="23">
        <v>5638206</v>
      </c>
      <c r="R27" s="23"/>
      <c r="S27" s="23">
        <v>661642</v>
      </c>
      <c r="T27" s="23"/>
      <c r="U27" s="23">
        <v>0</v>
      </c>
      <c r="V27" s="23"/>
      <c r="W27" s="23">
        <f t="shared" si="2"/>
        <v>56162019</v>
      </c>
      <c r="X27" s="23"/>
      <c r="Y27" s="23">
        <f t="shared" si="3"/>
        <v>120408183</v>
      </c>
    </row>
    <row r="28" spans="1:25" ht="12.75" customHeight="1">
      <c r="A28" s="107" t="s">
        <v>247</v>
      </c>
      <c r="B28" s="22" t="str">
        <f t="shared" si="0"/>
        <v>19</v>
      </c>
      <c r="C28" s="23">
        <v>20215379</v>
      </c>
      <c r="D28" s="22" t="str">
        <f t="shared" si="1"/>
        <v>20</v>
      </c>
      <c r="E28" s="23">
        <v>40040692</v>
      </c>
      <c r="F28" s="23"/>
      <c r="G28" s="23">
        <v>680063</v>
      </c>
      <c r="H28" s="23"/>
      <c r="I28" s="23">
        <f>6216680+760469+3688743+2897920+10124155+2890480+2238441+1463752</f>
        <v>30280640</v>
      </c>
      <c r="J28" s="23"/>
      <c r="K28" s="23">
        <v>20947815</v>
      </c>
      <c r="L28" s="23"/>
      <c r="M28" s="23">
        <v>864013</v>
      </c>
      <c r="N28" s="23"/>
      <c r="O28" s="23">
        <v>5186823</v>
      </c>
      <c r="P28" s="23"/>
      <c r="Q28" s="23">
        <v>4405699</v>
      </c>
      <c r="R28" s="23"/>
      <c r="S28" s="23">
        <v>2328369</v>
      </c>
      <c r="T28" s="23"/>
      <c r="U28" s="23">
        <v>-496142</v>
      </c>
      <c r="V28" s="23"/>
      <c r="W28" s="23">
        <f t="shared" si="2"/>
        <v>63517217</v>
      </c>
      <c r="X28" s="23"/>
      <c r="Y28" s="23">
        <f t="shared" si="3"/>
        <v>124453351</v>
      </c>
    </row>
    <row r="29" spans="1:25" ht="12.75" customHeight="1">
      <c r="A29" s="107" t="s">
        <v>248</v>
      </c>
      <c r="B29" s="22" t="str">
        <f t="shared" si="0"/>
        <v>20</v>
      </c>
      <c r="C29" s="23">
        <v>18363973</v>
      </c>
      <c r="D29" s="22" t="str">
        <f t="shared" si="1"/>
        <v>18</v>
      </c>
      <c r="E29" s="23">
        <v>64978262</v>
      </c>
      <c r="F29" s="23"/>
      <c r="G29" s="23">
        <v>1085101</v>
      </c>
      <c r="H29" s="23"/>
      <c r="I29" s="23">
        <f>3541363+2395102+9875289+2222386</f>
        <v>18034140</v>
      </c>
      <c r="J29" s="23"/>
      <c r="K29" s="23">
        <v>18791959</v>
      </c>
      <c r="L29" s="23"/>
      <c r="M29" s="23">
        <v>0</v>
      </c>
      <c r="N29" s="23"/>
      <c r="O29" s="23">
        <v>6209645</v>
      </c>
      <c r="P29" s="23"/>
      <c r="Q29" s="23">
        <v>2912840</v>
      </c>
      <c r="R29" s="23"/>
      <c r="S29" s="23">
        <v>1433093</v>
      </c>
      <c r="T29" s="23"/>
      <c r="U29" s="23">
        <v>0</v>
      </c>
      <c r="V29" s="23"/>
      <c r="W29" s="23">
        <f t="shared" si="2"/>
        <v>47381677</v>
      </c>
      <c r="X29" s="23"/>
      <c r="Y29" s="23">
        <f t="shared" si="3"/>
        <v>131809013</v>
      </c>
    </row>
    <row r="30" spans="1:25" ht="12.75" customHeight="1">
      <c r="A30" s="107"/>
      <c r="B30" s="107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ht="12.75" customHeight="1">
      <c r="A31" s="107"/>
      <c r="B31" s="107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ht="12.75" customHeight="1">
      <c r="A32" s="107"/>
      <c r="B32" s="10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25" ht="12.75" customHeight="1">
      <c r="A33" s="107"/>
      <c r="B33" s="10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</sheetData>
  <sheetProtection/>
  <printOptions/>
  <pageMargins left="1" right="1" top="0.5" bottom="0.5" header="0" footer="0.25"/>
  <pageSetup firstPageNumber="8" useFirstPageNumber="1" horizontalDpi="600" verticalDpi="600" orientation="portrait" pageOrder="overThenDown" scale="91" r:id="rId1"/>
  <headerFooter alignWithMargins="0">
    <oddFooter>&amp;C&amp;"Times New Roman,Regular"&amp;11&amp;P</oddFooter>
  </headerFooter>
  <colBreaks count="1" manualBreakCount="1">
    <brk id="13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G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7" sqref="A17:IV17"/>
    </sheetView>
  </sheetViews>
  <sheetFormatPr defaultColWidth="9.140625" defaultRowHeight="12" customHeight="1"/>
  <cols>
    <col min="1" max="1" width="15.7109375" style="79" customWidth="1"/>
    <col min="2" max="2" width="1.7109375" style="25" customWidth="1"/>
    <col min="3" max="3" width="11.7109375" style="25" customWidth="1"/>
    <col min="4" max="4" width="1.7109375" style="25" customWidth="1"/>
    <col min="5" max="5" width="11.7109375" style="25" customWidth="1"/>
    <col min="6" max="6" width="1.7109375" style="25" customWidth="1"/>
    <col min="7" max="7" width="11.7109375" style="25" customWidth="1"/>
    <col min="8" max="8" width="1.7109375" style="25" customWidth="1"/>
    <col min="9" max="9" width="11.7109375" style="25" customWidth="1"/>
    <col min="10" max="10" width="1.7109375" style="25" customWidth="1"/>
    <col min="11" max="11" width="11.7109375" style="25" customWidth="1"/>
    <col min="12" max="12" width="1.7109375" style="25" customWidth="1"/>
    <col min="13" max="13" width="11.7109375" style="25" customWidth="1"/>
    <col min="14" max="14" width="1.7109375" style="25" customWidth="1"/>
    <col min="15" max="15" width="11.7109375" style="25" customWidth="1"/>
    <col min="16" max="16" width="1.7109375" style="25" customWidth="1"/>
    <col min="17" max="17" width="11.7109375" style="25" customWidth="1"/>
    <col min="18" max="18" width="1.7109375" style="25" customWidth="1"/>
    <col min="19" max="19" width="11.7109375" style="25" customWidth="1"/>
    <col min="20" max="20" width="1.7109375" style="25" customWidth="1"/>
    <col min="21" max="21" width="11.7109375" style="25" customWidth="1"/>
    <col min="22" max="22" width="1.7109375" style="25" customWidth="1"/>
    <col min="23" max="23" width="11.7109375" style="25" customWidth="1"/>
    <col min="24" max="24" width="1.7109375" style="25" customWidth="1"/>
    <col min="25" max="25" width="11.7109375" style="79" customWidth="1"/>
    <col min="26" max="26" width="2.7109375" style="25" customWidth="1"/>
    <col min="27" max="27" width="12.7109375" style="25" customWidth="1"/>
    <col min="28" max="28" width="2.7109375" style="25" customWidth="1"/>
    <col min="29" max="29" width="12.7109375" style="25" customWidth="1"/>
    <col min="30" max="30" width="2.7109375" style="25" customWidth="1"/>
    <col min="31" max="32" width="12.7109375" style="79" customWidth="1"/>
    <col min="33" max="33" width="9.8515625" style="25" bestFit="1" customWidth="1"/>
    <col min="34" max="16384" width="9.140625" style="25" customWidth="1"/>
  </cols>
  <sheetData>
    <row r="1" spans="1:33" ht="12.75" customHeight="1">
      <c r="A1" s="43" t="s">
        <v>213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7"/>
      <c r="AG1" s="27"/>
    </row>
    <row r="2" spans="1:33" ht="12.75" customHeight="1">
      <c r="A2" s="43" t="s">
        <v>228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7"/>
      <c r="AG2" s="27"/>
    </row>
    <row r="3" spans="1:33" ht="12.75" customHeight="1">
      <c r="A3" s="43" t="s">
        <v>224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7"/>
      <c r="AG3" s="27"/>
    </row>
    <row r="4" spans="1:33" ht="12.75" customHeight="1">
      <c r="A4" s="43" t="s">
        <v>173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7"/>
      <c r="AG4" s="27"/>
    </row>
    <row r="5" spans="1:33" ht="12.75" customHeight="1">
      <c r="A5" s="3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7"/>
      <c r="AG5" s="27"/>
    </row>
    <row r="6" spans="1:33" ht="12.75" customHeight="1">
      <c r="A6" s="43"/>
      <c r="B6" s="23"/>
      <c r="C6" s="44" t="s">
        <v>139</v>
      </c>
      <c r="D6" s="44"/>
      <c r="E6" s="44"/>
      <c r="F6" s="44"/>
      <c r="G6" s="44"/>
      <c r="H6" s="44"/>
      <c r="I6" s="44"/>
      <c r="J6" s="44"/>
      <c r="K6" s="44"/>
      <c r="L6" s="48" t="s">
        <v>181</v>
      </c>
      <c r="M6" s="44"/>
      <c r="N6" s="45"/>
      <c r="O6" s="44"/>
      <c r="P6" s="44"/>
      <c r="Q6" s="44"/>
      <c r="R6" s="44"/>
      <c r="S6" s="44"/>
      <c r="T6" s="44"/>
      <c r="U6" s="44"/>
      <c r="V6" s="44"/>
      <c r="W6" s="44"/>
      <c r="X6" s="45"/>
      <c r="Y6" s="23"/>
      <c r="Z6" s="23"/>
      <c r="AA6" s="23"/>
      <c r="AB6" s="23"/>
      <c r="AC6" s="23"/>
      <c r="AD6" s="23"/>
      <c r="AE6" s="23"/>
      <c r="AF6" s="27"/>
      <c r="AG6" s="27"/>
    </row>
    <row r="7" spans="1:33" ht="12.75" customHeight="1">
      <c r="A7" s="18"/>
      <c r="B7" s="23"/>
      <c r="C7" s="20" t="s">
        <v>174</v>
      </c>
      <c r="D7" s="20"/>
      <c r="E7" s="20"/>
      <c r="F7" s="20"/>
      <c r="G7" s="20" t="s">
        <v>81</v>
      </c>
      <c r="H7" s="20"/>
      <c r="I7" s="20" t="s">
        <v>81</v>
      </c>
      <c r="J7" s="20"/>
      <c r="K7" s="20"/>
      <c r="L7" s="20"/>
      <c r="M7" s="20" t="s">
        <v>82</v>
      </c>
      <c r="N7" s="20"/>
      <c r="O7" s="20" t="s">
        <v>158</v>
      </c>
      <c r="P7" s="20"/>
      <c r="Q7" s="20" t="s">
        <v>83</v>
      </c>
      <c r="R7" s="20"/>
      <c r="S7" s="20"/>
      <c r="T7" s="20"/>
      <c r="U7" s="20" t="s">
        <v>1</v>
      </c>
      <c r="V7" s="20"/>
      <c r="W7" s="46" t="s">
        <v>96</v>
      </c>
      <c r="X7" s="46"/>
      <c r="Y7" s="46"/>
      <c r="Z7" s="46"/>
      <c r="AA7" s="46" t="s">
        <v>143</v>
      </c>
      <c r="AB7" s="46"/>
      <c r="AC7" s="46" t="s">
        <v>131</v>
      </c>
      <c r="AD7" s="46"/>
      <c r="AE7" s="46" t="s">
        <v>131</v>
      </c>
      <c r="AF7" s="27"/>
      <c r="AG7" s="27"/>
    </row>
    <row r="8" spans="1:33" ht="12.75" customHeight="1">
      <c r="A8" s="47" t="s">
        <v>5</v>
      </c>
      <c r="B8" s="23"/>
      <c r="C8" s="49" t="s">
        <v>175</v>
      </c>
      <c r="D8" s="23"/>
      <c r="E8" s="49" t="s">
        <v>85</v>
      </c>
      <c r="F8" s="23"/>
      <c r="G8" s="49" t="s">
        <v>86</v>
      </c>
      <c r="H8" s="23"/>
      <c r="I8" s="49" t="s">
        <v>87</v>
      </c>
      <c r="J8" s="23"/>
      <c r="K8" s="49" t="s">
        <v>88</v>
      </c>
      <c r="L8" s="23"/>
      <c r="M8" s="49" t="s">
        <v>8</v>
      </c>
      <c r="N8" s="23"/>
      <c r="O8" s="49" t="s">
        <v>159</v>
      </c>
      <c r="P8" s="23"/>
      <c r="Q8" s="49" t="s">
        <v>176</v>
      </c>
      <c r="R8" s="23"/>
      <c r="S8" s="49" t="s">
        <v>101</v>
      </c>
      <c r="T8" s="23"/>
      <c r="U8" s="49" t="s">
        <v>9</v>
      </c>
      <c r="V8" s="23"/>
      <c r="W8" s="19" t="s">
        <v>92</v>
      </c>
      <c r="X8" s="23"/>
      <c r="Y8" s="19" t="s">
        <v>4</v>
      </c>
      <c r="Z8" s="23"/>
      <c r="AA8" s="19" t="s">
        <v>131</v>
      </c>
      <c r="AB8" s="23"/>
      <c r="AC8" s="50">
        <v>39448</v>
      </c>
      <c r="AD8" s="23"/>
      <c r="AE8" s="50">
        <v>39813</v>
      </c>
      <c r="AF8" s="27" t="s">
        <v>192</v>
      </c>
      <c r="AG8" s="27"/>
    </row>
    <row r="9" spans="1:33" ht="12.75" customHeight="1">
      <c r="A9" s="18"/>
      <c r="B9" s="23"/>
      <c r="C9" s="20"/>
      <c r="D9" s="23"/>
      <c r="E9" s="20"/>
      <c r="F9" s="23"/>
      <c r="G9" s="20"/>
      <c r="H9" s="23"/>
      <c r="I9" s="20"/>
      <c r="J9" s="23"/>
      <c r="K9" s="20"/>
      <c r="L9" s="23"/>
      <c r="M9" s="20"/>
      <c r="N9" s="23"/>
      <c r="O9" s="20"/>
      <c r="P9" s="23"/>
      <c r="Q9" s="20"/>
      <c r="R9" s="23"/>
      <c r="S9" s="20"/>
      <c r="T9" s="23"/>
      <c r="U9" s="20"/>
      <c r="V9" s="23"/>
      <c r="W9" s="20"/>
      <c r="X9" s="23"/>
      <c r="Y9" s="20"/>
      <c r="Z9" s="23"/>
      <c r="AA9" s="20"/>
      <c r="AB9" s="23"/>
      <c r="AC9" s="26"/>
      <c r="AD9" s="23"/>
      <c r="AE9" s="26"/>
      <c r="AF9" s="27"/>
      <c r="AG9" s="27"/>
    </row>
    <row r="10" spans="1:33" ht="12.75" customHeight="1">
      <c r="A10" s="107" t="s">
        <v>231</v>
      </c>
      <c r="B10" s="22" t="str">
        <f aca="true" t="shared" si="0" ref="B10:B29">LEFT(A10,2)</f>
        <v>1 </v>
      </c>
      <c r="C10" s="23">
        <v>93616000</v>
      </c>
      <c r="D10" s="23"/>
      <c r="E10" s="23">
        <v>351738000</v>
      </c>
      <c r="F10" s="23"/>
      <c r="G10" s="23">
        <v>0</v>
      </c>
      <c r="H10" s="23"/>
      <c r="I10" s="23">
        <v>54458000</v>
      </c>
      <c r="J10" s="23"/>
      <c r="K10" s="23">
        <v>220733000</v>
      </c>
      <c r="L10" s="23"/>
      <c r="M10" s="23">
        <v>662870000</v>
      </c>
      <c r="N10" s="23"/>
      <c r="O10" s="23">
        <v>49190000</v>
      </c>
      <c r="P10" s="23"/>
      <c r="Q10" s="23">
        <v>0</v>
      </c>
      <c r="R10" s="23"/>
      <c r="S10" s="23">
        <v>0</v>
      </c>
      <c r="T10" s="23"/>
      <c r="U10" s="23">
        <v>0</v>
      </c>
      <c r="V10" s="23"/>
      <c r="W10" s="23">
        <v>15589000</v>
      </c>
      <c r="X10" s="23"/>
      <c r="Y10" s="23">
        <f aca="true" t="shared" si="1" ref="Y10:Y29">SUM(C10:W10)</f>
        <v>1448194000</v>
      </c>
      <c r="Z10" s="23"/>
      <c r="AA10" s="23">
        <v>43061000</v>
      </c>
      <c r="AB10" s="23"/>
      <c r="AC10" s="23">
        <v>818720000</v>
      </c>
      <c r="AD10" s="23"/>
      <c r="AE10" s="23">
        <f aca="true" t="shared" si="2" ref="AE10:AE29">+AC10+AA10</f>
        <v>861781000</v>
      </c>
      <c r="AF10" s="24">
        <f>+'St of Net Assets - GA'!W27-'St of Activities - GA Exp'!AE27</f>
        <v>0</v>
      </c>
      <c r="AG10" s="27"/>
    </row>
    <row r="11" spans="1:33" ht="12.75" customHeight="1">
      <c r="A11" s="107" t="s">
        <v>232</v>
      </c>
      <c r="B11" s="22" t="str">
        <f t="shared" si="0"/>
        <v>2 </v>
      </c>
      <c r="C11" s="23">
        <v>122288000</v>
      </c>
      <c r="D11" s="23"/>
      <c r="E11" s="23">
        <v>69418000</v>
      </c>
      <c r="F11" s="23"/>
      <c r="G11" s="23">
        <v>133455000</v>
      </c>
      <c r="H11" s="23"/>
      <c r="I11" s="23">
        <v>36299000</v>
      </c>
      <c r="J11" s="23"/>
      <c r="K11" s="23">
        <v>339858000</v>
      </c>
      <c r="L11" s="23"/>
      <c r="M11" s="23">
        <v>395904000</v>
      </c>
      <c r="N11" s="23"/>
      <c r="O11" s="23">
        <v>5220000</v>
      </c>
      <c r="P11" s="23"/>
      <c r="Q11" s="23">
        <v>20492000</v>
      </c>
      <c r="R11" s="23"/>
      <c r="S11" s="23">
        <v>0</v>
      </c>
      <c r="T11" s="23"/>
      <c r="U11" s="23">
        <v>0</v>
      </c>
      <c r="V11" s="23"/>
      <c r="W11" s="23">
        <v>13448000</v>
      </c>
      <c r="X11" s="23"/>
      <c r="Y11" s="23">
        <f t="shared" si="1"/>
        <v>1136382000</v>
      </c>
      <c r="Z11" s="23"/>
      <c r="AA11" s="23">
        <v>31819000</v>
      </c>
      <c r="AB11" s="23"/>
      <c r="AC11" s="23">
        <v>1061933000</v>
      </c>
      <c r="AD11" s="23"/>
      <c r="AE11" s="23">
        <f t="shared" si="2"/>
        <v>1093752000</v>
      </c>
      <c r="AF11" s="24" t="e">
        <f>+'St of Net Assets - GA'!#REF!-'St of Activities - GA Exp'!#REF!</f>
        <v>#REF!</v>
      </c>
      <c r="AG11" s="27"/>
    </row>
    <row r="12" spans="1:33" ht="12.75" customHeight="1">
      <c r="A12" s="107" t="s">
        <v>233</v>
      </c>
      <c r="B12" s="22" t="str">
        <f t="shared" si="0"/>
        <v>3 </v>
      </c>
      <c r="C12" s="23">
        <v>90623000</v>
      </c>
      <c r="D12" s="23"/>
      <c r="E12" s="23">
        <v>121578000</v>
      </c>
      <c r="F12" s="23"/>
      <c r="G12" s="23">
        <v>123099000</v>
      </c>
      <c r="H12" s="23"/>
      <c r="I12" s="23">
        <v>51020000</v>
      </c>
      <c r="J12" s="23"/>
      <c r="K12" s="23">
        <v>239911000</v>
      </c>
      <c r="L12" s="23"/>
      <c r="M12" s="23">
        <v>351580000</v>
      </c>
      <c r="N12" s="23"/>
      <c r="O12" s="23">
        <v>6068000</v>
      </c>
      <c r="P12" s="23"/>
      <c r="Q12" s="23">
        <v>7475000</v>
      </c>
      <c r="R12" s="23"/>
      <c r="S12" s="23">
        <v>5811000</v>
      </c>
      <c r="T12" s="23"/>
      <c r="U12" s="23">
        <v>0</v>
      </c>
      <c r="V12" s="23"/>
      <c r="W12" s="23">
        <f>4896000+64000</f>
        <v>4960000</v>
      </c>
      <c r="X12" s="23"/>
      <c r="Y12" s="23">
        <f t="shared" si="1"/>
        <v>1002125000</v>
      </c>
      <c r="Z12" s="23"/>
      <c r="AA12" s="23">
        <v>8744000</v>
      </c>
      <c r="AB12" s="23"/>
      <c r="AC12" s="23">
        <v>667933000</v>
      </c>
      <c r="AD12" s="23"/>
      <c r="AE12" s="23">
        <f t="shared" si="2"/>
        <v>676677000</v>
      </c>
      <c r="AF12" s="24" t="e">
        <f>+'St of Net Assets - GA'!#REF!-'St of Activities - GA Exp'!#REF!</f>
        <v>#REF!</v>
      </c>
      <c r="AG12" s="27"/>
    </row>
    <row r="13" spans="1:33" ht="12.75" customHeight="1">
      <c r="A13" s="107" t="s">
        <v>234</v>
      </c>
      <c r="B13" s="22" t="str">
        <f t="shared" si="0"/>
        <v>4 </v>
      </c>
      <c r="C13" s="23">
        <v>41509280</v>
      </c>
      <c r="D13" s="23"/>
      <c r="E13" s="23">
        <v>33686132</v>
      </c>
      <c r="F13" s="23"/>
      <c r="G13" s="23">
        <v>79481857</v>
      </c>
      <c r="H13" s="23"/>
      <c r="I13" s="23">
        <v>20456800</v>
      </c>
      <c r="J13" s="23"/>
      <c r="K13" s="23">
        <v>131938662</v>
      </c>
      <c r="L13" s="23"/>
      <c r="M13" s="23">
        <v>135940442</v>
      </c>
      <c r="N13" s="23"/>
      <c r="O13" s="23">
        <v>3313440</v>
      </c>
      <c r="P13" s="23"/>
      <c r="Q13" s="23">
        <v>8983180</v>
      </c>
      <c r="R13" s="23"/>
      <c r="S13" s="23">
        <v>0</v>
      </c>
      <c r="T13" s="23"/>
      <c r="U13" s="23">
        <v>0</v>
      </c>
      <c r="V13" s="23"/>
      <c r="W13" s="23">
        <v>3131175</v>
      </c>
      <c r="X13" s="23"/>
      <c r="Y13" s="23">
        <f t="shared" si="1"/>
        <v>458440968</v>
      </c>
      <c r="Z13" s="23"/>
      <c r="AA13" s="23">
        <v>-6577062</v>
      </c>
      <c r="AB13" s="23"/>
      <c r="AC13" s="23">
        <v>403442220</v>
      </c>
      <c r="AD13" s="23"/>
      <c r="AE13" s="23">
        <f t="shared" si="2"/>
        <v>396865158</v>
      </c>
      <c r="AF13" s="24" t="e">
        <f>+'St of Net Assets - GA'!#REF!-'St of Activities - GA Exp'!#REF!</f>
        <v>#REF!</v>
      </c>
      <c r="AG13" s="24"/>
    </row>
    <row r="14" spans="1:33" ht="12.75" customHeight="1">
      <c r="A14" s="107" t="s">
        <v>236</v>
      </c>
      <c r="B14" s="22" t="str">
        <f t="shared" si="0"/>
        <v>5 </v>
      </c>
      <c r="C14" s="23">
        <v>47679817</v>
      </c>
      <c r="D14" s="23"/>
      <c r="E14" s="23">
        <v>172328638</v>
      </c>
      <c r="F14" s="23"/>
      <c r="G14" s="23">
        <v>0</v>
      </c>
      <c r="H14" s="23"/>
      <c r="I14" s="23">
        <v>19372394</v>
      </c>
      <c r="J14" s="23"/>
      <c r="K14" s="23">
        <v>0</v>
      </c>
      <c r="L14" s="23"/>
      <c r="M14" s="23">
        <v>291778895</v>
      </c>
      <c r="N14" s="23"/>
      <c r="O14" s="23">
        <v>14121820</v>
      </c>
      <c r="P14" s="23"/>
      <c r="Q14" s="23">
        <v>0</v>
      </c>
      <c r="R14" s="23"/>
      <c r="S14" s="23">
        <v>0</v>
      </c>
      <c r="T14" s="23"/>
      <c r="U14" s="23">
        <v>0</v>
      </c>
      <c r="V14" s="23"/>
      <c r="W14" s="23">
        <v>2164855</v>
      </c>
      <c r="X14" s="23"/>
      <c r="Y14" s="23">
        <f t="shared" si="1"/>
        <v>547446419</v>
      </c>
      <c r="Z14" s="23"/>
      <c r="AA14" s="23">
        <v>19396158</v>
      </c>
      <c r="AB14" s="23"/>
      <c r="AC14" s="23">
        <v>802111279</v>
      </c>
      <c r="AD14" s="23"/>
      <c r="AE14" s="23">
        <f t="shared" si="2"/>
        <v>821507437</v>
      </c>
      <c r="AF14" s="24" t="e">
        <f>+'St of Net Assets - GA'!#REF!-'St of Activities - GA Exp'!#REF!</f>
        <v>#REF!</v>
      </c>
      <c r="AG14" s="27"/>
    </row>
    <row r="15" spans="1:33" ht="12.75" customHeight="1">
      <c r="A15" s="107" t="s">
        <v>237</v>
      </c>
      <c r="B15" s="22" t="str">
        <f t="shared" si="0"/>
        <v>6 </v>
      </c>
      <c r="C15" s="112">
        <v>31147918</v>
      </c>
      <c r="D15" s="112"/>
      <c r="E15" s="112">
        <v>82097167</v>
      </c>
      <c r="F15" s="112"/>
      <c r="G15" s="112">
        <v>83360838</v>
      </c>
      <c r="H15" s="112"/>
      <c r="I15" s="112">
        <v>17836566</v>
      </c>
      <c r="J15" s="112"/>
      <c r="K15" s="112">
        <v>150951885</v>
      </c>
      <c r="L15" s="112"/>
      <c r="M15" s="112">
        <v>151937953</v>
      </c>
      <c r="N15" s="112"/>
      <c r="O15" s="112">
        <v>0</v>
      </c>
      <c r="P15" s="112"/>
      <c r="Q15" s="112">
        <v>9293563</v>
      </c>
      <c r="R15" s="112"/>
      <c r="S15" s="112">
        <v>0</v>
      </c>
      <c r="T15" s="112"/>
      <c r="U15" s="112">
        <v>0</v>
      </c>
      <c r="V15" s="112"/>
      <c r="W15" s="112">
        <v>5805448</v>
      </c>
      <c r="X15" s="112"/>
      <c r="Y15" s="112">
        <f t="shared" si="1"/>
        <v>532431338</v>
      </c>
      <c r="Z15" s="112"/>
      <c r="AA15" s="112">
        <v>-21350973</v>
      </c>
      <c r="AB15" s="112"/>
      <c r="AC15" s="112">
        <v>363916730</v>
      </c>
      <c r="AD15" s="112"/>
      <c r="AE15" s="112">
        <f t="shared" si="2"/>
        <v>342565757</v>
      </c>
      <c r="AF15" s="113">
        <f>+'[1]St of Net Assets - GA'!W57-'[1]St of Activities - GA Exp'!AE57</f>
        <v>0</v>
      </c>
      <c r="AG15" s="27"/>
    </row>
    <row r="16" spans="1:33" ht="12.75" customHeight="1">
      <c r="A16" s="107" t="s">
        <v>238</v>
      </c>
      <c r="B16" s="22" t="str">
        <f t="shared" si="0"/>
        <v>7 </v>
      </c>
      <c r="C16" s="23">
        <v>20726938</v>
      </c>
      <c r="D16" s="23"/>
      <c r="E16" s="23">
        <v>16508346</v>
      </c>
      <c r="F16" s="23"/>
      <c r="G16" s="23">
        <v>29035723</v>
      </c>
      <c r="H16" s="23"/>
      <c r="I16" s="23">
        <v>21293041</v>
      </c>
      <c r="J16" s="23"/>
      <c r="K16" s="23">
        <v>81485624</v>
      </c>
      <c r="L16" s="23"/>
      <c r="M16" s="23">
        <v>70606830</v>
      </c>
      <c r="N16" s="23"/>
      <c r="O16" s="23">
        <v>0</v>
      </c>
      <c r="P16" s="23"/>
      <c r="Q16" s="23">
        <v>0</v>
      </c>
      <c r="R16" s="23"/>
      <c r="S16" s="23">
        <v>943632</v>
      </c>
      <c r="T16" s="23"/>
      <c r="U16" s="23">
        <v>6874483</v>
      </c>
      <c r="V16" s="23"/>
      <c r="W16" s="23">
        <v>287439</v>
      </c>
      <c r="X16" s="23"/>
      <c r="Y16" s="23">
        <f t="shared" si="1"/>
        <v>247762056</v>
      </c>
      <c r="Z16" s="23"/>
      <c r="AA16" s="23">
        <v>-9783873</v>
      </c>
      <c r="AB16" s="23"/>
      <c r="AC16" s="23">
        <v>270012523</v>
      </c>
      <c r="AD16" s="23"/>
      <c r="AE16" s="23">
        <f t="shared" si="2"/>
        <v>260228650</v>
      </c>
      <c r="AF16" s="24" t="e">
        <f>+'St of Net Assets - GA'!#REF!-'St of Activities - GA Exp'!#REF!</f>
        <v>#REF!</v>
      </c>
      <c r="AG16" s="27"/>
    </row>
    <row r="17" spans="1:32" ht="12.75" customHeight="1">
      <c r="A17" s="107" t="s">
        <v>250</v>
      </c>
      <c r="B17" s="107"/>
      <c r="C17" s="112">
        <v>45710686</v>
      </c>
      <c r="D17" s="112"/>
      <c r="E17" s="112">
        <v>99370504</v>
      </c>
      <c r="F17" s="112"/>
      <c r="G17" s="112">
        <v>13936431</v>
      </c>
      <c r="H17" s="112"/>
      <c r="I17" s="112">
        <f>14191594+19073043+13884835+9023904+13280836</f>
        <v>69454212</v>
      </c>
      <c r="J17" s="112"/>
      <c r="K17" s="112">
        <v>33408493</v>
      </c>
      <c r="L17" s="112"/>
      <c r="M17" s="112">
        <f>2454986+4438718</f>
        <v>6893704</v>
      </c>
      <c r="N17" s="112"/>
      <c r="O17" s="112">
        <v>7664080</v>
      </c>
      <c r="P17" s="112"/>
      <c r="Q17" s="112">
        <v>9085686</v>
      </c>
      <c r="R17" s="112"/>
      <c r="S17" s="112">
        <f>1277036+3707444</f>
        <v>4984480</v>
      </c>
      <c r="T17" s="112"/>
      <c r="U17" s="112">
        <v>0</v>
      </c>
      <c r="V17" s="112"/>
      <c r="W17" s="112">
        <f>SUM(I17:U17)</f>
        <v>131490655</v>
      </c>
      <c r="X17" s="112"/>
      <c r="Y17" s="112">
        <f>SUM(B17:V17)</f>
        <v>290508276</v>
      </c>
      <c r="AE17" s="25"/>
      <c r="AF17" s="25"/>
    </row>
    <row r="18" spans="1:33" ht="12.75" customHeight="1">
      <c r="A18" s="107" t="s">
        <v>239</v>
      </c>
      <c r="B18" s="22" t="str">
        <f t="shared" si="0"/>
        <v>9 </v>
      </c>
      <c r="C18" s="112">
        <v>34416356</v>
      </c>
      <c r="D18" s="112"/>
      <c r="E18" s="112">
        <v>20697509</v>
      </c>
      <c r="F18" s="112"/>
      <c r="G18" s="112">
        <v>26800174</v>
      </c>
      <c r="H18" s="112"/>
      <c r="I18" s="112">
        <v>13425334</v>
      </c>
      <c r="J18" s="112"/>
      <c r="K18" s="112">
        <v>49969745</v>
      </c>
      <c r="L18" s="112"/>
      <c r="M18" s="112">
        <v>90381231</v>
      </c>
      <c r="N18" s="112"/>
      <c r="O18" s="112">
        <v>532681</v>
      </c>
      <c r="P18" s="112"/>
      <c r="Q18" s="112">
        <v>0</v>
      </c>
      <c r="R18" s="112"/>
      <c r="S18" s="112">
        <v>0</v>
      </c>
      <c r="T18" s="112"/>
      <c r="U18" s="112">
        <v>0</v>
      </c>
      <c r="V18" s="112"/>
      <c r="W18" s="112">
        <v>1995060</v>
      </c>
      <c r="X18" s="112"/>
      <c r="Y18" s="112">
        <f t="shared" si="1"/>
        <v>238218090</v>
      </c>
      <c r="Z18" s="112"/>
      <c r="AA18" s="112">
        <v>-11239517</v>
      </c>
      <c r="AB18" s="112"/>
      <c r="AC18" s="112">
        <v>242368578</v>
      </c>
      <c r="AD18" s="112"/>
      <c r="AE18" s="112">
        <f t="shared" si="2"/>
        <v>231129061</v>
      </c>
      <c r="AF18" s="113">
        <f>+'[1]St of Net Assets - GA'!W56-'[1]St of Activities - GA Exp'!AE56</f>
        <v>0</v>
      </c>
      <c r="AG18" s="27"/>
    </row>
    <row r="19" spans="1:33" ht="12.75" customHeight="1">
      <c r="A19" s="107" t="s">
        <v>240</v>
      </c>
      <c r="B19" s="22" t="str">
        <f t="shared" si="0"/>
        <v>10</v>
      </c>
      <c r="C19" s="112">
        <v>29183996</v>
      </c>
      <c r="D19" s="112"/>
      <c r="E19" s="112">
        <v>19254381</v>
      </c>
      <c r="F19" s="112"/>
      <c r="G19" s="112">
        <v>29504632</v>
      </c>
      <c r="H19" s="112"/>
      <c r="I19" s="112">
        <v>14830409</v>
      </c>
      <c r="J19" s="112"/>
      <c r="K19" s="112">
        <v>51244234</v>
      </c>
      <c r="L19" s="112"/>
      <c r="M19" s="112">
        <v>58506298</v>
      </c>
      <c r="N19" s="112"/>
      <c r="O19" s="112">
        <v>0</v>
      </c>
      <c r="P19" s="112"/>
      <c r="Q19" s="112">
        <v>0</v>
      </c>
      <c r="R19" s="112"/>
      <c r="S19" s="112">
        <v>0</v>
      </c>
      <c r="T19" s="112"/>
      <c r="U19" s="112">
        <v>0</v>
      </c>
      <c r="V19" s="112"/>
      <c r="W19" s="112">
        <v>1950950</v>
      </c>
      <c r="X19" s="112"/>
      <c r="Y19" s="112">
        <f t="shared" si="1"/>
        <v>204474900</v>
      </c>
      <c r="Z19" s="112"/>
      <c r="AA19" s="112">
        <v>8991863</v>
      </c>
      <c r="AB19" s="112"/>
      <c r="AC19" s="112">
        <v>176697078</v>
      </c>
      <c r="AD19" s="112"/>
      <c r="AE19" s="112">
        <f t="shared" si="2"/>
        <v>185688941</v>
      </c>
      <c r="AF19" s="113">
        <f>+'[1]St of Net Assets - GA'!W59-'[1]St of Activities - GA Exp'!AE59</f>
        <v>0</v>
      </c>
      <c r="AG19" s="27"/>
    </row>
    <row r="20" spans="1:33" ht="12.75" customHeight="1">
      <c r="A20" s="107" t="s">
        <v>241</v>
      </c>
      <c r="B20" s="22" t="str">
        <f t="shared" si="0"/>
        <v>11</v>
      </c>
      <c r="C20" s="112">
        <v>20106955</v>
      </c>
      <c r="D20" s="112"/>
      <c r="E20" s="112">
        <v>48973479</v>
      </c>
      <c r="F20" s="112"/>
      <c r="G20" s="112">
        <v>0</v>
      </c>
      <c r="H20" s="112"/>
      <c r="I20" s="112">
        <v>13905059</v>
      </c>
      <c r="J20" s="112"/>
      <c r="K20" s="112">
        <v>24988729</v>
      </c>
      <c r="L20" s="112"/>
      <c r="M20" s="112">
        <v>80562772</v>
      </c>
      <c r="N20" s="112"/>
      <c r="O20" s="112">
        <v>2601707</v>
      </c>
      <c r="P20" s="112"/>
      <c r="Q20" s="112">
        <v>0</v>
      </c>
      <c r="R20" s="112"/>
      <c r="S20" s="112">
        <v>0</v>
      </c>
      <c r="T20" s="112"/>
      <c r="U20" s="112">
        <v>0</v>
      </c>
      <c r="V20" s="112"/>
      <c r="W20" s="112">
        <v>1554438</v>
      </c>
      <c r="X20" s="112"/>
      <c r="Y20" s="112">
        <f t="shared" si="1"/>
        <v>192693139</v>
      </c>
      <c r="Z20" s="112"/>
      <c r="AA20" s="112">
        <v>-11640973</v>
      </c>
      <c r="AB20" s="112"/>
      <c r="AC20" s="112">
        <v>232466270</v>
      </c>
      <c r="AD20" s="112"/>
      <c r="AE20" s="112">
        <f t="shared" si="2"/>
        <v>220825297</v>
      </c>
      <c r="AF20" s="113">
        <f>+'[1]St of Net Assets - GA'!W52-'[1]St of Activities - GA Exp'!AE52</f>
        <v>0</v>
      </c>
      <c r="AG20" s="27"/>
    </row>
    <row r="21" spans="1:33" ht="12.75" customHeight="1">
      <c r="A21" s="107" t="s">
        <v>235</v>
      </c>
      <c r="B21" s="22" t="str">
        <f t="shared" si="0"/>
        <v>12</v>
      </c>
      <c r="C21" s="23">
        <v>22470546</v>
      </c>
      <c r="D21" s="23"/>
      <c r="E21" s="23">
        <v>11617132</v>
      </c>
      <c r="F21" s="23"/>
      <c r="G21" s="23">
        <v>18569997</v>
      </c>
      <c r="H21" s="23"/>
      <c r="I21" s="23">
        <v>14302140</v>
      </c>
      <c r="J21" s="23"/>
      <c r="K21" s="23">
        <v>44596310</v>
      </c>
      <c r="L21" s="23"/>
      <c r="M21" s="23">
        <v>51838040</v>
      </c>
      <c r="N21" s="23"/>
      <c r="O21" s="23">
        <v>116927</v>
      </c>
      <c r="P21" s="23"/>
      <c r="Q21" s="23">
        <v>0</v>
      </c>
      <c r="R21" s="23"/>
      <c r="S21" s="23">
        <v>0</v>
      </c>
      <c r="T21" s="23"/>
      <c r="U21" s="23">
        <v>0</v>
      </c>
      <c r="V21" s="23"/>
      <c r="W21" s="23">
        <v>2491954</v>
      </c>
      <c r="X21" s="23"/>
      <c r="Y21" s="23">
        <f t="shared" si="1"/>
        <v>166003046</v>
      </c>
      <c r="Z21" s="23"/>
      <c r="AA21" s="23">
        <v>-3010599</v>
      </c>
      <c r="AB21" s="23"/>
      <c r="AC21" s="23">
        <v>138140262</v>
      </c>
      <c r="AD21" s="23"/>
      <c r="AE21" s="23">
        <f t="shared" si="2"/>
        <v>135129663</v>
      </c>
      <c r="AF21" s="24" t="e">
        <f>+'St of Net Assets - GA'!#REF!-'St of Activities - GA Exp'!#REF!</f>
        <v>#REF!</v>
      </c>
      <c r="AG21" s="27"/>
    </row>
    <row r="22" spans="1:33" ht="12.75" customHeight="1">
      <c r="A22" s="107" t="s">
        <v>242</v>
      </c>
      <c r="B22" s="22" t="str">
        <f t="shared" si="0"/>
        <v>13</v>
      </c>
      <c r="C22" s="23">
        <v>23812522</v>
      </c>
      <c r="D22" s="23"/>
      <c r="E22" s="23">
        <v>11515619</v>
      </c>
      <c r="F22" s="23"/>
      <c r="G22" s="23">
        <v>27809742</v>
      </c>
      <c r="H22" s="23"/>
      <c r="I22" s="23">
        <v>8943608</v>
      </c>
      <c r="J22" s="23"/>
      <c r="K22" s="23">
        <v>645752</v>
      </c>
      <c r="L22" s="23"/>
      <c r="M22" s="23">
        <v>40019535</v>
      </c>
      <c r="N22" s="23"/>
      <c r="O22" s="23">
        <v>2056654</v>
      </c>
      <c r="P22" s="23"/>
      <c r="Q22" s="23">
        <v>0</v>
      </c>
      <c r="R22" s="23"/>
      <c r="S22" s="23">
        <v>0</v>
      </c>
      <c r="T22" s="23"/>
      <c r="U22" s="23">
        <v>0</v>
      </c>
      <c r="V22" s="23"/>
      <c r="W22" s="23">
        <v>1298695</v>
      </c>
      <c r="X22" s="23"/>
      <c r="Y22" s="23">
        <f t="shared" si="1"/>
        <v>116102127</v>
      </c>
      <c r="Z22" s="23"/>
      <c r="AA22" s="23">
        <v>18711389</v>
      </c>
      <c r="AB22" s="23"/>
      <c r="AC22" s="23">
        <v>197636353</v>
      </c>
      <c r="AD22" s="23"/>
      <c r="AE22" s="23">
        <f t="shared" si="2"/>
        <v>216347742</v>
      </c>
      <c r="AF22" s="24" t="e">
        <f>+'St of Net Assets - GA'!#REF!-'St of Activities - GA Exp'!#REF!</f>
        <v>#REF!</v>
      </c>
      <c r="AG22" s="27"/>
    </row>
    <row r="23" spans="1:33" ht="12.75" customHeight="1">
      <c r="A23" s="107" t="s">
        <v>243</v>
      </c>
      <c r="B23" s="22" t="str">
        <f t="shared" si="0"/>
        <v>14</v>
      </c>
      <c r="C23" s="23">
        <v>24169254</v>
      </c>
      <c r="D23" s="23"/>
      <c r="E23" s="23">
        <v>10283817</v>
      </c>
      <c r="F23" s="23"/>
      <c r="G23" s="23">
        <v>29537742</v>
      </c>
      <c r="H23" s="23"/>
      <c r="I23" s="23">
        <v>12231975</v>
      </c>
      <c r="J23" s="23"/>
      <c r="K23" s="23">
        <v>1060055</v>
      </c>
      <c r="L23" s="23"/>
      <c r="M23" s="23">
        <v>38651149</v>
      </c>
      <c r="N23" s="23"/>
      <c r="O23" s="23">
        <f>3690188+1154033+3421130</f>
        <v>8265351</v>
      </c>
      <c r="P23" s="23"/>
      <c r="Q23" s="23">
        <v>0</v>
      </c>
      <c r="R23" s="23"/>
      <c r="S23" s="23">
        <v>0</v>
      </c>
      <c r="T23" s="23"/>
      <c r="U23" s="23">
        <v>0</v>
      </c>
      <c r="V23" s="23"/>
      <c r="W23" s="23">
        <v>995035</v>
      </c>
      <c r="X23" s="23"/>
      <c r="Y23" s="23">
        <f t="shared" si="1"/>
        <v>125194378</v>
      </c>
      <c r="Z23" s="23"/>
      <c r="AA23" s="23">
        <v>-139291</v>
      </c>
      <c r="AB23" s="23"/>
      <c r="AC23" s="23">
        <v>216872542</v>
      </c>
      <c r="AD23" s="23"/>
      <c r="AE23" s="23">
        <f t="shared" si="2"/>
        <v>216733251</v>
      </c>
      <c r="AF23" s="24">
        <f>+'St of Net Assets - GA'!W22-'St of Activities - GA Exp'!AE22</f>
        <v>0</v>
      </c>
      <c r="AG23" s="27"/>
    </row>
    <row r="24" spans="1:33" ht="12.75" customHeight="1">
      <c r="A24" s="107" t="s">
        <v>249</v>
      </c>
      <c r="B24" s="22" t="str">
        <f t="shared" si="0"/>
        <v>15</v>
      </c>
      <c r="C24" s="112">
        <v>14182373</v>
      </c>
      <c r="D24" s="112"/>
      <c r="E24" s="112">
        <v>8581800</v>
      </c>
      <c r="F24" s="112"/>
      <c r="G24" s="112">
        <v>21997104</v>
      </c>
      <c r="H24" s="112"/>
      <c r="I24" s="112">
        <v>12611517</v>
      </c>
      <c r="J24" s="112"/>
      <c r="K24" s="112">
        <v>26373938</v>
      </c>
      <c r="L24" s="112"/>
      <c r="M24" s="112">
        <v>23418045</v>
      </c>
      <c r="N24" s="112"/>
      <c r="O24" s="112">
        <f>584872+534219</f>
        <v>1119091</v>
      </c>
      <c r="P24" s="112"/>
      <c r="Q24" s="112">
        <v>0</v>
      </c>
      <c r="R24" s="112"/>
      <c r="S24" s="112">
        <v>0</v>
      </c>
      <c r="T24" s="112"/>
      <c r="U24" s="112">
        <v>0</v>
      </c>
      <c r="V24" s="112"/>
      <c r="W24" s="112">
        <v>483529</v>
      </c>
      <c r="X24" s="112"/>
      <c r="Y24" s="112">
        <f t="shared" si="1"/>
        <v>108767397</v>
      </c>
      <c r="Z24" s="112"/>
      <c r="AA24" s="112">
        <v>-3075222</v>
      </c>
      <c r="AB24" s="112"/>
      <c r="AC24" s="112">
        <v>103108789</v>
      </c>
      <c r="AD24" s="112"/>
      <c r="AE24" s="112">
        <f t="shared" si="2"/>
        <v>100033567</v>
      </c>
      <c r="AF24" s="113">
        <f>+'[1]St of Net Assets - GA'!W61-'[1]St of Activities - GA Exp'!AE61</f>
        <v>0</v>
      </c>
      <c r="AG24" s="27"/>
    </row>
    <row r="25" spans="1:33" ht="12.75" customHeight="1">
      <c r="A25" s="107" t="s">
        <v>244</v>
      </c>
      <c r="B25" s="22" t="str">
        <f t="shared" si="0"/>
        <v>16</v>
      </c>
      <c r="C25" s="23">
        <v>17011942</v>
      </c>
      <c r="D25" s="23"/>
      <c r="E25" s="23">
        <v>7985127</v>
      </c>
      <c r="F25" s="23"/>
      <c r="G25" s="23">
        <f>3310412+9129131+14257670+3850585</f>
        <v>30547798</v>
      </c>
      <c r="H25" s="23"/>
      <c r="I25" s="23">
        <v>16116024</v>
      </c>
      <c r="J25" s="23"/>
      <c r="K25" s="23">
        <f>16238711+286000</f>
        <v>16524711</v>
      </c>
      <c r="L25" s="23"/>
      <c r="M25" s="23">
        <f>9500364+1399227+2655738+898595</f>
        <v>14453924</v>
      </c>
      <c r="N25" s="23"/>
      <c r="O25" s="23">
        <v>0</v>
      </c>
      <c r="P25" s="23"/>
      <c r="Q25" s="23">
        <f>8498+387915</f>
        <v>396413</v>
      </c>
      <c r="R25" s="23"/>
      <c r="S25" s="23">
        <v>0</v>
      </c>
      <c r="T25" s="23"/>
      <c r="U25" s="23">
        <v>0</v>
      </c>
      <c r="V25" s="23"/>
      <c r="W25" s="23">
        <v>2037408</v>
      </c>
      <c r="X25" s="23"/>
      <c r="Y25" s="23">
        <f t="shared" si="1"/>
        <v>105073347</v>
      </c>
      <c r="Z25" s="23"/>
      <c r="AA25" s="23">
        <v>10009705</v>
      </c>
      <c r="AB25" s="23"/>
      <c r="AC25" s="23">
        <v>213227578</v>
      </c>
      <c r="AD25" s="23"/>
      <c r="AE25" s="23">
        <f t="shared" si="2"/>
        <v>223237283</v>
      </c>
      <c r="AF25" s="24" t="e">
        <f>+'St of Net Assets - GA'!#REF!-'St of Activities - GA Exp'!#REF!</f>
        <v>#REF!</v>
      </c>
      <c r="AG25" s="27"/>
    </row>
    <row r="26" spans="1:33" ht="12.75" customHeight="1">
      <c r="A26" s="107" t="s">
        <v>245</v>
      </c>
      <c r="B26" s="22" t="str">
        <f t="shared" si="0"/>
        <v>17</v>
      </c>
      <c r="C26" s="112">
        <v>27214151</v>
      </c>
      <c r="D26" s="112"/>
      <c r="E26" s="112">
        <v>0</v>
      </c>
      <c r="F26" s="112"/>
      <c r="G26" s="112">
        <v>22186778</v>
      </c>
      <c r="H26" s="112"/>
      <c r="I26" s="112">
        <v>8769736</v>
      </c>
      <c r="J26" s="112"/>
      <c r="K26" s="112">
        <v>4756000</v>
      </c>
      <c r="L26" s="112"/>
      <c r="M26" s="112">
        <v>50272596</v>
      </c>
      <c r="N26" s="112"/>
      <c r="O26" s="112">
        <v>1123999</v>
      </c>
      <c r="P26" s="112"/>
      <c r="Q26" s="112">
        <v>1194101</v>
      </c>
      <c r="R26" s="112"/>
      <c r="S26" s="112">
        <v>0</v>
      </c>
      <c r="T26" s="112"/>
      <c r="U26" s="112">
        <v>0</v>
      </c>
      <c r="V26" s="112"/>
      <c r="W26" s="112">
        <v>559610</v>
      </c>
      <c r="X26" s="112"/>
      <c r="Y26" s="112">
        <f t="shared" si="1"/>
        <v>116076971</v>
      </c>
      <c r="Z26" s="112"/>
      <c r="AA26" s="112">
        <v>-4489155</v>
      </c>
      <c r="AB26" s="112"/>
      <c r="AC26" s="112">
        <v>111751797</v>
      </c>
      <c r="AD26" s="112"/>
      <c r="AE26" s="112">
        <f t="shared" si="2"/>
        <v>107262642</v>
      </c>
      <c r="AF26" s="113">
        <f>+'[1]St of Net Assets - GA'!W54-'[1]St of Activities - GA Exp'!AE54</f>
        <v>0</v>
      </c>
      <c r="AG26" s="27"/>
    </row>
    <row r="27" spans="1:33" ht="12.75" customHeight="1">
      <c r="A27" s="107" t="s">
        <v>246</v>
      </c>
      <c r="B27" s="22" t="str">
        <f t="shared" si="0"/>
        <v>18</v>
      </c>
      <c r="C27" s="23">
        <v>16399876</v>
      </c>
      <c r="D27" s="23"/>
      <c r="E27" s="23">
        <v>10067912</v>
      </c>
      <c r="F27" s="23"/>
      <c r="G27" s="23">
        <v>16542880</v>
      </c>
      <c r="H27" s="23"/>
      <c r="I27" s="23">
        <v>9042327</v>
      </c>
      <c r="J27" s="23"/>
      <c r="K27" s="23">
        <v>33270996</v>
      </c>
      <c r="L27" s="23"/>
      <c r="M27" s="23">
        <v>26337284</v>
      </c>
      <c r="N27" s="23"/>
      <c r="O27" s="23">
        <v>0</v>
      </c>
      <c r="P27" s="23"/>
      <c r="Q27" s="23">
        <v>0</v>
      </c>
      <c r="R27" s="23"/>
      <c r="S27" s="23">
        <v>0</v>
      </c>
      <c r="T27" s="23"/>
      <c r="U27" s="23">
        <v>0</v>
      </c>
      <c r="V27" s="23"/>
      <c r="W27" s="23">
        <v>941204</v>
      </c>
      <c r="X27" s="23"/>
      <c r="Y27" s="23">
        <f t="shared" si="1"/>
        <v>112602479</v>
      </c>
      <c r="Z27" s="23"/>
      <c r="AA27" s="23">
        <v>7805704</v>
      </c>
      <c r="AB27" s="23"/>
      <c r="AC27" s="23">
        <v>149129479</v>
      </c>
      <c r="AD27" s="23"/>
      <c r="AE27" s="23">
        <f t="shared" si="2"/>
        <v>156935183</v>
      </c>
      <c r="AF27" s="24" t="e">
        <f>+'St of Net Assets - GA'!#REF!-'St of Activities - GA Exp'!#REF!</f>
        <v>#REF!</v>
      </c>
      <c r="AG27" s="27"/>
    </row>
    <row r="28" spans="1:33" ht="12.75" customHeight="1">
      <c r="A28" s="107" t="s">
        <v>247</v>
      </c>
      <c r="B28" s="22" t="str">
        <f t="shared" si="0"/>
        <v>19</v>
      </c>
      <c r="C28" s="23">
        <v>19548303</v>
      </c>
      <c r="D28" s="23"/>
      <c r="E28" s="23">
        <v>8114030</v>
      </c>
      <c r="F28" s="23"/>
      <c r="G28" s="23">
        <v>22210966</v>
      </c>
      <c r="H28" s="23"/>
      <c r="I28" s="23">
        <v>10698264</v>
      </c>
      <c r="J28" s="23"/>
      <c r="K28" s="23">
        <v>20792068</v>
      </c>
      <c r="L28" s="23"/>
      <c r="M28" s="23">
        <v>35129875</v>
      </c>
      <c r="N28" s="23"/>
      <c r="O28" s="23">
        <v>1978360</v>
      </c>
      <c r="P28" s="23"/>
      <c r="Q28" s="23">
        <v>3333810</v>
      </c>
      <c r="R28" s="23"/>
      <c r="S28" s="23">
        <v>0</v>
      </c>
      <c r="T28" s="23"/>
      <c r="U28" s="23">
        <v>0</v>
      </c>
      <c r="V28" s="23"/>
      <c r="W28" s="23">
        <v>1659682</v>
      </c>
      <c r="X28" s="23"/>
      <c r="Y28" s="23">
        <f t="shared" si="1"/>
        <v>123465358</v>
      </c>
      <c r="Z28" s="23"/>
      <c r="AA28" s="23">
        <v>987993</v>
      </c>
      <c r="AB28" s="23"/>
      <c r="AC28" s="23">
        <v>189182389</v>
      </c>
      <c r="AD28" s="23"/>
      <c r="AE28" s="23">
        <f t="shared" si="2"/>
        <v>190170382</v>
      </c>
      <c r="AF28" s="24" t="e">
        <f>+'St of Net Assets - GA'!#REF!-'St of Activities - GA Exp'!#REF!</f>
        <v>#REF!</v>
      </c>
      <c r="AG28" s="27"/>
    </row>
    <row r="29" spans="1:33" ht="12.75" customHeight="1">
      <c r="A29" s="107" t="s">
        <v>248</v>
      </c>
      <c r="B29" s="22" t="str">
        <f t="shared" si="0"/>
        <v>20</v>
      </c>
      <c r="C29" s="23">
        <v>15515492</v>
      </c>
      <c r="D29" s="23"/>
      <c r="E29" s="23">
        <v>13658964</v>
      </c>
      <c r="F29" s="23"/>
      <c r="G29" s="23">
        <v>14986140</v>
      </c>
      <c r="H29" s="23"/>
      <c r="I29" s="23">
        <v>10073253</v>
      </c>
      <c r="J29" s="23"/>
      <c r="K29" s="23">
        <v>21035234</v>
      </c>
      <c r="L29" s="23"/>
      <c r="M29" s="23">
        <v>43509093</v>
      </c>
      <c r="N29" s="23"/>
      <c r="O29" s="23">
        <v>0</v>
      </c>
      <c r="P29" s="23"/>
      <c r="Q29" s="23">
        <v>1557877</v>
      </c>
      <c r="R29" s="23"/>
      <c r="S29" s="23">
        <v>0</v>
      </c>
      <c r="T29" s="23"/>
      <c r="U29" s="23">
        <v>0</v>
      </c>
      <c r="V29" s="23"/>
      <c r="W29" s="23">
        <v>730966</v>
      </c>
      <c r="X29" s="23"/>
      <c r="Y29" s="23">
        <f t="shared" si="1"/>
        <v>121067019</v>
      </c>
      <c r="Z29" s="23"/>
      <c r="AA29" s="23">
        <v>10741994</v>
      </c>
      <c r="AB29" s="23"/>
      <c r="AC29" s="23">
        <v>124291264</v>
      </c>
      <c r="AD29" s="23"/>
      <c r="AE29" s="23">
        <f t="shared" si="2"/>
        <v>135033258</v>
      </c>
      <c r="AF29" s="24">
        <f>+'St of Net Assets - GA'!W21-'St of Activities - GA Exp'!AE21</f>
        <v>0</v>
      </c>
      <c r="AG29" s="27"/>
    </row>
    <row r="30" spans="1:33" ht="12.75" customHeight="1">
      <c r="A30" s="107"/>
      <c r="B30" s="107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3"/>
      <c r="AG30" s="27"/>
    </row>
    <row r="31" spans="1:33" ht="12.75" customHeight="1">
      <c r="A31" s="107"/>
      <c r="B31" s="107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3"/>
      <c r="AG31" s="27"/>
    </row>
    <row r="32" spans="1:33" ht="12.75" customHeight="1">
      <c r="A32" s="107"/>
      <c r="B32" s="10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3"/>
      <c r="AG32" s="2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</sheetData>
  <sheetProtection/>
  <printOptions/>
  <pageMargins left="0.75" right="0.75" top="0.5" bottom="0.5" header="0" footer="0.3"/>
  <pageSetup firstPageNumber="12" useFirstPageNumber="1" horizontalDpi="600" verticalDpi="600" orientation="portrait" pageOrder="overThenDown" scale="91" r:id="rId1"/>
  <headerFooter alignWithMargins="0">
    <oddFooter>&amp;C&amp;"Times New Roman,Regular"&amp;11&amp;P</oddFooter>
  </headerFooter>
  <colBreaks count="1" manualBreakCount="1">
    <brk id="14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7" sqref="A17:IV17"/>
    </sheetView>
  </sheetViews>
  <sheetFormatPr defaultColWidth="9.140625" defaultRowHeight="12" customHeight="1"/>
  <cols>
    <col min="1" max="1" width="15.7109375" style="79" customWidth="1"/>
    <col min="2" max="2" width="1.7109375" style="25" customWidth="1"/>
    <col min="3" max="3" width="12.7109375" style="24" customWidth="1"/>
    <col min="4" max="4" width="1.7109375" style="24" customWidth="1"/>
    <col min="5" max="5" width="12.7109375" style="24" customWidth="1"/>
    <col min="6" max="6" width="1.7109375" style="24" customWidth="1"/>
    <col min="7" max="7" width="12.7109375" style="24" customWidth="1"/>
    <col min="8" max="8" width="1.7109375" style="24" customWidth="1"/>
    <col min="9" max="9" width="12.7109375" style="24" customWidth="1"/>
    <col min="10" max="10" width="1.7109375" style="24" customWidth="1"/>
    <col min="11" max="11" width="12.7109375" style="24" customWidth="1"/>
    <col min="12" max="12" width="1.7109375" style="24" customWidth="1"/>
    <col min="13" max="13" width="12.7109375" style="24" customWidth="1"/>
    <col min="14" max="14" width="1.7109375" style="24" customWidth="1"/>
    <col min="15" max="15" width="12.7109375" style="24" customWidth="1"/>
    <col min="16" max="16" width="9.28125" style="25" bestFit="1" customWidth="1"/>
    <col min="17" max="17" width="12.7109375" style="79" customWidth="1"/>
    <col min="18" max="16384" width="9.140625" style="25" customWidth="1"/>
  </cols>
  <sheetData>
    <row r="1" spans="1:16" ht="12.75" customHeight="1">
      <c r="A1" s="51" t="s">
        <v>185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1"/>
    </row>
    <row r="2" spans="1:16" ht="12.75" customHeight="1">
      <c r="A2" s="51" t="s">
        <v>227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1"/>
    </row>
    <row r="3" spans="1:16" ht="12.75" customHeight="1">
      <c r="A3" s="43" t="s">
        <v>224</v>
      </c>
      <c r="B3" s="53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3"/>
    </row>
    <row r="4" spans="1:16" ht="12.75" customHeight="1">
      <c r="A4" s="43" t="s">
        <v>173</v>
      </c>
      <c r="B4" s="18"/>
      <c r="C4" s="20"/>
      <c r="D4" s="20"/>
      <c r="E4" s="20"/>
      <c r="F4" s="20"/>
      <c r="G4" s="20"/>
      <c r="H4" s="20"/>
      <c r="I4" s="20"/>
      <c r="J4" s="20"/>
      <c r="P4" s="33"/>
    </row>
    <row r="5" spans="1:16" ht="12.75" customHeight="1">
      <c r="A5" s="43"/>
      <c r="B5" s="18"/>
      <c r="C5" s="20"/>
      <c r="D5" s="20"/>
      <c r="E5" s="20"/>
      <c r="F5" s="20"/>
      <c r="G5" s="20"/>
      <c r="H5" s="20"/>
      <c r="I5" s="20"/>
      <c r="J5" s="20"/>
      <c r="P5" s="33"/>
    </row>
    <row r="6" spans="1:16" ht="12.75" customHeight="1">
      <c r="A6" s="43"/>
      <c r="B6" s="18"/>
      <c r="C6" s="20"/>
      <c r="D6" s="20"/>
      <c r="E6" s="20"/>
      <c r="F6" s="20"/>
      <c r="G6" s="20"/>
      <c r="H6" s="20"/>
      <c r="I6" s="20"/>
      <c r="J6" s="20"/>
      <c r="K6" s="20" t="s">
        <v>113</v>
      </c>
      <c r="L6" s="20"/>
      <c r="M6" s="20" t="s">
        <v>215</v>
      </c>
      <c r="N6" s="20"/>
      <c r="O6" s="20" t="s">
        <v>4</v>
      </c>
      <c r="P6" s="33"/>
    </row>
    <row r="7" spans="1:16" ht="12.75" customHeight="1">
      <c r="A7" s="18"/>
      <c r="B7" s="18"/>
      <c r="C7" s="20" t="s">
        <v>114</v>
      </c>
      <c r="D7" s="20"/>
      <c r="E7" s="20" t="s">
        <v>4</v>
      </c>
      <c r="F7" s="20"/>
      <c r="G7" s="20" t="s">
        <v>115</v>
      </c>
      <c r="H7" s="20"/>
      <c r="I7" s="20" t="s">
        <v>4</v>
      </c>
      <c r="J7" s="20"/>
      <c r="K7" s="20" t="s">
        <v>116</v>
      </c>
      <c r="L7" s="20"/>
      <c r="M7" s="20" t="s">
        <v>116</v>
      </c>
      <c r="N7" s="20"/>
      <c r="O7" s="20" t="s">
        <v>116</v>
      </c>
      <c r="P7" s="33"/>
    </row>
    <row r="8" spans="1:17" s="54" customFormat="1" ht="12.75" customHeight="1">
      <c r="A8" s="21" t="s">
        <v>5</v>
      </c>
      <c r="B8" s="18"/>
      <c r="C8" s="19" t="s">
        <v>117</v>
      </c>
      <c r="D8" s="20"/>
      <c r="E8" s="19" t="s">
        <v>112</v>
      </c>
      <c r="F8" s="20"/>
      <c r="G8" s="19" t="s">
        <v>11</v>
      </c>
      <c r="H8" s="20"/>
      <c r="I8" s="19" t="s">
        <v>118</v>
      </c>
      <c r="J8" s="20"/>
      <c r="K8" s="19" t="s">
        <v>119</v>
      </c>
      <c r="L8" s="20"/>
      <c r="M8" s="19" t="s">
        <v>119</v>
      </c>
      <c r="N8" s="20"/>
      <c r="O8" s="19" t="s">
        <v>119</v>
      </c>
      <c r="P8" s="33"/>
      <c r="Q8" s="27" t="s">
        <v>192</v>
      </c>
    </row>
    <row r="9" spans="1:16" ht="12.75" customHeight="1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3"/>
    </row>
    <row r="10" spans="1:17" ht="12.75" customHeight="1">
      <c r="A10" s="107" t="s">
        <v>231</v>
      </c>
      <c r="B10" s="22" t="str">
        <f aca="true" t="shared" si="0" ref="B10:B29">LEFT(A10,2)</f>
        <v>1 </v>
      </c>
      <c r="C10" s="37">
        <f>113507+44778</f>
        <v>158285</v>
      </c>
      <c r="D10" s="37"/>
      <c r="E10" s="37">
        <v>322115</v>
      </c>
      <c r="F10" s="37"/>
      <c r="G10" s="37">
        <v>53365</v>
      </c>
      <c r="H10" s="37"/>
      <c r="I10" s="37">
        <v>71178</v>
      </c>
      <c r="J10" s="37"/>
      <c r="K10" s="37">
        <f>38526+3694+9944</f>
        <v>52164</v>
      </c>
      <c r="L10" s="37"/>
      <c r="M10" s="37">
        <f>1033+197740</f>
        <v>198773</v>
      </c>
      <c r="N10" s="37"/>
      <c r="O10" s="37">
        <f aca="true" t="shared" si="1" ref="O10:O29">+M10+K10</f>
        <v>250937</v>
      </c>
      <c r="P10" s="37"/>
      <c r="Q10" s="78">
        <f aca="true" t="shared" si="2" ref="Q10:Q29">+E10-I10-O10</f>
        <v>0</v>
      </c>
    </row>
    <row r="11" spans="1:17" ht="12.75" customHeight="1">
      <c r="A11" s="107" t="s">
        <v>232</v>
      </c>
      <c r="B11" s="22" t="str">
        <f t="shared" si="0"/>
        <v>2 </v>
      </c>
      <c r="C11" s="37">
        <f>254135000+1000</f>
        <v>254136000</v>
      </c>
      <c r="D11" s="37"/>
      <c r="E11" s="37">
        <v>374777000</v>
      </c>
      <c r="F11" s="37"/>
      <c r="G11" s="37">
        <v>31053000</v>
      </c>
      <c r="H11" s="37"/>
      <c r="I11" s="37">
        <v>90905000</v>
      </c>
      <c r="J11" s="37"/>
      <c r="K11" s="37">
        <f>447000+1912000+15320000</f>
        <v>17679000</v>
      </c>
      <c r="L11" s="37"/>
      <c r="M11" s="37">
        <f>18465000+14746000+232982000</f>
        <v>266193000</v>
      </c>
      <c r="N11" s="37"/>
      <c r="O11" s="37">
        <f t="shared" si="1"/>
        <v>283872000</v>
      </c>
      <c r="P11" s="37"/>
      <c r="Q11" s="78">
        <f t="shared" si="2"/>
        <v>0</v>
      </c>
    </row>
    <row r="12" spans="1:17" ht="12.75" customHeight="1">
      <c r="A12" s="107" t="s">
        <v>233</v>
      </c>
      <c r="B12" s="22" t="str">
        <f t="shared" si="0"/>
        <v>3 </v>
      </c>
      <c r="C12" s="37">
        <v>26395000</v>
      </c>
      <c r="D12" s="37"/>
      <c r="E12" s="37">
        <v>114766000</v>
      </c>
      <c r="F12" s="37"/>
      <c r="G12" s="37">
        <v>44026000</v>
      </c>
      <c r="H12" s="37"/>
      <c r="I12" s="37">
        <v>62905000</v>
      </c>
      <c r="J12" s="37"/>
      <c r="K12" s="37">
        <f>5173000+2000000+2772000+7467000+1567000</f>
        <v>18979000</v>
      </c>
      <c r="L12" s="37"/>
      <c r="M12" s="37">
        <v>32882000</v>
      </c>
      <c r="N12" s="37"/>
      <c r="O12" s="37">
        <f t="shared" si="1"/>
        <v>51861000</v>
      </c>
      <c r="P12" s="37"/>
      <c r="Q12" s="78">
        <f t="shared" si="2"/>
        <v>0</v>
      </c>
    </row>
    <row r="13" spans="1:17" ht="12.75" customHeight="1">
      <c r="A13" s="107" t="s">
        <v>234</v>
      </c>
      <c r="B13" s="22" t="str">
        <f t="shared" si="0"/>
        <v>4 </v>
      </c>
      <c r="C13" s="37">
        <f>55257889+609651</f>
        <v>55867540</v>
      </c>
      <c r="D13" s="37"/>
      <c r="E13" s="37">
        <v>102573417</v>
      </c>
      <c r="F13" s="37"/>
      <c r="G13" s="37">
        <v>34061978</v>
      </c>
      <c r="H13" s="37"/>
      <c r="I13" s="37">
        <v>40241893</v>
      </c>
      <c r="J13" s="37"/>
      <c r="K13" s="37">
        <f>6986945+201340+228863</f>
        <v>7417148</v>
      </c>
      <c r="L13" s="37"/>
      <c r="M13" s="37">
        <v>54914376</v>
      </c>
      <c r="N13" s="37"/>
      <c r="O13" s="37">
        <f t="shared" si="1"/>
        <v>62331524</v>
      </c>
      <c r="P13" s="37"/>
      <c r="Q13" s="78">
        <f t="shared" si="2"/>
        <v>0</v>
      </c>
    </row>
    <row r="14" spans="1:17" ht="12.75" customHeight="1">
      <c r="A14" s="107" t="s">
        <v>236</v>
      </c>
      <c r="B14" s="22" t="str">
        <f t="shared" si="0"/>
        <v>5 </v>
      </c>
      <c r="C14" s="37">
        <v>44603378</v>
      </c>
      <c r="D14" s="37"/>
      <c r="E14" s="37">
        <v>108059598</v>
      </c>
      <c r="F14" s="37"/>
      <c r="G14" s="37">
        <v>37866195</v>
      </c>
      <c r="H14" s="37"/>
      <c r="I14" s="37">
        <v>47359206</v>
      </c>
      <c r="J14" s="37"/>
      <c r="K14" s="37">
        <f>135913+9482635</f>
        <v>9618548</v>
      </c>
      <c r="L14" s="37"/>
      <c r="M14" s="37">
        <v>51081844</v>
      </c>
      <c r="N14" s="37"/>
      <c r="O14" s="37">
        <f t="shared" si="1"/>
        <v>60700392</v>
      </c>
      <c r="P14" s="37"/>
      <c r="Q14" s="78">
        <f t="shared" si="2"/>
        <v>0</v>
      </c>
    </row>
    <row r="15" spans="1:17" ht="12.75" customHeight="1">
      <c r="A15" s="107" t="s">
        <v>237</v>
      </c>
      <c r="B15" s="22" t="str">
        <f t="shared" si="0"/>
        <v>6 </v>
      </c>
      <c r="C15" s="114">
        <f>31079525+2948959</f>
        <v>34028484</v>
      </c>
      <c r="D15" s="114"/>
      <c r="E15" s="114">
        <v>76277048</v>
      </c>
      <c r="F15" s="114"/>
      <c r="G15" s="114">
        <v>11969775</v>
      </c>
      <c r="H15" s="114"/>
      <c r="I15" s="114">
        <v>33316089</v>
      </c>
      <c r="J15" s="114"/>
      <c r="K15" s="114">
        <v>1288904</v>
      </c>
      <c r="L15" s="114"/>
      <c r="M15" s="114">
        <v>41672055</v>
      </c>
      <c r="N15" s="114"/>
      <c r="O15" s="114">
        <f t="shared" si="1"/>
        <v>42960959</v>
      </c>
      <c r="P15" s="114"/>
      <c r="Q15" s="83">
        <f t="shared" si="2"/>
        <v>0</v>
      </c>
    </row>
    <row r="16" spans="1:17" ht="12.75" customHeight="1">
      <c r="A16" s="107" t="s">
        <v>238</v>
      </c>
      <c r="B16" s="22" t="str">
        <f t="shared" si="0"/>
        <v>7 </v>
      </c>
      <c r="C16" s="37">
        <f>5956637+711042+49955</f>
        <v>6717634</v>
      </c>
      <c r="D16" s="37"/>
      <c r="E16" s="37">
        <v>30335566</v>
      </c>
      <c r="F16" s="37"/>
      <c r="G16" s="37">
        <v>20329068</v>
      </c>
      <c r="H16" s="37"/>
      <c r="I16" s="37">
        <v>22941808</v>
      </c>
      <c r="J16" s="37"/>
      <c r="K16" s="37">
        <f>1827785+557951</f>
        <v>2385736</v>
      </c>
      <c r="L16" s="37"/>
      <c r="M16" s="37">
        <v>5008022</v>
      </c>
      <c r="N16" s="37"/>
      <c r="O16" s="37">
        <f t="shared" si="1"/>
        <v>7393758</v>
      </c>
      <c r="P16" s="37"/>
      <c r="Q16" s="78">
        <f t="shared" si="2"/>
        <v>0</v>
      </c>
    </row>
    <row r="17" spans="1:17" ht="12.75" customHeight="1">
      <c r="A17" s="107" t="s">
        <v>251</v>
      </c>
      <c r="B17" s="107"/>
      <c r="C17" s="114">
        <f>27832330+237713+16138</f>
        <v>28086181</v>
      </c>
      <c r="D17" s="114"/>
      <c r="E17" s="114">
        <v>59908728</v>
      </c>
      <c r="F17" s="114"/>
      <c r="G17" s="114">
        <v>21009597</v>
      </c>
      <c r="H17" s="114"/>
      <c r="I17" s="114">
        <v>28446015</v>
      </c>
      <c r="J17" s="114"/>
      <c r="K17" s="114">
        <f>5898067+632635+4395000+16138+454802</f>
        <v>11396642</v>
      </c>
      <c r="L17" s="114"/>
      <c r="M17" s="114">
        <f>8409077+11656994</f>
        <v>20066071</v>
      </c>
      <c r="N17" s="114"/>
      <c r="O17" s="114">
        <f t="shared" si="1"/>
        <v>31462713</v>
      </c>
      <c r="P17" s="114"/>
      <c r="Q17" s="83">
        <f t="shared" si="2"/>
        <v>0</v>
      </c>
    </row>
    <row r="18" spans="1:17" ht="12.75" customHeight="1">
      <c r="A18" s="107" t="s">
        <v>239</v>
      </c>
      <c r="B18" s="22" t="str">
        <f t="shared" si="0"/>
        <v>9 </v>
      </c>
      <c r="C18" s="114">
        <v>11786799</v>
      </c>
      <c r="D18" s="114"/>
      <c r="E18" s="114">
        <v>40954037</v>
      </c>
      <c r="F18" s="114"/>
      <c r="G18" s="114">
        <v>10401694</v>
      </c>
      <c r="H18" s="114"/>
      <c r="I18" s="114">
        <v>13697662</v>
      </c>
      <c r="J18" s="114"/>
      <c r="K18" s="114">
        <f>934869+228530+11256979</f>
        <v>12420378</v>
      </c>
      <c r="L18" s="114"/>
      <c r="M18" s="114">
        <v>14835997</v>
      </c>
      <c r="N18" s="114"/>
      <c r="O18" s="114">
        <f t="shared" si="1"/>
        <v>27256375</v>
      </c>
      <c r="P18" s="114"/>
      <c r="Q18" s="83">
        <f t="shared" si="2"/>
        <v>0</v>
      </c>
    </row>
    <row r="19" spans="1:17" ht="12.75" customHeight="1">
      <c r="A19" s="107" t="s">
        <v>240</v>
      </c>
      <c r="B19" s="22" t="str">
        <f t="shared" si="0"/>
        <v>10</v>
      </c>
      <c r="C19" s="114">
        <f>7938635+431992+0</f>
        <v>8370627</v>
      </c>
      <c r="D19" s="114"/>
      <c r="E19" s="114">
        <v>30122522</v>
      </c>
      <c r="F19" s="114"/>
      <c r="G19" s="114">
        <v>14005976</v>
      </c>
      <c r="H19" s="114"/>
      <c r="I19" s="114">
        <v>18795301</v>
      </c>
      <c r="J19" s="114"/>
      <c r="K19" s="114">
        <f>1046736+1257825</f>
        <v>2304561</v>
      </c>
      <c r="L19" s="114"/>
      <c r="M19" s="114">
        <v>9022660</v>
      </c>
      <c r="N19" s="114"/>
      <c r="O19" s="114">
        <f t="shared" si="1"/>
        <v>11327221</v>
      </c>
      <c r="P19" s="114"/>
      <c r="Q19" s="83">
        <f t="shared" si="2"/>
        <v>0</v>
      </c>
    </row>
    <row r="20" spans="1:17" ht="12.75" customHeight="1">
      <c r="A20" s="107" t="s">
        <v>241</v>
      </c>
      <c r="B20" s="22" t="str">
        <f t="shared" si="0"/>
        <v>11</v>
      </c>
      <c r="C20" s="114">
        <v>21532261</v>
      </c>
      <c r="D20" s="114"/>
      <c r="E20" s="114">
        <v>41429035</v>
      </c>
      <c r="F20" s="114"/>
      <c r="G20" s="114">
        <v>13817305</v>
      </c>
      <c r="H20" s="114"/>
      <c r="I20" s="114">
        <v>16723001</v>
      </c>
      <c r="J20" s="114"/>
      <c r="K20" s="114">
        <f>376052+218724+3424995+571935</f>
        <v>4591706</v>
      </c>
      <c r="L20" s="114"/>
      <c r="M20" s="114">
        <f>417649+19696679</f>
        <v>20114328</v>
      </c>
      <c r="N20" s="114"/>
      <c r="O20" s="114">
        <f t="shared" si="1"/>
        <v>24706034</v>
      </c>
      <c r="P20" s="114"/>
      <c r="Q20" s="83">
        <f t="shared" si="2"/>
        <v>0</v>
      </c>
    </row>
    <row r="21" spans="1:17" ht="12.75" customHeight="1">
      <c r="A21" s="107" t="s">
        <v>235</v>
      </c>
      <c r="B21" s="22" t="str">
        <f t="shared" si="0"/>
        <v>12</v>
      </c>
      <c r="C21" s="37">
        <f>16242350+96892+413320</f>
        <v>16752562</v>
      </c>
      <c r="D21" s="37"/>
      <c r="E21" s="37">
        <v>31261677</v>
      </c>
      <c r="F21" s="37"/>
      <c r="G21" s="37">
        <v>11023846</v>
      </c>
      <c r="H21" s="37"/>
      <c r="I21" s="37">
        <v>13673879</v>
      </c>
      <c r="J21" s="37"/>
      <c r="K21" s="37">
        <f>706962+413320</f>
        <v>1120282</v>
      </c>
      <c r="L21" s="37"/>
      <c r="M21" s="37">
        <v>16467516</v>
      </c>
      <c r="N21" s="37"/>
      <c r="O21" s="37">
        <f t="shared" si="1"/>
        <v>17587798</v>
      </c>
      <c r="P21" s="37"/>
      <c r="Q21" s="78">
        <f t="shared" si="2"/>
        <v>0</v>
      </c>
    </row>
    <row r="22" spans="1:17" ht="12.75" customHeight="1">
      <c r="A22" s="107" t="s">
        <v>242</v>
      </c>
      <c r="B22" s="22" t="str">
        <f t="shared" si="0"/>
        <v>13</v>
      </c>
      <c r="C22" s="37">
        <v>21734171</v>
      </c>
      <c r="D22" s="37"/>
      <c r="E22" s="37">
        <v>42512669</v>
      </c>
      <c r="F22" s="37"/>
      <c r="G22" s="37">
        <v>55584</v>
      </c>
      <c r="H22" s="37"/>
      <c r="I22" s="37">
        <v>16607123</v>
      </c>
      <c r="J22" s="37"/>
      <c r="K22" s="37">
        <f>1447842+214688+17552</f>
        <v>1680082</v>
      </c>
      <c r="L22" s="37"/>
      <c r="M22" s="37">
        <v>24225464</v>
      </c>
      <c r="N22" s="37"/>
      <c r="O22" s="37">
        <f t="shared" si="1"/>
        <v>25905546</v>
      </c>
      <c r="P22" s="37"/>
      <c r="Q22" s="78">
        <f t="shared" si="2"/>
        <v>0</v>
      </c>
    </row>
    <row r="23" spans="1:17" ht="12.75" customHeight="1">
      <c r="A23" s="107" t="s">
        <v>243</v>
      </c>
      <c r="B23" s="22" t="str">
        <f t="shared" si="0"/>
        <v>14</v>
      </c>
      <c r="C23" s="37">
        <v>20579322</v>
      </c>
      <c r="D23" s="37"/>
      <c r="E23" s="37">
        <v>43469078</v>
      </c>
      <c r="F23" s="37"/>
      <c r="G23" s="37">
        <v>17870842</v>
      </c>
      <c r="H23" s="37"/>
      <c r="I23" s="37">
        <v>20190177</v>
      </c>
      <c r="J23" s="37"/>
      <c r="K23" s="37">
        <f>644233+2335640+109203</f>
        <v>3089076</v>
      </c>
      <c r="L23" s="37"/>
      <c r="M23" s="37">
        <f>2300000+17889825</f>
        <v>20189825</v>
      </c>
      <c r="N23" s="37"/>
      <c r="O23" s="37">
        <f t="shared" si="1"/>
        <v>23278901</v>
      </c>
      <c r="P23" s="37"/>
      <c r="Q23" s="78">
        <f t="shared" si="2"/>
        <v>0</v>
      </c>
    </row>
    <row r="24" spans="1:17" ht="12.75" customHeight="1">
      <c r="A24" s="107" t="s">
        <v>249</v>
      </c>
      <c r="B24" s="22" t="str">
        <f t="shared" si="0"/>
        <v>15</v>
      </c>
      <c r="C24" s="114">
        <f>7090978+3377</f>
        <v>7094355</v>
      </c>
      <c r="D24" s="114"/>
      <c r="E24" s="114">
        <v>23348483</v>
      </c>
      <c r="F24" s="114"/>
      <c r="G24" s="114">
        <v>11863072</v>
      </c>
      <c r="H24" s="114"/>
      <c r="I24" s="114">
        <v>14225420</v>
      </c>
      <c r="J24" s="114"/>
      <c r="K24" s="114">
        <f>198854+127881</f>
        <v>326735</v>
      </c>
      <c r="L24" s="114"/>
      <c r="M24" s="114">
        <v>8796328</v>
      </c>
      <c r="N24" s="114"/>
      <c r="O24" s="114">
        <f t="shared" si="1"/>
        <v>9123063</v>
      </c>
      <c r="P24" s="114"/>
      <c r="Q24" s="83">
        <f t="shared" si="2"/>
        <v>0</v>
      </c>
    </row>
    <row r="25" spans="1:17" ht="12.75" customHeight="1">
      <c r="A25" s="107" t="s">
        <v>244</v>
      </c>
      <c r="B25" s="22" t="str">
        <f t="shared" si="0"/>
        <v>16</v>
      </c>
      <c r="C25" s="37">
        <f>14410719+17605</f>
        <v>14428324</v>
      </c>
      <c r="D25" s="37"/>
      <c r="E25" s="37">
        <v>29612078</v>
      </c>
      <c r="F25" s="37"/>
      <c r="G25" s="37">
        <v>9618952</v>
      </c>
      <c r="H25" s="37"/>
      <c r="I25" s="37">
        <v>12438851</v>
      </c>
      <c r="J25" s="37"/>
      <c r="K25" s="37">
        <v>625703</v>
      </c>
      <c r="L25" s="37"/>
      <c r="M25" s="37">
        <v>16547524</v>
      </c>
      <c r="N25" s="37"/>
      <c r="O25" s="37">
        <f t="shared" si="1"/>
        <v>17173227</v>
      </c>
      <c r="P25" s="37"/>
      <c r="Q25" s="78">
        <f t="shared" si="2"/>
        <v>0</v>
      </c>
    </row>
    <row r="26" spans="1:17" ht="12.75" customHeight="1">
      <c r="A26" s="107" t="s">
        <v>245</v>
      </c>
      <c r="B26" s="22" t="str">
        <f t="shared" si="0"/>
        <v>17</v>
      </c>
      <c r="C26" s="114">
        <f>3379100+7371721</f>
        <v>10750821</v>
      </c>
      <c r="D26" s="114"/>
      <c r="E26" s="114">
        <v>22441840</v>
      </c>
      <c r="F26" s="114"/>
      <c r="G26" s="114">
        <v>6988173</v>
      </c>
      <c r="H26" s="114"/>
      <c r="I26" s="114">
        <v>10270724</v>
      </c>
      <c r="J26" s="114"/>
      <c r="K26" s="114">
        <f>1125764+161552+73342</f>
        <v>1360658</v>
      </c>
      <c r="L26" s="114"/>
      <c r="M26" s="114">
        <v>10810458</v>
      </c>
      <c r="N26" s="114"/>
      <c r="O26" s="114">
        <f t="shared" si="1"/>
        <v>12171116</v>
      </c>
      <c r="P26" s="114"/>
      <c r="Q26" s="83">
        <f t="shared" si="2"/>
        <v>0</v>
      </c>
    </row>
    <row r="27" spans="1:17" ht="12.75" customHeight="1">
      <c r="A27" s="107" t="s">
        <v>246</v>
      </c>
      <c r="B27" s="22" t="str">
        <f t="shared" si="0"/>
        <v>18</v>
      </c>
      <c r="C27" s="37">
        <f>8709570+142044+526077</f>
        <v>9377691</v>
      </c>
      <c r="D27" s="37"/>
      <c r="E27" s="37">
        <v>25897980</v>
      </c>
      <c r="F27" s="37"/>
      <c r="G27" s="37">
        <v>6776379</v>
      </c>
      <c r="H27" s="37"/>
      <c r="I27" s="37">
        <v>9122255</v>
      </c>
      <c r="J27" s="37"/>
      <c r="K27" s="37">
        <f>500448+561806+526077</f>
        <v>1588331</v>
      </c>
      <c r="L27" s="37"/>
      <c r="M27" s="37">
        <v>15187394</v>
      </c>
      <c r="N27" s="37"/>
      <c r="O27" s="37">
        <f t="shared" si="1"/>
        <v>16775725</v>
      </c>
      <c r="P27" s="37"/>
      <c r="Q27" s="78">
        <f t="shared" si="2"/>
        <v>0</v>
      </c>
    </row>
    <row r="28" spans="1:17" ht="12.75" customHeight="1">
      <c r="A28" s="107" t="s">
        <v>247</v>
      </c>
      <c r="B28" s="22" t="str">
        <f t="shared" si="0"/>
        <v>19</v>
      </c>
      <c r="C28" s="37">
        <v>10257737</v>
      </c>
      <c r="D28" s="37"/>
      <c r="E28" s="37">
        <v>27231407</v>
      </c>
      <c r="F28" s="37"/>
      <c r="G28" s="37">
        <v>12142439</v>
      </c>
      <c r="H28" s="37"/>
      <c r="I28" s="37">
        <v>15115234</v>
      </c>
      <c r="J28" s="37"/>
      <c r="K28" s="37">
        <v>387141</v>
      </c>
      <c r="L28" s="37"/>
      <c r="M28" s="37">
        <f>2000000+9729032</f>
        <v>11729032</v>
      </c>
      <c r="N28" s="37"/>
      <c r="O28" s="37">
        <f t="shared" si="1"/>
        <v>12116173</v>
      </c>
      <c r="P28" s="37"/>
      <c r="Q28" s="78">
        <f t="shared" si="2"/>
        <v>0</v>
      </c>
    </row>
    <row r="29" spans="1:17" ht="12.75" customHeight="1">
      <c r="A29" s="107" t="s">
        <v>248</v>
      </c>
      <c r="B29" s="22" t="str">
        <f t="shared" si="0"/>
        <v>20</v>
      </c>
      <c r="C29" s="37">
        <v>7506578</v>
      </c>
      <c r="D29" s="37"/>
      <c r="E29" s="37">
        <v>17488391</v>
      </c>
      <c r="F29" s="37"/>
      <c r="G29" s="37">
        <v>5707874</v>
      </c>
      <c r="H29" s="37"/>
      <c r="I29" s="37">
        <v>7452718</v>
      </c>
      <c r="J29" s="37"/>
      <c r="K29" s="37">
        <f>1760016+137503+114409</f>
        <v>2011928</v>
      </c>
      <c r="L29" s="37"/>
      <c r="M29" s="37">
        <v>8023745</v>
      </c>
      <c r="N29" s="37"/>
      <c r="O29" s="37">
        <f t="shared" si="1"/>
        <v>10035673</v>
      </c>
      <c r="P29" s="37"/>
      <c r="Q29" s="78">
        <f t="shared" si="2"/>
        <v>0</v>
      </c>
    </row>
    <row r="30" spans="1:17" ht="12.75" customHeight="1">
      <c r="A30" s="107"/>
      <c r="B30" s="107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83"/>
    </row>
    <row r="31" spans="1:17" ht="12.75" customHeight="1">
      <c r="A31" s="107"/>
      <c r="B31" s="107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83"/>
    </row>
    <row r="32" spans="1:17" ht="12.75" customHeight="1">
      <c r="A32" s="107"/>
      <c r="B32" s="107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8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5" right="0.75" top="0.5" bottom="0.5" header="0" footer="0.25"/>
  <pageSetup firstPageNumber="16" useFirstPageNumber="1" horizontalDpi="600" verticalDpi="600" orientation="portrait" pageOrder="overThenDown" scale="89" r:id="rId1"/>
  <headerFooter alignWithMargins="0">
    <oddFooter>&amp;C&amp;"Times New Roman,Regular"&amp;11&amp;P</oddFooter>
  </headerFooter>
  <colBreaks count="1" manualBreakCount="1">
    <brk id="12" min="8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7" sqref="A17:IV17"/>
    </sheetView>
  </sheetViews>
  <sheetFormatPr defaultColWidth="9.140625" defaultRowHeight="12" customHeight="1"/>
  <cols>
    <col min="1" max="1" width="15.7109375" style="79" customWidth="1"/>
    <col min="2" max="2" width="1.7109375" style="25" customWidth="1"/>
    <col min="3" max="3" width="12.7109375" style="24" customWidth="1"/>
    <col min="4" max="4" width="1.7109375" style="24" customWidth="1"/>
    <col min="5" max="5" width="12.7109375" style="24" customWidth="1"/>
    <col min="6" max="6" width="1.7109375" style="24" customWidth="1"/>
    <col min="7" max="7" width="12.7109375" style="24" customWidth="1"/>
    <col min="8" max="8" width="1.7109375" style="24" customWidth="1"/>
    <col min="9" max="9" width="12.7109375" style="24" customWidth="1"/>
    <col min="10" max="10" width="1.7109375" style="24" customWidth="1"/>
    <col min="11" max="11" width="12.7109375" style="24" customWidth="1"/>
    <col min="12" max="12" width="1.7109375" style="24" customWidth="1"/>
    <col min="13" max="13" width="12.7109375" style="24" customWidth="1"/>
    <col min="14" max="14" width="1.7109375" style="24" customWidth="1"/>
    <col min="15" max="15" width="12.7109375" style="24" customWidth="1"/>
    <col min="16" max="16" width="9.28125" style="25" bestFit="1" customWidth="1"/>
    <col min="18" max="20" width="9.140625" style="25" customWidth="1"/>
    <col min="21" max="21" width="17.7109375" style="79" bestFit="1" customWidth="1"/>
    <col min="22" max="16384" width="9.140625" style="25" customWidth="1"/>
  </cols>
  <sheetData>
    <row r="1" spans="1:16" ht="12.75" customHeight="1">
      <c r="A1" s="51" t="s">
        <v>214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1"/>
    </row>
    <row r="2" spans="1:16" ht="12.75" customHeight="1">
      <c r="A2" s="51" t="s">
        <v>227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1"/>
    </row>
    <row r="3" spans="1:16" ht="12.75" customHeight="1">
      <c r="A3" s="43" t="s">
        <v>224</v>
      </c>
      <c r="B3" s="53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3"/>
    </row>
    <row r="4" spans="1:16" ht="12.75" customHeight="1">
      <c r="A4" s="43" t="s">
        <v>173</v>
      </c>
      <c r="B4" s="18"/>
      <c r="C4" s="20"/>
      <c r="D4" s="20"/>
      <c r="E4" s="20"/>
      <c r="F4" s="20"/>
      <c r="G4" s="20"/>
      <c r="H4" s="20"/>
      <c r="I4" s="20"/>
      <c r="J4" s="20"/>
      <c r="P4" s="33"/>
    </row>
    <row r="5" spans="1:16" ht="12.75" customHeight="1">
      <c r="A5" s="43"/>
      <c r="B5" s="18"/>
      <c r="C5" s="20"/>
      <c r="D5" s="20"/>
      <c r="E5" s="20"/>
      <c r="F5" s="20"/>
      <c r="G5" s="20"/>
      <c r="H5" s="20"/>
      <c r="I5" s="20"/>
      <c r="J5" s="20"/>
      <c r="P5" s="33"/>
    </row>
    <row r="6" spans="1:16" ht="12.75" customHeight="1">
      <c r="A6" s="43"/>
      <c r="B6" s="18"/>
      <c r="C6" s="20"/>
      <c r="D6" s="20"/>
      <c r="E6" s="20"/>
      <c r="F6" s="20"/>
      <c r="G6" s="20"/>
      <c r="H6" s="20"/>
      <c r="I6" s="20"/>
      <c r="J6" s="20"/>
      <c r="K6" s="20" t="s">
        <v>113</v>
      </c>
      <c r="L6" s="20"/>
      <c r="M6" s="20" t="s">
        <v>215</v>
      </c>
      <c r="N6" s="20"/>
      <c r="O6" s="20" t="s">
        <v>4</v>
      </c>
      <c r="P6" s="33"/>
    </row>
    <row r="7" spans="1:21" ht="12.75" customHeight="1">
      <c r="A7" s="18"/>
      <c r="B7" s="18"/>
      <c r="C7" s="20" t="s">
        <v>114</v>
      </c>
      <c r="D7" s="20"/>
      <c r="E7" s="20" t="s">
        <v>4</v>
      </c>
      <c r="F7" s="20"/>
      <c r="G7" s="20" t="s">
        <v>115</v>
      </c>
      <c r="H7" s="20"/>
      <c r="I7" s="20" t="s">
        <v>4</v>
      </c>
      <c r="J7" s="20"/>
      <c r="K7" s="20" t="s">
        <v>116</v>
      </c>
      <c r="L7" s="20"/>
      <c r="M7" s="20" t="s">
        <v>116</v>
      </c>
      <c r="N7" s="20"/>
      <c r="O7" s="20" t="s">
        <v>116</v>
      </c>
      <c r="P7" s="33"/>
      <c r="U7" s="27" t="s">
        <v>192</v>
      </c>
    </row>
    <row r="8" spans="1:21" s="54" customFormat="1" ht="12.75" customHeight="1">
      <c r="A8" s="21" t="s">
        <v>5</v>
      </c>
      <c r="B8" s="18"/>
      <c r="C8" s="19" t="s">
        <v>117</v>
      </c>
      <c r="D8" s="20"/>
      <c r="E8" s="19" t="s">
        <v>112</v>
      </c>
      <c r="F8" s="20"/>
      <c r="G8" s="19" t="s">
        <v>11</v>
      </c>
      <c r="H8" s="20"/>
      <c r="I8" s="19" t="s">
        <v>118</v>
      </c>
      <c r="J8" s="20"/>
      <c r="K8" s="19" t="s">
        <v>119</v>
      </c>
      <c r="L8" s="20"/>
      <c r="M8" s="19" t="s">
        <v>119</v>
      </c>
      <c r="N8" s="20"/>
      <c r="O8" s="19" t="s">
        <v>119</v>
      </c>
      <c r="P8" s="33"/>
      <c r="U8" s="80"/>
    </row>
    <row r="9" spans="1:21" s="54" customFormat="1" ht="12.75" customHeight="1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3"/>
      <c r="U9" s="80"/>
    </row>
    <row r="10" spans="1:21" ht="12.75" customHeight="1">
      <c r="A10" s="107" t="s">
        <v>231</v>
      </c>
      <c r="B10" s="22" t="str">
        <f aca="true" t="shared" si="0" ref="B10:B29">LEFT(A10,2)</f>
        <v>1 </v>
      </c>
      <c r="C10" s="37">
        <f>359454+44778</f>
        <v>404232</v>
      </c>
      <c r="D10" s="37"/>
      <c r="E10" s="37">
        <v>1112172</v>
      </c>
      <c r="F10" s="37"/>
      <c r="G10" s="37">
        <v>420332</v>
      </c>
      <c r="H10" s="37"/>
      <c r="I10" s="37">
        <v>707316</v>
      </c>
      <c r="J10" s="37"/>
      <c r="K10" s="37">
        <f>38526+34383+26309</f>
        <v>99218</v>
      </c>
      <c r="L10" s="37"/>
      <c r="M10" s="37">
        <f>1033+197740+232291-125426</f>
        <v>305638</v>
      </c>
      <c r="N10" s="37"/>
      <c r="O10" s="37">
        <f aca="true" t="shared" si="1" ref="O10:O29">+M10+K10</f>
        <v>404856</v>
      </c>
      <c r="P10" s="37"/>
      <c r="U10" s="78">
        <f aca="true" t="shared" si="2" ref="U10:U29">+E10-I10-O10</f>
        <v>0</v>
      </c>
    </row>
    <row r="11" spans="1:21" ht="12.75" customHeight="1">
      <c r="A11" s="107" t="s">
        <v>232</v>
      </c>
      <c r="B11" s="22" t="str">
        <f t="shared" si="0"/>
        <v>2 </v>
      </c>
      <c r="C11" s="37">
        <f>736101000+2342000</f>
        <v>738443000</v>
      </c>
      <c r="D11" s="37"/>
      <c r="E11" s="37">
        <v>1430546000</v>
      </c>
      <c r="F11" s="37"/>
      <c r="G11" s="37">
        <v>159531000</v>
      </c>
      <c r="H11" s="37"/>
      <c r="I11" s="37">
        <v>690891000</v>
      </c>
      <c r="J11" s="37"/>
      <c r="K11" s="37">
        <f>11822000+5096000+15320000</f>
        <v>32238000</v>
      </c>
      <c r="L11" s="37"/>
      <c r="M11" s="37">
        <f>18465000+14746000+232982000+347381000+1945000+91898000</f>
        <v>707417000</v>
      </c>
      <c r="N11" s="37"/>
      <c r="O11" s="37">
        <f t="shared" si="1"/>
        <v>739655000</v>
      </c>
      <c r="P11" s="37"/>
      <c r="U11" s="78">
        <f t="shared" si="2"/>
        <v>0</v>
      </c>
    </row>
    <row r="12" spans="1:21" ht="12.75" customHeight="1">
      <c r="A12" s="107" t="s">
        <v>233</v>
      </c>
      <c r="B12" s="22" t="str">
        <f t="shared" si="0"/>
        <v>3 </v>
      </c>
      <c r="C12" s="37">
        <f>264076000+118000</f>
        <v>264194000</v>
      </c>
      <c r="D12" s="37"/>
      <c r="E12" s="37">
        <v>661287000</v>
      </c>
      <c r="F12" s="37"/>
      <c r="G12" s="37">
        <v>337422000</v>
      </c>
      <c r="H12" s="37"/>
      <c r="I12" s="37">
        <v>432977000</v>
      </c>
      <c r="J12" s="37"/>
      <c r="K12" s="37">
        <f>5173000+2000000+2772000+37957000+2033000+1567000</f>
        <v>51502000</v>
      </c>
      <c r="L12" s="37"/>
      <c r="M12" s="37">
        <f>8809000+32882000+134489000+2161000-1533000</f>
        <v>176808000</v>
      </c>
      <c r="N12" s="37"/>
      <c r="O12" s="37">
        <f t="shared" si="1"/>
        <v>228310000</v>
      </c>
      <c r="P12" s="37"/>
      <c r="U12" s="78">
        <f t="shared" si="2"/>
        <v>0</v>
      </c>
    </row>
    <row r="13" spans="1:21" ht="12.75" customHeight="1">
      <c r="A13" s="107" t="s">
        <v>234</v>
      </c>
      <c r="B13" s="22" t="str">
        <f t="shared" si="0"/>
        <v>4 </v>
      </c>
      <c r="C13" s="37">
        <f>157209615+3920122+5744456</f>
        <v>166874193</v>
      </c>
      <c r="D13" s="37"/>
      <c r="E13" s="37">
        <v>378829761</v>
      </c>
      <c r="F13" s="37"/>
      <c r="G13" s="37">
        <v>183702772</v>
      </c>
      <c r="H13" s="37"/>
      <c r="I13" s="37">
        <v>213946506</v>
      </c>
      <c r="J13" s="37"/>
      <c r="K13" s="37">
        <f>40080160+471273+939334+3829602</f>
        <v>45320369</v>
      </c>
      <c r="L13" s="37"/>
      <c r="M13" s="37">
        <f>54914376+70596344+2458119-8405953</f>
        <v>119562886</v>
      </c>
      <c r="N13" s="37"/>
      <c r="O13" s="37">
        <f t="shared" si="1"/>
        <v>164883255</v>
      </c>
      <c r="P13" s="37"/>
      <c r="Q13" s="25"/>
      <c r="U13" s="78">
        <f t="shared" si="2"/>
        <v>0</v>
      </c>
    </row>
    <row r="14" spans="1:21" ht="12.75" customHeight="1">
      <c r="A14" s="107" t="s">
        <v>236</v>
      </c>
      <c r="B14" s="22" t="str">
        <f t="shared" si="0"/>
        <v>5 </v>
      </c>
      <c r="C14" s="37">
        <v>275640567</v>
      </c>
      <c r="D14" s="37"/>
      <c r="E14" s="37">
        <v>523517558</v>
      </c>
      <c r="F14" s="37"/>
      <c r="G14" s="37">
        <v>198954116</v>
      </c>
      <c r="H14" s="37"/>
      <c r="I14" s="37">
        <v>247989288</v>
      </c>
      <c r="J14" s="37"/>
      <c r="K14" s="37">
        <f>56267789+9698284+1082008</f>
        <v>67048081</v>
      </c>
      <c r="L14" s="37"/>
      <c r="M14" s="37">
        <f>51081844+129144721-2600000+30853624</f>
        <v>208480189</v>
      </c>
      <c r="N14" s="37"/>
      <c r="O14" s="37">
        <f t="shared" si="1"/>
        <v>275528270</v>
      </c>
      <c r="P14" s="37"/>
      <c r="U14" s="78">
        <f t="shared" si="2"/>
        <v>0</v>
      </c>
    </row>
    <row r="15" spans="1:21" ht="12.75" customHeight="1">
      <c r="A15" s="107" t="s">
        <v>237</v>
      </c>
      <c r="B15" s="22" t="str">
        <f t="shared" si="0"/>
        <v>6 </v>
      </c>
      <c r="C15" s="114">
        <f>201868804+2948959</f>
        <v>204817763</v>
      </c>
      <c r="D15" s="114"/>
      <c r="E15" s="114">
        <v>425205971</v>
      </c>
      <c r="F15" s="114"/>
      <c r="G15" s="114">
        <v>47104221</v>
      </c>
      <c r="H15" s="114"/>
      <c r="I15" s="114">
        <v>328071051</v>
      </c>
      <c r="J15" s="114"/>
      <c r="K15" s="114">
        <f>46060862+993072</f>
        <v>47053934</v>
      </c>
      <c r="L15" s="114"/>
      <c r="M15" s="114">
        <f>41672055+82542434-70091128-4042375</f>
        <v>50080986</v>
      </c>
      <c r="N15" s="114"/>
      <c r="O15" s="114">
        <f t="shared" si="1"/>
        <v>97134920</v>
      </c>
      <c r="P15" s="37"/>
      <c r="U15" s="78">
        <f t="shared" si="2"/>
        <v>0</v>
      </c>
    </row>
    <row r="16" spans="1:21" ht="12.75" customHeight="1">
      <c r="A16" s="107" t="s">
        <v>238</v>
      </c>
      <c r="B16" s="22" t="str">
        <f t="shared" si="0"/>
        <v>7 </v>
      </c>
      <c r="C16" s="37">
        <f>56120425+745545+2737516</f>
        <v>59603486</v>
      </c>
      <c r="D16" s="37"/>
      <c r="E16" s="37">
        <v>176753550</v>
      </c>
      <c r="F16" s="37"/>
      <c r="G16" s="37">
        <v>95452307</v>
      </c>
      <c r="H16" s="37"/>
      <c r="I16" s="37">
        <v>106393342</v>
      </c>
      <c r="J16" s="37"/>
      <c r="K16" s="37">
        <f>20759829+2632587+557951</f>
        <v>23950367</v>
      </c>
      <c r="L16" s="37"/>
      <c r="M16" s="37">
        <f>5008022+40086827+395074+919918</f>
        <v>46409841</v>
      </c>
      <c r="N16" s="37"/>
      <c r="O16" s="37">
        <f t="shared" si="1"/>
        <v>70360208</v>
      </c>
      <c r="P16" s="37"/>
      <c r="Q16" s="25"/>
      <c r="U16" s="78">
        <f t="shared" si="2"/>
        <v>0</v>
      </c>
    </row>
    <row r="17" spans="1:21" ht="12.75" customHeight="1">
      <c r="A17" s="107" t="s">
        <v>251</v>
      </c>
      <c r="B17" s="107"/>
      <c r="C17" s="114">
        <f>125457754+550431+16138</f>
        <v>126024323</v>
      </c>
      <c r="D17" s="114"/>
      <c r="E17" s="114">
        <v>312987189</v>
      </c>
      <c r="F17" s="114"/>
      <c r="G17" s="114">
        <v>163745077</v>
      </c>
      <c r="H17" s="114"/>
      <c r="I17" s="114">
        <v>223571492</v>
      </c>
      <c r="J17" s="114"/>
      <c r="K17" s="114">
        <f>18789085+1082497+4395000+16138+454802</f>
        <v>24737522</v>
      </c>
      <c r="L17" s="114"/>
      <c r="M17" s="114">
        <f>8409077+11656994+66039507+1965932-23393335</f>
        <v>64678175</v>
      </c>
      <c r="N17" s="114"/>
      <c r="O17" s="114">
        <f t="shared" si="1"/>
        <v>89415697</v>
      </c>
      <c r="P17" s="114"/>
      <c r="U17" s="83">
        <f t="shared" si="2"/>
        <v>0</v>
      </c>
    </row>
    <row r="18" spans="1:21" ht="12.75" customHeight="1">
      <c r="A18" s="107" t="s">
        <v>239</v>
      </c>
      <c r="B18" s="22" t="str">
        <f t="shared" si="0"/>
        <v>9 </v>
      </c>
      <c r="C18" s="114">
        <f>87864861+308759+2090670</f>
        <v>90264290</v>
      </c>
      <c r="D18" s="114"/>
      <c r="E18" s="114">
        <v>207568702</v>
      </c>
      <c r="F18" s="114"/>
      <c r="G18" s="114">
        <v>76641030</v>
      </c>
      <c r="H18" s="114"/>
      <c r="I18" s="114">
        <v>108433320</v>
      </c>
      <c r="J18" s="114"/>
      <c r="K18" s="114">
        <f>4270199+1444511+11256979+824980+157823</f>
        <v>17954492</v>
      </c>
      <c r="L18" s="114"/>
      <c r="M18" s="114">
        <f>14835997+76559825+-1209806-9005126</f>
        <v>81180890</v>
      </c>
      <c r="N18" s="114"/>
      <c r="O18" s="114">
        <f t="shared" si="1"/>
        <v>99135382</v>
      </c>
      <c r="P18" s="37"/>
      <c r="U18" s="78">
        <f t="shared" si="2"/>
        <v>0</v>
      </c>
    </row>
    <row r="19" spans="1:21" ht="12.75" customHeight="1">
      <c r="A19" s="107" t="s">
        <v>240</v>
      </c>
      <c r="B19" s="22" t="str">
        <f t="shared" si="0"/>
        <v>10</v>
      </c>
      <c r="C19" s="114">
        <f>76518733+500645+3768805</f>
        <v>80788183</v>
      </c>
      <c r="D19" s="114"/>
      <c r="E19" s="114">
        <v>143490847</v>
      </c>
      <c r="F19" s="114"/>
      <c r="G19" s="114">
        <v>48318392</v>
      </c>
      <c r="H19" s="114"/>
      <c r="I19" s="114">
        <v>77212360</v>
      </c>
      <c r="J19" s="114"/>
      <c r="K19" s="114">
        <f>12757402+1257825</f>
        <v>14015227</v>
      </c>
      <c r="L19" s="114"/>
      <c r="M19" s="114">
        <f>9022660+38048037+-5666185+10858748</f>
        <v>52263260</v>
      </c>
      <c r="N19" s="114"/>
      <c r="O19" s="114">
        <f t="shared" si="1"/>
        <v>66278487</v>
      </c>
      <c r="P19" s="37"/>
      <c r="U19" s="78">
        <f t="shared" si="2"/>
        <v>0</v>
      </c>
    </row>
    <row r="20" spans="1:21" ht="12.75" customHeight="1">
      <c r="A20" s="107" t="s">
        <v>241</v>
      </c>
      <c r="B20" s="22" t="str">
        <f t="shared" si="0"/>
        <v>11</v>
      </c>
      <c r="C20" s="114">
        <v>87489781</v>
      </c>
      <c r="D20" s="114"/>
      <c r="E20" s="114">
        <v>173469859</v>
      </c>
      <c r="F20" s="114"/>
      <c r="G20" s="114">
        <v>64240149</v>
      </c>
      <c r="H20" s="114"/>
      <c r="I20" s="114">
        <v>75031884</v>
      </c>
      <c r="J20" s="114"/>
      <c r="K20" s="114">
        <f>2509479+1058066+287728+2119333+3424995+1121935</f>
        <v>10521536</v>
      </c>
      <c r="L20" s="114"/>
      <c r="M20" s="114">
        <f>417649+19696679+59263208+8538903</f>
        <v>87916439</v>
      </c>
      <c r="N20" s="114"/>
      <c r="O20" s="114">
        <f t="shared" si="1"/>
        <v>98437975</v>
      </c>
      <c r="P20" s="37"/>
      <c r="U20" s="78">
        <f t="shared" si="2"/>
        <v>0</v>
      </c>
    </row>
    <row r="21" spans="1:21" ht="12.75" customHeight="1">
      <c r="A21" s="107" t="s">
        <v>235</v>
      </c>
      <c r="B21" s="22" t="str">
        <f t="shared" si="0"/>
        <v>12</v>
      </c>
      <c r="C21" s="37">
        <f>67757118+190663+48039+413320</f>
        <v>68409140</v>
      </c>
      <c r="D21" s="37"/>
      <c r="E21" s="37">
        <v>137795091</v>
      </c>
      <c r="F21" s="37"/>
      <c r="G21" s="37">
        <v>59584983</v>
      </c>
      <c r="H21" s="37"/>
      <c r="I21" s="37">
        <v>79570179</v>
      </c>
      <c r="J21" s="37"/>
      <c r="K21" s="37">
        <f>9039632+1210007+413320</f>
        <v>10662959</v>
      </c>
      <c r="L21" s="37"/>
      <c r="M21" s="37">
        <f>16467516+27657758+1931977+1504702</f>
        <v>47561953</v>
      </c>
      <c r="N21" s="37"/>
      <c r="O21" s="37">
        <f t="shared" si="1"/>
        <v>58224912</v>
      </c>
      <c r="P21" s="37"/>
      <c r="Q21" s="25"/>
      <c r="U21" s="78">
        <f t="shared" si="2"/>
        <v>0</v>
      </c>
    </row>
    <row r="22" spans="1:21" ht="12.75" customHeight="1">
      <c r="A22" s="107" t="s">
        <v>242</v>
      </c>
      <c r="B22" s="22" t="str">
        <f t="shared" si="0"/>
        <v>13</v>
      </c>
      <c r="C22" s="37">
        <v>119138006</v>
      </c>
      <c r="D22" s="37"/>
      <c r="E22" s="37">
        <v>190298239</v>
      </c>
      <c r="F22" s="37"/>
      <c r="G22" s="37">
        <v>58083597</v>
      </c>
      <c r="H22" s="37"/>
      <c r="I22" s="37">
        <v>67742852</v>
      </c>
      <c r="J22" s="37"/>
      <c r="K22" s="37">
        <f>9740397+242123+938318+9503334+1885706</f>
        <v>22309878</v>
      </c>
      <c r="L22" s="37"/>
      <c r="M22" s="37">
        <f>24225464+71506337+4470114+43594</f>
        <v>100245509</v>
      </c>
      <c r="N22" s="37"/>
      <c r="O22" s="37">
        <f t="shared" si="1"/>
        <v>122555387</v>
      </c>
      <c r="P22" s="37"/>
      <c r="Q22" s="25"/>
      <c r="U22" s="78">
        <f t="shared" si="2"/>
        <v>0</v>
      </c>
    </row>
    <row r="23" spans="1:21" ht="12.75" customHeight="1">
      <c r="A23" s="107" t="s">
        <v>243</v>
      </c>
      <c r="B23" s="22" t="str">
        <f t="shared" si="0"/>
        <v>14</v>
      </c>
      <c r="C23" s="37">
        <f>60894676+2031</f>
        <v>60896707</v>
      </c>
      <c r="D23" s="37"/>
      <c r="E23" s="37">
        <v>117714388</v>
      </c>
      <c r="F23" s="37"/>
      <c r="G23" s="37">
        <v>50227550</v>
      </c>
      <c r="H23" s="37"/>
      <c r="I23" s="37">
        <v>60570408</v>
      </c>
      <c r="J23" s="37"/>
      <c r="K23" s="37">
        <f>3162249+251637+2335640+131662</f>
        <v>5881188</v>
      </c>
      <c r="L23" s="37"/>
      <c r="M23" s="37">
        <f>2300000+17889825+14002512+319293+16751162</f>
        <v>51262792</v>
      </c>
      <c r="N23" s="37"/>
      <c r="O23" s="37">
        <f t="shared" si="1"/>
        <v>57143980</v>
      </c>
      <c r="P23" s="37"/>
      <c r="U23" s="78">
        <f t="shared" si="2"/>
        <v>0</v>
      </c>
    </row>
    <row r="24" spans="1:21" ht="12.75" customHeight="1">
      <c r="A24" s="107" t="s">
        <v>249</v>
      </c>
      <c r="B24" s="22" t="str">
        <f t="shared" si="0"/>
        <v>15</v>
      </c>
      <c r="C24" s="114">
        <f>43663714+12402</f>
        <v>43676116</v>
      </c>
      <c r="D24" s="114"/>
      <c r="E24" s="114">
        <v>86851787</v>
      </c>
      <c r="F24" s="114"/>
      <c r="G24" s="114">
        <v>32171878</v>
      </c>
      <c r="H24" s="114"/>
      <c r="I24" s="114">
        <v>40413227</v>
      </c>
      <c r="J24" s="114"/>
      <c r="K24" s="114">
        <f>2030233+127881+123239</f>
        <v>2281353</v>
      </c>
      <c r="L24" s="114"/>
      <c r="M24" s="114">
        <f>8796328+34867270+146988+346621</f>
        <v>44157207</v>
      </c>
      <c r="N24" s="114"/>
      <c r="O24" s="114">
        <f t="shared" si="1"/>
        <v>46438560</v>
      </c>
      <c r="P24" s="37"/>
      <c r="U24" s="78">
        <f t="shared" si="2"/>
        <v>0</v>
      </c>
    </row>
    <row r="25" spans="1:21" ht="12.75" customHeight="1">
      <c r="A25" s="107" t="s">
        <v>244</v>
      </c>
      <c r="B25" s="22" t="str">
        <f t="shared" si="0"/>
        <v>16</v>
      </c>
      <c r="C25" s="37">
        <f>85699648+17865+24927</f>
        <v>85742440</v>
      </c>
      <c r="D25" s="37"/>
      <c r="E25" s="37">
        <v>138752106</v>
      </c>
      <c r="F25" s="37"/>
      <c r="G25" s="37">
        <v>41942038</v>
      </c>
      <c r="H25" s="37"/>
      <c r="I25" s="37">
        <v>50550922</v>
      </c>
      <c r="J25" s="37"/>
      <c r="K25" s="37">
        <f>1719387+443360</f>
        <v>2162747</v>
      </c>
      <c r="L25" s="37"/>
      <c r="M25" s="37">
        <f>16547524+66705164-1565311+4351060</f>
        <v>86038437</v>
      </c>
      <c r="N25" s="37"/>
      <c r="O25" s="37">
        <f t="shared" si="1"/>
        <v>88201184</v>
      </c>
      <c r="P25" s="37"/>
      <c r="U25" s="78">
        <f t="shared" si="2"/>
        <v>0</v>
      </c>
    </row>
    <row r="26" spans="1:21" ht="12.75" customHeight="1">
      <c r="A26" s="107" t="s">
        <v>245</v>
      </c>
      <c r="B26" s="22" t="str">
        <f t="shared" si="0"/>
        <v>17</v>
      </c>
      <c r="C26" s="114">
        <f>26542680+103078+11009221</f>
        <v>37654979</v>
      </c>
      <c r="D26" s="114"/>
      <c r="E26" s="114">
        <v>76442324</v>
      </c>
      <c r="F26" s="114"/>
      <c r="G26" s="114">
        <v>28711931</v>
      </c>
      <c r="H26" s="114"/>
      <c r="I26" s="114">
        <v>38279839</v>
      </c>
      <c r="J26" s="114"/>
      <c r="K26" s="114">
        <f>3871569+161552+238752+3976931+3112252</f>
        <v>11361056</v>
      </c>
      <c r="L26" s="114"/>
      <c r="M26" s="114">
        <f>10810458+16786647-795676</f>
        <v>26801429</v>
      </c>
      <c r="N26" s="114"/>
      <c r="O26" s="114">
        <f t="shared" si="1"/>
        <v>38162485</v>
      </c>
      <c r="P26" s="37"/>
      <c r="U26" s="78">
        <f t="shared" si="2"/>
        <v>0</v>
      </c>
    </row>
    <row r="27" spans="1:21" ht="12.75" customHeight="1">
      <c r="A27" s="107" t="s">
        <v>246</v>
      </c>
      <c r="B27" s="22" t="str">
        <f t="shared" si="0"/>
        <v>18</v>
      </c>
      <c r="C27" s="37">
        <f>52913694+196042+526077</f>
        <v>53635813</v>
      </c>
      <c r="D27" s="37"/>
      <c r="E27" s="37">
        <v>123125435</v>
      </c>
      <c r="F27" s="37"/>
      <c r="G27" s="37">
        <v>42143250</v>
      </c>
      <c r="H27" s="37"/>
      <c r="I27" s="37">
        <v>56355747</v>
      </c>
      <c r="J27" s="37"/>
      <c r="K27" s="37">
        <f>3208351+5872787+526077</f>
        <v>9607215</v>
      </c>
      <c r="L27" s="37"/>
      <c r="M27" s="37">
        <f>15187394+42404290+545061-974272</f>
        <v>57162473</v>
      </c>
      <c r="N27" s="37"/>
      <c r="O27" s="37">
        <f t="shared" si="1"/>
        <v>66769688</v>
      </c>
      <c r="P27" s="37"/>
      <c r="Q27" s="25"/>
      <c r="U27" s="78">
        <f t="shared" si="2"/>
        <v>0</v>
      </c>
    </row>
    <row r="28" spans="1:21" ht="12.75" customHeight="1">
      <c r="A28" s="107" t="s">
        <v>247</v>
      </c>
      <c r="B28" s="22" t="str">
        <f t="shared" si="0"/>
        <v>19</v>
      </c>
      <c r="C28" s="37">
        <f>57259890+99068</f>
        <v>57358958</v>
      </c>
      <c r="D28" s="37"/>
      <c r="E28" s="37">
        <v>113042654</v>
      </c>
      <c r="F28" s="37"/>
      <c r="G28" s="37">
        <v>48831334</v>
      </c>
      <c r="H28" s="37"/>
      <c r="I28" s="37">
        <v>56491528</v>
      </c>
      <c r="J28" s="37"/>
      <c r="K28" s="37">
        <f>4340596+98777</f>
        <v>4439373</v>
      </c>
      <c r="L28" s="37"/>
      <c r="M28" s="37">
        <f>2000000+9729032+40131443-14875+266153</f>
        <v>52111753</v>
      </c>
      <c r="N28" s="37"/>
      <c r="O28" s="37">
        <f t="shared" si="1"/>
        <v>56551126</v>
      </c>
      <c r="P28" s="37"/>
      <c r="U28" s="78">
        <f t="shared" si="2"/>
        <v>0</v>
      </c>
    </row>
    <row r="29" spans="1:21" ht="12.75" customHeight="1">
      <c r="A29" s="107" t="s">
        <v>248</v>
      </c>
      <c r="B29" s="22" t="str">
        <f t="shared" si="0"/>
        <v>20</v>
      </c>
      <c r="C29" s="37">
        <f>35111773+352356+80053</f>
        <v>35544182</v>
      </c>
      <c r="D29" s="37"/>
      <c r="E29" s="37">
        <v>94922182</v>
      </c>
      <c r="F29" s="37"/>
      <c r="G29" s="37">
        <v>46413686</v>
      </c>
      <c r="H29" s="37"/>
      <c r="I29" s="37">
        <v>59738181</v>
      </c>
      <c r="J29" s="37"/>
      <c r="K29" s="37">
        <f>7403079+353822+401779+74787</f>
        <v>8233467</v>
      </c>
      <c r="L29" s="37"/>
      <c r="M29" s="37">
        <f>8023745+25845217+420596-7398862+59838</f>
        <v>26950534</v>
      </c>
      <c r="N29" s="37"/>
      <c r="O29" s="37">
        <f t="shared" si="1"/>
        <v>35184001</v>
      </c>
      <c r="P29" s="37"/>
      <c r="U29" s="78">
        <f t="shared" si="2"/>
        <v>0</v>
      </c>
    </row>
    <row r="30" spans="1:21" ht="12.75" customHeight="1">
      <c r="A30" s="107"/>
      <c r="B30" s="107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37"/>
      <c r="U30" s="78"/>
    </row>
    <row r="31" spans="1:21" ht="12.75" customHeight="1">
      <c r="A31" s="107"/>
      <c r="B31" s="107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37"/>
      <c r="U31" s="78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/>
  <pageMargins left="0.75" right="0.75" top="0.5" bottom="0.5" header="0" footer="0.25"/>
  <pageSetup firstPageNumber="20" useFirstPageNumber="1" horizontalDpi="1200" verticalDpi="1200" orientation="portrait" pageOrder="overThenDown" scale="89" r:id="rId1"/>
  <headerFooter alignWithMargins="0">
    <oddFooter>&amp;C&amp;"Times New Roman,Regular"&amp;11&amp;P</oddFooter>
  </headerFooter>
  <colBreaks count="1" manualBreakCount="1">
    <brk id="12" max="9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36"/>
  <sheetViews>
    <sheetView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7" sqref="A17:IV17"/>
    </sheetView>
  </sheetViews>
  <sheetFormatPr defaultColWidth="9.140625" defaultRowHeight="12" customHeight="1"/>
  <cols>
    <col min="1" max="1" width="15.7109375" style="110" customWidth="1"/>
    <col min="2" max="2" width="1.7109375" style="1" customWidth="1"/>
    <col min="3" max="3" width="11.7109375" style="1" customWidth="1"/>
    <col min="4" max="4" width="1.7109375" style="1" customWidth="1"/>
    <col min="5" max="5" width="11.7109375" style="1" customWidth="1"/>
    <col min="6" max="6" width="1.7109375" style="1" customWidth="1"/>
    <col min="7" max="7" width="11.7109375" style="1" customWidth="1"/>
    <col min="8" max="8" width="1.7109375" style="1" customWidth="1"/>
    <col min="9" max="9" width="11.7109375" style="1" customWidth="1"/>
    <col min="10" max="10" width="1.7109375" style="1" customWidth="1"/>
    <col min="11" max="11" width="11.7109375" style="1" customWidth="1"/>
    <col min="12" max="12" width="1.7109375" style="1" customWidth="1"/>
    <col min="13" max="13" width="11.7109375" style="1" customWidth="1"/>
    <col min="14" max="14" width="1.7109375" style="1" customWidth="1"/>
    <col min="15" max="15" width="12.7109375" style="31" customWidth="1"/>
    <col min="16" max="16" width="1.7109375" style="1" customWidth="1"/>
    <col min="17" max="17" width="12.7109375" style="1" customWidth="1"/>
    <col min="19" max="19" width="9.28125" style="0" bestFit="1" customWidth="1"/>
  </cols>
  <sheetData>
    <row r="1" spans="1:19" s="2" customFormat="1" ht="12.75" customHeight="1">
      <c r="A1" s="51" t="s">
        <v>186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2"/>
      <c r="P1" s="6"/>
      <c r="Q1" s="6"/>
      <c r="R1" s="7"/>
      <c r="S1" s="7"/>
    </row>
    <row r="2" spans="1:19" s="2" customFormat="1" ht="12.75" customHeight="1">
      <c r="A2" s="51" t="s">
        <v>229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2"/>
      <c r="P2" s="6"/>
      <c r="Q2" s="6"/>
      <c r="R2" s="7"/>
      <c r="S2" s="7"/>
    </row>
    <row r="3" spans="1:19" s="2" customFormat="1" ht="12.75" customHeight="1">
      <c r="A3" s="43" t="s">
        <v>224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2"/>
      <c r="P3" s="6"/>
      <c r="Q3" s="6"/>
      <c r="R3" s="7"/>
      <c r="S3" s="7"/>
    </row>
    <row r="4" spans="1:19" s="1" customFormat="1" ht="12.75" customHeight="1">
      <c r="A4" s="51" t="s">
        <v>173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3"/>
      <c r="P4" s="5"/>
      <c r="Q4" s="5"/>
      <c r="R4" s="8"/>
      <c r="S4" s="8"/>
    </row>
    <row r="5" spans="1:19" s="1" customFormat="1" ht="12.75" customHeight="1">
      <c r="A5" s="5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3"/>
      <c r="P5" s="5"/>
      <c r="Q5" s="5"/>
      <c r="R5" s="8"/>
      <c r="S5" s="8"/>
    </row>
    <row r="6" spans="1:19" s="1" customFormat="1" ht="12.75" customHeight="1">
      <c r="A6" s="5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/>
      <c r="P6" s="3"/>
      <c r="Q6" s="3"/>
      <c r="R6" s="8"/>
      <c r="S6" s="8" t="s">
        <v>157</v>
      </c>
    </row>
    <row r="7" spans="1:19" s="1" customFormat="1" ht="12.75" customHeight="1">
      <c r="A7" s="108"/>
      <c r="B7" s="3"/>
      <c r="C7" s="3" t="s">
        <v>141</v>
      </c>
      <c r="D7" s="3"/>
      <c r="E7" s="3" t="s">
        <v>160</v>
      </c>
      <c r="F7" s="3"/>
      <c r="G7" s="3" t="s">
        <v>157</v>
      </c>
      <c r="H7" s="3"/>
      <c r="I7" s="3" t="s">
        <v>0</v>
      </c>
      <c r="J7" s="3"/>
      <c r="K7" s="3" t="s">
        <v>1</v>
      </c>
      <c r="L7" s="3"/>
      <c r="M7" s="3" t="s">
        <v>2</v>
      </c>
      <c r="N7" s="3"/>
      <c r="O7" s="18" t="s">
        <v>3</v>
      </c>
      <c r="P7" s="3"/>
      <c r="Q7" s="3" t="s">
        <v>4</v>
      </c>
      <c r="R7" s="8"/>
      <c r="S7" s="8" t="s">
        <v>195</v>
      </c>
    </row>
    <row r="8" spans="1:19" s="1" customFormat="1" ht="12.75" customHeight="1">
      <c r="A8" s="109" t="s">
        <v>5</v>
      </c>
      <c r="B8" s="17"/>
      <c r="C8" s="21" t="s">
        <v>209</v>
      </c>
      <c r="D8" s="17"/>
      <c r="E8" s="21" t="s">
        <v>7</v>
      </c>
      <c r="F8" s="17"/>
      <c r="G8" s="21" t="s">
        <v>6</v>
      </c>
      <c r="H8" s="17"/>
      <c r="I8" s="21" t="s">
        <v>8</v>
      </c>
      <c r="J8" s="17"/>
      <c r="K8" s="21" t="s">
        <v>9</v>
      </c>
      <c r="L8" s="17"/>
      <c r="M8" s="21" t="s">
        <v>10</v>
      </c>
      <c r="N8" s="17"/>
      <c r="O8" s="21" t="s">
        <v>11</v>
      </c>
      <c r="P8" s="17"/>
      <c r="Q8" s="21" t="s">
        <v>12</v>
      </c>
      <c r="R8" s="8"/>
      <c r="S8" s="8" t="s">
        <v>196</v>
      </c>
    </row>
    <row r="9" spans="1:19" s="1" customFormat="1" ht="12.75" customHeight="1">
      <c r="A9" s="108"/>
      <c r="B9" s="17"/>
      <c r="C9" s="18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8"/>
      <c r="S9" s="8"/>
    </row>
    <row r="10" spans="1:19" s="1" customFormat="1" ht="12.75" customHeight="1">
      <c r="A10" s="107" t="s">
        <v>231</v>
      </c>
      <c r="B10" s="22" t="str">
        <f aca="true" t="shared" si="0" ref="B10:B29">LEFT(A10,2)</f>
        <v>1 </v>
      </c>
      <c r="C10" s="15">
        <v>19360</v>
      </c>
      <c r="D10" s="15"/>
      <c r="E10" s="15">
        <v>212712</v>
      </c>
      <c r="F10" s="15"/>
      <c r="G10" s="15">
        <v>4</v>
      </c>
      <c r="H10" s="15"/>
      <c r="I10" s="15">
        <v>61724</v>
      </c>
      <c r="J10" s="15"/>
      <c r="K10" s="15">
        <f>37406+13205</f>
        <v>50611</v>
      </c>
      <c r="L10" s="15"/>
      <c r="M10" s="15">
        <v>0</v>
      </c>
      <c r="N10" s="13"/>
      <c r="O10" s="37">
        <f aca="true" t="shared" si="1" ref="O10:O29">Q10-C10-E10-G10-I10-K10-M10</f>
        <v>54901</v>
      </c>
      <c r="P10" s="13"/>
      <c r="Q10" s="15">
        <v>399312</v>
      </c>
      <c r="R10" s="8"/>
      <c r="S10" s="15">
        <v>2222</v>
      </c>
    </row>
    <row r="11" spans="1:19" s="1" customFormat="1" ht="12.75" customHeight="1">
      <c r="A11" s="107" t="s">
        <v>232</v>
      </c>
      <c r="B11" s="22" t="str">
        <f t="shared" si="0"/>
        <v>2 </v>
      </c>
      <c r="C11" s="15">
        <v>40957000</v>
      </c>
      <c r="D11" s="15"/>
      <c r="E11" s="15">
        <v>136336000</v>
      </c>
      <c r="F11" s="15"/>
      <c r="G11" s="15">
        <v>0</v>
      </c>
      <c r="H11" s="15"/>
      <c r="I11" s="15">
        <v>48019000</v>
      </c>
      <c r="J11" s="15"/>
      <c r="K11" s="15">
        <v>39725000</v>
      </c>
      <c r="L11" s="15"/>
      <c r="M11" s="15">
        <v>0</v>
      </c>
      <c r="N11" s="13"/>
      <c r="O11" s="37">
        <f t="shared" si="1"/>
        <v>48647000</v>
      </c>
      <c r="P11" s="13"/>
      <c r="Q11" s="15">
        <v>313684000</v>
      </c>
      <c r="R11" s="8"/>
      <c r="S11" s="106">
        <f>7000+171000+105000</f>
        <v>283000</v>
      </c>
    </row>
    <row r="12" spans="1:19" s="1" customFormat="1" ht="12.75" customHeight="1">
      <c r="A12" s="107" t="s">
        <v>233</v>
      </c>
      <c r="B12" s="22" t="str">
        <f t="shared" si="0"/>
        <v>3 </v>
      </c>
      <c r="C12" s="15">
        <v>42762000</v>
      </c>
      <c r="D12" s="15"/>
      <c r="E12" s="15">
        <v>66671000</v>
      </c>
      <c r="F12" s="15"/>
      <c r="G12" s="15">
        <v>24553000</v>
      </c>
      <c r="H12" s="15"/>
      <c r="I12" s="15">
        <v>52422000</v>
      </c>
      <c r="J12" s="15"/>
      <c r="K12" s="15">
        <v>20215000</v>
      </c>
      <c r="L12" s="15"/>
      <c r="M12" s="15">
        <v>0</v>
      </c>
      <c r="N12" s="13"/>
      <c r="O12" s="37">
        <f t="shared" si="1"/>
        <v>45044000</v>
      </c>
      <c r="P12" s="13"/>
      <c r="Q12" s="15">
        <v>251667000</v>
      </c>
      <c r="R12" s="8"/>
      <c r="S12" s="15">
        <v>851000</v>
      </c>
    </row>
    <row r="13" spans="1:19" s="1" customFormat="1" ht="12.75" customHeight="1">
      <c r="A13" s="107" t="s">
        <v>234</v>
      </c>
      <c r="B13" s="22" t="str">
        <f t="shared" si="0"/>
        <v>4 </v>
      </c>
      <c r="C13" s="15">
        <v>19407960</v>
      </c>
      <c r="D13" s="15"/>
      <c r="E13" s="15">
        <v>35672063</v>
      </c>
      <c r="F13" s="15"/>
      <c r="G13" s="15">
        <v>5948466</v>
      </c>
      <c r="H13" s="15"/>
      <c r="I13" s="15">
        <v>27015838</v>
      </c>
      <c r="J13" s="15"/>
      <c r="K13" s="15">
        <v>18223525</v>
      </c>
      <c r="L13" s="15"/>
      <c r="M13" s="15">
        <v>0</v>
      </c>
      <c r="N13" s="13"/>
      <c r="O13" s="37">
        <f t="shared" si="1"/>
        <v>13941000</v>
      </c>
      <c r="P13" s="13"/>
      <c r="Q13" s="15">
        <v>120208852</v>
      </c>
      <c r="R13" s="8"/>
      <c r="S13" s="15">
        <f>8505+21946+40484</f>
        <v>70935</v>
      </c>
    </row>
    <row r="14" spans="1:19" s="1" customFormat="1" ht="12.75" customHeight="1">
      <c r="A14" s="107" t="s">
        <v>236</v>
      </c>
      <c r="B14" s="22" t="str">
        <f t="shared" si="0"/>
        <v>5 </v>
      </c>
      <c r="C14" s="15">
        <v>15344271</v>
      </c>
      <c r="D14" s="15"/>
      <c r="E14" s="15">
        <v>64340111</v>
      </c>
      <c r="F14" s="15"/>
      <c r="G14" s="15">
        <v>2670894</v>
      </c>
      <c r="H14" s="15"/>
      <c r="I14" s="15">
        <v>21599806</v>
      </c>
      <c r="J14" s="15"/>
      <c r="K14" s="15">
        <v>22479296</v>
      </c>
      <c r="L14" s="15"/>
      <c r="M14" s="15">
        <v>0</v>
      </c>
      <c r="N14" s="13"/>
      <c r="O14" s="37">
        <f t="shared" si="1"/>
        <v>31692816</v>
      </c>
      <c r="P14" s="13"/>
      <c r="Q14" s="15">
        <v>158127194</v>
      </c>
      <c r="R14" s="8"/>
      <c r="S14" s="15">
        <f>46309+169113+4433597</f>
        <v>4649019</v>
      </c>
    </row>
    <row r="15" spans="1:19" s="1" customFormat="1" ht="12.75" customHeight="1">
      <c r="A15" s="107" t="s">
        <v>237</v>
      </c>
      <c r="B15" s="22" t="str">
        <f t="shared" si="0"/>
        <v>6 </v>
      </c>
      <c r="C15" s="106">
        <v>15765639</v>
      </c>
      <c r="D15" s="106"/>
      <c r="E15" s="106">
        <v>71333456</v>
      </c>
      <c r="F15" s="106"/>
      <c r="G15" s="106">
        <v>0</v>
      </c>
      <c r="H15" s="106"/>
      <c r="I15" s="106">
        <v>13735176</v>
      </c>
      <c r="J15" s="106"/>
      <c r="K15" s="106">
        <v>27481184</v>
      </c>
      <c r="L15" s="106"/>
      <c r="M15" s="106">
        <v>35538</v>
      </c>
      <c r="N15" s="115"/>
      <c r="O15" s="114">
        <f t="shared" si="1"/>
        <v>18092396</v>
      </c>
      <c r="P15" s="115"/>
      <c r="Q15" s="106">
        <v>146443389</v>
      </c>
      <c r="R15" s="116"/>
      <c r="S15" s="106">
        <v>0</v>
      </c>
    </row>
    <row r="16" spans="1:19" s="1" customFormat="1" ht="12.75" customHeight="1">
      <c r="A16" s="107" t="s">
        <v>238</v>
      </c>
      <c r="B16" s="22" t="str">
        <f t="shared" si="0"/>
        <v>7 </v>
      </c>
      <c r="C16" s="15">
        <v>14450388</v>
      </c>
      <c r="D16" s="15"/>
      <c r="E16" s="15">
        <v>11669981</v>
      </c>
      <c r="F16" s="15"/>
      <c r="G16" s="15">
        <v>0</v>
      </c>
      <c r="H16" s="15"/>
      <c r="I16" s="15">
        <v>12742597</v>
      </c>
      <c r="J16" s="15"/>
      <c r="K16" s="15">
        <v>10460555</v>
      </c>
      <c r="L16" s="15"/>
      <c r="M16" s="15">
        <v>0</v>
      </c>
      <c r="N16" s="13"/>
      <c r="O16" s="37">
        <f t="shared" si="1"/>
        <v>7496740</v>
      </c>
      <c r="P16" s="13"/>
      <c r="Q16" s="15">
        <v>56820261</v>
      </c>
      <c r="R16" s="8"/>
      <c r="S16" s="15">
        <f>458547+19010</f>
        <v>477557</v>
      </c>
    </row>
    <row r="17" spans="1:19" s="1" customFormat="1" ht="12.75" customHeight="1">
      <c r="A17" s="107" t="s">
        <v>251</v>
      </c>
      <c r="B17" s="133"/>
      <c r="C17" s="106">
        <v>13956326</v>
      </c>
      <c r="D17" s="106"/>
      <c r="E17" s="106">
        <v>34238835</v>
      </c>
      <c r="F17" s="106"/>
      <c r="G17" s="106">
        <v>0</v>
      </c>
      <c r="H17" s="106"/>
      <c r="I17" s="106">
        <v>22767961</v>
      </c>
      <c r="J17" s="106"/>
      <c r="K17" s="106">
        <v>8286889</v>
      </c>
      <c r="L17" s="106"/>
      <c r="M17" s="106">
        <v>0</v>
      </c>
      <c r="N17" s="115"/>
      <c r="O17" s="114">
        <f t="shared" si="1"/>
        <v>12612924</v>
      </c>
      <c r="P17" s="115"/>
      <c r="Q17" s="106">
        <v>91862935</v>
      </c>
      <c r="R17" s="116"/>
      <c r="S17" s="106">
        <f>1218866+20000</f>
        <v>1238866</v>
      </c>
    </row>
    <row r="18" spans="1:19" s="1" customFormat="1" ht="12.75" customHeight="1">
      <c r="A18" s="107" t="s">
        <v>239</v>
      </c>
      <c r="B18" s="22" t="str">
        <f t="shared" si="0"/>
        <v>9 </v>
      </c>
      <c r="C18" s="106">
        <v>7777836</v>
      </c>
      <c r="D18" s="106"/>
      <c r="E18" s="106">
        <v>15252852</v>
      </c>
      <c r="F18" s="106"/>
      <c r="G18" s="106">
        <v>0</v>
      </c>
      <c r="H18" s="106"/>
      <c r="I18" s="106">
        <v>4031362</v>
      </c>
      <c r="J18" s="106"/>
      <c r="K18" s="106">
        <v>8857781</v>
      </c>
      <c r="L18" s="106"/>
      <c r="M18" s="106">
        <v>0</v>
      </c>
      <c r="N18" s="115"/>
      <c r="O18" s="114">
        <f t="shared" si="1"/>
        <v>16645600</v>
      </c>
      <c r="P18" s="115"/>
      <c r="Q18" s="106">
        <v>52565431</v>
      </c>
      <c r="R18" s="116"/>
      <c r="S18" s="106">
        <v>0</v>
      </c>
    </row>
    <row r="19" spans="1:19" s="1" customFormat="1" ht="12.75" customHeight="1">
      <c r="A19" s="107" t="s">
        <v>240</v>
      </c>
      <c r="B19" s="22" t="str">
        <f t="shared" si="0"/>
        <v>10</v>
      </c>
      <c r="C19" s="106">
        <v>7431406</v>
      </c>
      <c r="D19" s="106"/>
      <c r="E19" s="106">
        <v>27981246</v>
      </c>
      <c r="F19" s="106"/>
      <c r="G19" s="106">
        <v>0</v>
      </c>
      <c r="H19" s="106"/>
      <c r="I19" s="106">
        <v>1952162</v>
      </c>
      <c r="J19" s="106"/>
      <c r="K19" s="106">
        <v>12281979</v>
      </c>
      <c r="L19" s="106"/>
      <c r="M19" s="106">
        <v>0</v>
      </c>
      <c r="N19" s="115"/>
      <c r="O19" s="114">
        <f t="shared" si="1"/>
        <v>15657939</v>
      </c>
      <c r="P19" s="115"/>
      <c r="Q19" s="106">
        <v>65304732</v>
      </c>
      <c r="R19" s="116"/>
      <c r="S19" s="106">
        <f>8800+104648</f>
        <v>113448</v>
      </c>
    </row>
    <row r="20" spans="1:19" s="1" customFormat="1" ht="12.75" customHeight="1">
      <c r="A20" s="107" t="s">
        <v>241</v>
      </c>
      <c r="B20" s="22" t="str">
        <f t="shared" si="0"/>
        <v>11</v>
      </c>
      <c r="C20" s="106">
        <v>12825182</v>
      </c>
      <c r="D20" s="106"/>
      <c r="E20" s="106">
        <v>15529714</v>
      </c>
      <c r="F20" s="106"/>
      <c r="G20" s="106">
        <v>2790834</v>
      </c>
      <c r="H20" s="106"/>
      <c r="I20" s="106">
        <v>6239599</v>
      </c>
      <c r="J20" s="106"/>
      <c r="K20" s="106">
        <v>6443609</v>
      </c>
      <c r="L20" s="106"/>
      <c r="M20" s="106">
        <v>0</v>
      </c>
      <c r="N20" s="115"/>
      <c r="O20" s="114">
        <f t="shared" si="1"/>
        <v>9847851</v>
      </c>
      <c r="P20" s="115"/>
      <c r="Q20" s="106">
        <v>53676789</v>
      </c>
      <c r="R20" s="116"/>
      <c r="S20" s="106">
        <f>27751+200000</f>
        <v>227751</v>
      </c>
    </row>
    <row r="21" spans="1:19" s="1" customFormat="1" ht="12.75" customHeight="1">
      <c r="A21" s="107" t="s">
        <v>235</v>
      </c>
      <c r="B21" s="22" t="str">
        <f t="shared" si="0"/>
        <v>12</v>
      </c>
      <c r="C21" s="15">
        <v>7043190</v>
      </c>
      <c r="D21" s="15"/>
      <c r="E21" s="15">
        <v>18889541</v>
      </c>
      <c r="F21" s="15"/>
      <c r="G21" s="15">
        <v>0</v>
      </c>
      <c r="H21" s="15"/>
      <c r="I21" s="15">
        <v>3380650</v>
      </c>
      <c r="J21" s="15"/>
      <c r="K21" s="15">
        <v>7602852</v>
      </c>
      <c r="L21" s="15"/>
      <c r="M21" s="15">
        <v>0</v>
      </c>
      <c r="N21" s="13"/>
      <c r="O21" s="37">
        <f t="shared" si="1"/>
        <v>7554326</v>
      </c>
      <c r="P21" s="13"/>
      <c r="Q21" s="15">
        <v>44470559</v>
      </c>
      <c r="R21" s="8"/>
      <c r="S21" s="15">
        <v>21299</v>
      </c>
    </row>
    <row r="22" spans="1:19" s="1" customFormat="1" ht="12.75" customHeight="1">
      <c r="A22" s="107" t="s">
        <v>242</v>
      </c>
      <c r="B22" s="22" t="str">
        <f t="shared" si="0"/>
        <v>13</v>
      </c>
      <c r="C22" s="15">
        <v>37965856</v>
      </c>
      <c r="D22" s="15"/>
      <c r="E22" s="15">
        <v>0</v>
      </c>
      <c r="F22" s="15"/>
      <c r="G22" s="15">
        <v>0</v>
      </c>
      <c r="H22" s="15"/>
      <c r="I22" s="15">
        <v>5809302</v>
      </c>
      <c r="J22" s="15"/>
      <c r="K22" s="15">
        <v>5108116</v>
      </c>
      <c r="L22" s="15"/>
      <c r="M22" s="15">
        <v>0</v>
      </c>
      <c r="N22" s="13"/>
      <c r="O22" s="37">
        <f t="shared" si="1"/>
        <v>11456394</v>
      </c>
      <c r="P22" s="13"/>
      <c r="Q22" s="15">
        <v>60339668</v>
      </c>
      <c r="R22" s="8"/>
      <c r="S22" s="15">
        <v>20000</v>
      </c>
    </row>
    <row r="23" spans="1:19" s="1" customFormat="1" ht="12.75" customHeight="1">
      <c r="A23" s="107" t="s">
        <v>243</v>
      </c>
      <c r="B23" s="22" t="str">
        <f t="shared" si="0"/>
        <v>14</v>
      </c>
      <c r="C23" s="15">
        <v>8041123</v>
      </c>
      <c r="D23" s="15"/>
      <c r="E23" s="15">
        <v>20466780</v>
      </c>
      <c r="F23" s="15"/>
      <c r="G23" s="15">
        <v>0</v>
      </c>
      <c r="H23" s="15"/>
      <c r="I23" s="15">
        <v>10942581</v>
      </c>
      <c r="J23" s="15"/>
      <c r="K23" s="15">
        <v>5148255</v>
      </c>
      <c r="L23" s="15"/>
      <c r="M23" s="15">
        <v>0</v>
      </c>
      <c r="N23" s="13"/>
      <c r="O23" s="37">
        <f t="shared" si="1"/>
        <v>9580272</v>
      </c>
      <c r="P23" s="13"/>
      <c r="Q23" s="15">
        <v>54179011</v>
      </c>
      <c r="R23" s="8"/>
      <c r="S23" s="15">
        <v>1306630</v>
      </c>
    </row>
    <row r="24" spans="1:19" s="1" customFormat="1" ht="12.75" customHeight="1">
      <c r="A24" s="107" t="s">
        <v>249</v>
      </c>
      <c r="B24" s="22" t="str">
        <f t="shared" si="0"/>
        <v>15</v>
      </c>
      <c r="C24" s="106">
        <v>10118717</v>
      </c>
      <c r="D24" s="106"/>
      <c r="E24" s="106">
        <v>9647205</v>
      </c>
      <c r="F24" s="106"/>
      <c r="G24" s="106">
        <v>1580720</v>
      </c>
      <c r="H24" s="106"/>
      <c r="I24" s="106">
        <v>7765573</v>
      </c>
      <c r="J24" s="106"/>
      <c r="K24" s="106">
        <v>5009639</v>
      </c>
      <c r="L24" s="106"/>
      <c r="M24" s="106">
        <v>0</v>
      </c>
      <c r="N24" s="115"/>
      <c r="O24" s="114">
        <f t="shared" si="1"/>
        <v>6538982</v>
      </c>
      <c r="P24" s="115"/>
      <c r="Q24" s="106">
        <v>40660836</v>
      </c>
      <c r="R24" s="116"/>
      <c r="S24" s="106">
        <f>36833+55774</f>
        <v>92607</v>
      </c>
    </row>
    <row r="25" spans="1:19" s="1" customFormat="1" ht="12.75" customHeight="1">
      <c r="A25" s="107" t="s">
        <v>244</v>
      </c>
      <c r="B25" s="22" t="str">
        <f t="shared" si="0"/>
        <v>16</v>
      </c>
      <c r="C25" s="15">
        <v>6627566</v>
      </c>
      <c r="D25" s="15"/>
      <c r="E25" s="15">
        <v>21564693</v>
      </c>
      <c r="F25" s="15"/>
      <c r="G25" s="15">
        <v>0</v>
      </c>
      <c r="H25" s="15"/>
      <c r="I25" s="15">
        <v>9196914</v>
      </c>
      <c r="J25" s="15"/>
      <c r="K25" s="15">
        <v>4160292</v>
      </c>
      <c r="L25" s="15"/>
      <c r="M25" s="15">
        <v>0</v>
      </c>
      <c r="N25" s="13"/>
      <c r="O25" s="37">
        <f t="shared" si="1"/>
        <v>7422375</v>
      </c>
      <c r="P25" s="13"/>
      <c r="Q25" s="15">
        <v>48971840</v>
      </c>
      <c r="R25" s="8"/>
      <c r="S25" s="15">
        <v>3693763</v>
      </c>
    </row>
    <row r="26" spans="1:19" s="1" customFormat="1" ht="12.75" customHeight="1">
      <c r="A26" s="107" t="s">
        <v>245</v>
      </c>
      <c r="B26" s="22" t="str">
        <f t="shared" si="0"/>
        <v>17</v>
      </c>
      <c r="C26" s="106">
        <v>31361906</v>
      </c>
      <c r="D26" s="106"/>
      <c r="E26" s="106">
        <v>0</v>
      </c>
      <c r="F26" s="106"/>
      <c r="G26" s="106">
        <v>0</v>
      </c>
      <c r="H26" s="106"/>
      <c r="I26" s="106">
        <v>3982763</v>
      </c>
      <c r="J26" s="106"/>
      <c r="K26" s="106">
        <v>5243493</v>
      </c>
      <c r="L26" s="106"/>
      <c r="M26" s="106">
        <v>0</v>
      </c>
      <c r="N26" s="115"/>
      <c r="O26" s="114">
        <f t="shared" si="1"/>
        <v>4057669</v>
      </c>
      <c r="P26" s="115"/>
      <c r="Q26" s="106">
        <v>44645831</v>
      </c>
      <c r="R26" s="116"/>
      <c r="S26" s="106">
        <f>32464+53544</f>
        <v>86008</v>
      </c>
    </row>
    <row r="27" spans="1:19" s="1" customFormat="1" ht="12.75" customHeight="1">
      <c r="A27" s="107" t="s">
        <v>246</v>
      </c>
      <c r="B27" s="22" t="str">
        <f t="shared" si="0"/>
        <v>18</v>
      </c>
      <c r="C27" s="15">
        <v>4676222</v>
      </c>
      <c r="D27" s="15"/>
      <c r="E27" s="15">
        <v>15133051</v>
      </c>
      <c r="F27" s="15"/>
      <c r="G27" s="15">
        <v>0</v>
      </c>
      <c r="H27" s="15"/>
      <c r="I27" s="15">
        <v>7181629</v>
      </c>
      <c r="J27" s="15"/>
      <c r="K27" s="15">
        <v>4338702</v>
      </c>
      <c r="L27" s="15"/>
      <c r="M27" s="15">
        <v>0</v>
      </c>
      <c r="N27" s="13"/>
      <c r="O27" s="37">
        <f t="shared" si="1"/>
        <v>7373948</v>
      </c>
      <c r="P27" s="13"/>
      <c r="Q27" s="15">
        <v>38703552</v>
      </c>
      <c r="R27" s="8"/>
      <c r="S27" s="15">
        <v>0</v>
      </c>
    </row>
    <row r="28" spans="1:19" s="1" customFormat="1" ht="12.75" customHeight="1">
      <c r="A28" s="107" t="s">
        <v>247</v>
      </c>
      <c r="B28" s="22" t="str">
        <f t="shared" si="0"/>
        <v>19</v>
      </c>
      <c r="C28" s="15">
        <v>28653742</v>
      </c>
      <c r="D28" s="15"/>
      <c r="E28" s="15">
        <v>0</v>
      </c>
      <c r="F28" s="15"/>
      <c r="G28" s="15">
        <v>0</v>
      </c>
      <c r="H28" s="15"/>
      <c r="I28" s="15">
        <v>5594813</v>
      </c>
      <c r="J28" s="15"/>
      <c r="K28" s="15">
        <v>5531296</v>
      </c>
      <c r="L28" s="15"/>
      <c r="M28" s="15">
        <v>11459</v>
      </c>
      <c r="N28" s="13"/>
      <c r="O28" s="37">
        <f t="shared" si="1"/>
        <v>6435074</v>
      </c>
      <c r="P28" s="13"/>
      <c r="Q28" s="15">
        <v>46226384</v>
      </c>
      <c r="R28" s="8"/>
      <c r="S28" s="15">
        <f>20859+589000+171827</f>
        <v>781686</v>
      </c>
    </row>
    <row r="29" spans="1:19" s="1" customFormat="1" ht="12.75" customHeight="1">
      <c r="A29" s="107" t="s">
        <v>248</v>
      </c>
      <c r="B29" s="22" t="str">
        <f t="shared" si="0"/>
        <v>20</v>
      </c>
      <c r="C29" s="15">
        <v>3541363</v>
      </c>
      <c r="D29" s="15"/>
      <c r="E29" s="15">
        <v>18791959</v>
      </c>
      <c r="F29" s="15"/>
      <c r="G29" s="15">
        <v>0</v>
      </c>
      <c r="H29" s="15"/>
      <c r="I29" s="15">
        <v>4480882</v>
      </c>
      <c r="J29" s="15"/>
      <c r="K29" s="15">
        <v>7270245</v>
      </c>
      <c r="L29" s="15"/>
      <c r="M29" s="15">
        <v>0</v>
      </c>
      <c r="N29" s="13"/>
      <c r="O29" s="37">
        <f t="shared" si="1"/>
        <v>3767253</v>
      </c>
      <c r="P29" s="13"/>
      <c r="Q29" s="15">
        <v>37851702</v>
      </c>
      <c r="R29" s="8"/>
      <c r="S29" s="15">
        <v>134</v>
      </c>
    </row>
    <row r="30" spans="1:19" s="1" customFormat="1" ht="12.75" customHeight="1">
      <c r="A30" s="107"/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15"/>
      <c r="O30" s="114"/>
      <c r="P30" s="115"/>
      <c r="Q30" s="106"/>
      <c r="R30" s="116"/>
      <c r="S30" s="106"/>
    </row>
    <row r="31" spans="1:19" s="1" customFormat="1" ht="12.75" customHeight="1">
      <c r="A31" s="107"/>
      <c r="B31" s="107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15"/>
      <c r="O31" s="114"/>
      <c r="P31" s="115"/>
      <c r="Q31" s="106"/>
      <c r="R31" s="116"/>
      <c r="S31" s="106"/>
    </row>
    <row r="32" spans="1:15" s="1" customFormat="1" ht="12.75" customHeight="1">
      <c r="A32" s="110"/>
      <c r="O32" s="31"/>
    </row>
    <row r="33" spans="1:15" s="1" customFormat="1" ht="12.75" customHeight="1">
      <c r="A33" s="110"/>
      <c r="O33" s="31"/>
    </row>
    <row r="34" spans="1:15" s="1" customFormat="1" ht="12.75" customHeight="1">
      <c r="A34" s="110"/>
      <c r="O34" s="31"/>
    </row>
    <row r="35" spans="1:15" s="1" customFormat="1" ht="12.75" customHeight="1">
      <c r="A35" s="110"/>
      <c r="O35" s="31"/>
    </row>
    <row r="36" spans="1:15" s="1" customFormat="1" ht="12.75" customHeight="1">
      <c r="A36" s="110"/>
      <c r="O36" s="31"/>
    </row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75" right="0.75" top="0.5" bottom="0.5" header="0" footer="0.25"/>
  <pageSetup firstPageNumber="24" useFirstPageNumber="1" fitToHeight="2" horizontalDpi="600" verticalDpi="600" orientation="portrait" pageOrder="overThenDown" scale="95" r:id="rId1"/>
  <headerFooter alignWithMargins="0">
    <oddFooter>&amp;C&amp;"Times New Roman,Regular"&amp;11&amp;P</oddFooter>
  </headerFooter>
  <colBreaks count="1" manualBreakCount="1">
    <brk id="12" min="1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K3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7" sqref="A17:IV17"/>
    </sheetView>
  </sheetViews>
  <sheetFormatPr defaultColWidth="9.140625" defaultRowHeight="12" customHeight="1"/>
  <cols>
    <col min="1" max="1" width="15.7109375" style="103" customWidth="1"/>
    <col min="2" max="2" width="1.7109375" style="35" customWidth="1"/>
    <col min="3" max="3" width="11.7109375" style="35" customWidth="1"/>
    <col min="4" max="4" width="1.7109375" style="35" customWidth="1"/>
    <col min="5" max="5" width="11.7109375" style="35" customWidth="1"/>
    <col min="6" max="6" width="1.7109375" style="35" customWidth="1"/>
    <col min="7" max="7" width="11.7109375" style="35" customWidth="1"/>
    <col min="8" max="8" width="1.7109375" style="35" customWidth="1"/>
    <col min="9" max="9" width="11.7109375" style="35" customWidth="1"/>
    <col min="10" max="10" width="1.7109375" style="35" customWidth="1"/>
    <col min="11" max="11" width="11.7109375" style="35" customWidth="1"/>
    <col min="12" max="12" width="1.7109375" style="35" customWidth="1"/>
    <col min="13" max="13" width="11.7109375" style="35" customWidth="1"/>
    <col min="14" max="14" width="1.7109375" style="35" customWidth="1"/>
    <col min="15" max="15" width="11.7109375" style="35" customWidth="1"/>
    <col min="16" max="16" width="1.7109375" style="35" customWidth="1"/>
    <col min="17" max="17" width="11.7109375" style="35" customWidth="1"/>
    <col min="18" max="18" width="1.7109375" style="35" customWidth="1"/>
    <col min="19" max="19" width="11.7109375" style="35" customWidth="1"/>
    <col min="20" max="20" width="1.7109375" style="35" customWidth="1"/>
    <col min="21" max="21" width="11.7109375" style="35" customWidth="1"/>
    <col min="22" max="22" width="1.7109375" style="35" customWidth="1"/>
    <col min="23" max="23" width="11.7109375" style="35" customWidth="1"/>
    <col min="24" max="24" width="1.7109375" style="35" customWidth="1"/>
    <col min="25" max="25" width="11.7109375" style="35" customWidth="1"/>
    <col min="26" max="26" width="1.7109375" style="35" customWidth="1"/>
    <col min="27" max="27" width="11.7109375" style="35" customWidth="1"/>
    <col min="28" max="28" width="1.7109375" style="35" customWidth="1"/>
    <col min="29" max="29" width="11.7109375" style="103" customWidth="1"/>
    <col min="30" max="30" width="1.57421875" style="25" customWidth="1"/>
    <col min="31" max="31" width="12.00390625" style="25" bestFit="1" customWidth="1"/>
    <col min="32" max="32" width="2.57421875" style="25" customWidth="1"/>
    <col min="33" max="33" width="12.57421875" style="25" bestFit="1" customWidth="1"/>
    <col min="34" max="34" width="2.140625" style="25" customWidth="1"/>
    <col min="35" max="35" width="12.8515625" style="25" bestFit="1" customWidth="1"/>
    <col min="36" max="36" width="2.28125" style="25" customWidth="1"/>
    <col min="37" max="37" width="11.7109375" style="79" bestFit="1" customWidth="1"/>
    <col min="38" max="38" width="9.421875" style="25" bestFit="1" customWidth="1"/>
    <col min="39" max="16384" width="9.140625" style="25" customWidth="1"/>
  </cols>
  <sheetData>
    <row r="1" spans="1:31" s="58" customFormat="1" ht="12.75" customHeight="1">
      <c r="A1" s="51" t="s">
        <v>187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6"/>
      <c r="AE1" s="57"/>
    </row>
    <row r="2" spans="1:31" s="58" customFormat="1" ht="12.75" customHeight="1">
      <c r="A2" s="51" t="s">
        <v>229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6"/>
      <c r="AE2" s="57"/>
    </row>
    <row r="3" spans="1:31" ht="12.75" customHeight="1">
      <c r="A3" s="43" t="s">
        <v>224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33"/>
      <c r="AE3" s="59"/>
    </row>
    <row r="4" spans="1:31" ht="12.75" customHeight="1">
      <c r="A4" s="51" t="s">
        <v>173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33"/>
      <c r="AE4" s="59"/>
    </row>
    <row r="5" spans="1:31" ht="12.75" customHeight="1">
      <c r="A5" s="5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33"/>
      <c r="AE5" s="59"/>
    </row>
    <row r="6" spans="1:35" s="30" customFormat="1" ht="12.75" customHeight="1">
      <c r="A6" s="5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33"/>
      <c r="AE6" s="33" t="s">
        <v>193</v>
      </c>
      <c r="AG6" s="30" t="s">
        <v>198</v>
      </c>
      <c r="AI6" s="30" t="s">
        <v>201</v>
      </c>
    </row>
    <row r="7" spans="1:37" s="29" customFormat="1" ht="12.75" customHeight="1">
      <c r="A7" s="18"/>
      <c r="B7" s="18"/>
      <c r="C7" s="18" t="s">
        <v>174</v>
      </c>
      <c r="D7" s="18"/>
      <c r="E7" s="18"/>
      <c r="F7" s="18"/>
      <c r="G7" s="18" t="s">
        <v>81</v>
      </c>
      <c r="H7" s="18"/>
      <c r="I7" s="18" t="s">
        <v>81</v>
      </c>
      <c r="J7" s="18"/>
      <c r="K7" s="18"/>
      <c r="L7" s="18"/>
      <c r="M7" s="18" t="s">
        <v>82</v>
      </c>
      <c r="N7" s="18"/>
      <c r="O7" s="18" t="s">
        <v>158</v>
      </c>
      <c r="P7" s="18"/>
      <c r="Q7" s="18" t="s">
        <v>83</v>
      </c>
      <c r="R7" s="18"/>
      <c r="S7" s="18" t="s">
        <v>95</v>
      </c>
      <c r="T7" s="18"/>
      <c r="U7" s="18" t="s">
        <v>84</v>
      </c>
      <c r="V7" s="18"/>
      <c r="W7" s="18" t="s">
        <v>1</v>
      </c>
      <c r="X7" s="18"/>
      <c r="Y7" s="18"/>
      <c r="Z7" s="18"/>
      <c r="AA7" s="18" t="s">
        <v>96</v>
      </c>
      <c r="AB7" s="18"/>
      <c r="AC7" s="18"/>
      <c r="AD7" s="22"/>
      <c r="AE7" s="22" t="s">
        <v>197</v>
      </c>
      <c r="AG7" s="29" t="s">
        <v>199</v>
      </c>
      <c r="AI7" s="29" t="s">
        <v>202</v>
      </c>
      <c r="AK7" s="29" t="s">
        <v>204</v>
      </c>
    </row>
    <row r="8" spans="1:37" s="29" customFormat="1" ht="12.75" customHeight="1">
      <c r="A8" s="47" t="s">
        <v>5</v>
      </c>
      <c r="B8" s="22"/>
      <c r="C8" s="132" t="s">
        <v>175</v>
      </c>
      <c r="D8" s="22"/>
      <c r="E8" s="47" t="s">
        <v>85</v>
      </c>
      <c r="F8" s="22"/>
      <c r="G8" s="47" t="s">
        <v>86</v>
      </c>
      <c r="H8" s="22"/>
      <c r="I8" s="47" t="s">
        <v>87</v>
      </c>
      <c r="J8" s="22"/>
      <c r="K8" s="47" t="s">
        <v>88</v>
      </c>
      <c r="L8" s="22"/>
      <c r="M8" s="47" t="s">
        <v>8</v>
      </c>
      <c r="N8" s="22"/>
      <c r="O8" s="47" t="s">
        <v>159</v>
      </c>
      <c r="P8" s="22"/>
      <c r="Q8" s="47" t="s">
        <v>176</v>
      </c>
      <c r="R8" s="22"/>
      <c r="S8" s="47" t="s">
        <v>89</v>
      </c>
      <c r="T8" s="22"/>
      <c r="U8" s="47" t="s">
        <v>90</v>
      </c>
      <c r="V8" s="22"/>
      <c r="W8" s="47" t="s">
        <v>9</v>
      </c>
      <c r="X8" s="22"/>
      <c r="Y8" s="47" t="s">
        <v>91</v>
      </c>
      <c r="Z8" s="22"/>
      <c r="AA8" s="47" t="s">
        <v>92</v>
      </c>
      <c r="AB8" s="22"/>
      <c r="AC8" s="47" t="s">
        <v>4</v>
      </c>
      <c r="AD8" s="22"/>
      <c r="AE8" s="22" t="s">
        <v>194</v>
      </c>
      <c r="AG8" s="29" t="s">
        <v>200</v>
      </c>
      <c r="AI8" s="29" t="s">
        <v>203</v>
      </c>
      <c r="AK8" s="29" t="s">
        <v>205</v>
      </c>
    </row>
    <row r="9" spans="1:31" s="29" customFormat="1" ht="12.75" customHeight="1">
      <c r="A9" s="18"/>
      <c r="B9" s="22"/>
      <c r="C9" s="18"/>
      <c r="D9" s="22"/>
      <c r="E9" s="18"/>
      <c r="F9" s="22"/>
      <c r="G9" s="18"/>
      <c r="H9" s="22"/>
      <c r="I9" s="18"/>
      <c r="J9" s="22"/>
      <c r="K9" s="18"/>
      <c r="L9" s="22"/>
      <c r="M9" s="18"/>
      <c r="N9" s="22"/>
      <c r="O9" s="18"/>
      <c r="P9" s="22"/>
      <c r="Q9" s="18"/>
      <c r="R9" s="22"/>
      <c r="S9" s="18"/>
      <c r="T9" s="22"/>
      <c r="U9" s="18"/>
      <c r="V9" s="22"/>
      <c r="W9" s="18"/>
      <c r="X9" s="22"/>
      <c r="Y9" s="18"/>
      <c r="Z9" s="22"/>
      <c r="AA9" s="18"/>
      <c r="AB9" s="22"/>
      <c r="AC9" s="18"/>
      <c r="AD9" s="22"/>
      <c r="AE9" s="22"/>
    </row>
    <row r="10" spans="1:37" s="29" customFormat="1" ht="12.75" customHeight="1">
      <c r="A10" s="107" t="s">
        <v>231</v>
      </c>
      <c r="B10" s="22" t="str">
        <f aca="true" t="shared" si="0" ref="B10:B29">LEFT(A10,2)</f>
        <v>1 </v>
      </c>
      <c r="C10" s="28">
        <v>74050</v>
      </c>
      <c r="D10" s="28"/>
      <c r="E10" s="28">
        <v>264522</v>
      </c>
      <c r="F10" s="28"/>
      <c r="G10" s="28">
        <v>0</v>
      </c>
      <c r="H10" s="28"/>
      <c r="I10" s="28">
        <v>0</v>
      </c>
      <c r="J10" s="28"/>
      <c r="K10" s="28">
        <v>1210</v>
      </c>
      <c r="L10" s="28"/>
      <c r="M10" s="28">
        <v>6232</v>
      </c>
      <c r="N10" s="28"/>
      <c r="O10" s="28">
        <v>3502</v>
      </c>
      <c r="P10" s="28"/>
      <c r="Q10" s="28">
        <v>0</v>
      </c>
      <c r="R10" s="28"/>
      <c r="S10" s="28">
        <v>0</v>
      </c>
      <c r="T10" s="37"/>
      <c r="U10" s="28">
        <v>0</v>
      </c>
      <c r="V10" s="28"/>
      <c r="W10" s="28">
        <v>0</v>
      </c>
      <c r="X10" s="28"/>
      <c r="Y10" s="28">
        <v>380</v>
      </c>
      <c r="Z10" s="28"/>
      <c r="AA10" s="28">
        <v>492</v>
      </c>
      <c r="AB10" s="28"/>
      <c r="AC10" s="37">
        <f aca="true" t="shared" si="1" ref="AC10:AC29">SUM(C10:AA10)</f>
        <v>350388</v>
      </c>
      <c r="AD10" s="38"/>
      <c r="AE10" s="28">
        <f>4325+10344</f>
        <v>14669</v>
      </c>
      <c r="AG10" s="28">
        <v>214460</v>
      </c>
      <c r="AI10" s="28">
        <v>0</v>
      </c>
      <c r="AK10" s="29">
        <f>+GenRev!Q27-GenExp!AC27-AE10+GenRev!S27+AG10+AI10-'Gen Fd BS'!O27</f>
        <v>-16719475</v>
      </c>
    </row>
    <row r="11" spans="1:37" s="29" customFormat="1" ht="12.75" customHeight="1">
      <c r="A11" s="107" t="s">
        <v>232</v>
      </c>
      <c r="B11" s="22" t="str">
        <f t="shared" si="0"/>
        <v>2 </v>
      </c>
      <c r="C11" s="28">
        <v>82872000</v>
      </c>
      <c r="D11" s="28"/>
      <c r="E11" s="28">
        <v>66794000</v>
      </c>
      <c r="F11" s="28"/>
      <c r="G11" s="28">
        <v>108026000</v>
      </c>
      <c r="H11" s="28"/>
      <c r="I11" s="28">
        <v>486000</v>
      </c>
      <c r="J11" s="28"/>
      <c r="K11" s="28">
        <v>0</v>
      </c>
      <c r="L11" s="28"/>
      <c r="M11" s="28">
        <v>4246000</v>
      </c>
      <c r="N11" s="28"/>
      <c r="O11" s="28">
        <v>1702000</v>
      </c>
      <c r="P11" s="28"/>
      <c r="Q11" s="28">
        <v>0</v>
      </c>
      <c r="R11" s="28"/>
      <c r="S11" s="28">
        <v>0</v>
      </c>
      <c r="T11" s="37"/>
      <c r="U11" s="28">
        <v>2061000</v>
      </c>
      <c r="V11" s="28"/>
      <c r="W11" s="28">
        <v>7005000</v>
      </c>
      <c r="X11" s="28"/>
      <c r="Y11" s="28">
        <v>441000</v>
      </c>
      <c r="Z11" s="28"/>
      <c r="AA11" s="28">
        <v>132000</v>
      </c>
      <c r="AB11" s="28"/>
      <c r="AC11" s="37">
        <f t="shared" si="1"/>
        <v>273765000</v>
      </c>
      <c r="AD11" s="38"/>
      <c r="AE11" s="28">
        <v>28901000</v>
      </c>
      <c r="AG11" s="28">
        <v>272571000</v>
      </c>
      <c r="AI11" s="28">
        <v>0</v>
      </c>
      <c r="AK11" s="29" t="e">
        <f>+GenRev!#REF!-GenExp!#REF!-AE11+GenRev!#REF!+AG11+AI11-'Gen Fd BS'!#REF!</f>
        <v>#REF!</v>
      </c>
    </row>
    <row r="12" spans="1:37" s="29" customFormat="1" ht="12.75" customHeight="1">
      <c r="A12" s="107" t="s">
        <v>233</v>
      </c>
      <c r="B12" s="22" t="str">
        <f t="shared" si="0"/>
        <v>3 </v>
      </c>
      <c r="C12" s="28">
        <v>54826000</v>
      </c>
      <c r="D12" s="28"/>
      <c r="E12" s="28">
        <v>97136000</v>
      </c>
      <c r="F12" s="28"/>
      <c r="G12" s="28">
        <v>98374000</v>
      </c>
      <c r="H12" s="28"/>
      <c r="I12" s="28">
        <v>2159000</v>
      </c>
      <c r="J12" s="28"/>
      <c r="K12" s="28">
        <v>0</v>
      </c>
      <c r="L12" s="28"/>
      <c r="M12" s="28">
        <v>1302000</v>
      </c>
      <c r="N12" s="28"/>
      <c r="O12" s="28">
        <v>820000</v>
      </c>
      <c r="P12" s="28"/>
      <c r="Q12" s="28">
        <v>0</v>
      </c>
      <c r="R12" s="28"/>
      <c r="S12" s="28">
        <v>0</v>
      </c>
      <c r="T12" s="37"/>
      <c r="U12" s="28">
        <v>0</v>
      </c>
      <c r="V12" s="28"/>
      <c r="W12" s="28">
        <v>0</v>
      </c>
      <c r="X12" s="28"/>
      <c r="Y12" s="28">
        <v>0</v>
      </c>
      <c r="Z12" s="28"/>
      <c r="AA12" s="28">
        <v>0</v>
      </c>
      <c r="AB12" s="28"/>
      <c r="AC12" s="37">
        <f t="shared" si="1"/>
        <v>254617000</v>
      </c>
      <c r="AD12" s="38"/>
      <c r="AE12" s="28">
        <v>11788000</v>
      </c>
      <c r="AG12" s="28">
        <v>65748000</v>
      </c>
      <c r="AI12" s="28">
        <v>0</v>
      </c>
      <c r="AK12" s="29" t="e">
        <f>+GenRev!#REF!-GenExp!#REF!-AE12+GenRev!#REF!+AG12+AI12-'Gen Fd BS'!#REF!</f>
        <v>#REF!</v>
      </c>
    </row>
    <row r="13" spans="1:37" s="29" customFormat="1" ht="12.75" customHeight="1">
      <c r="A13" s="107" t="s">
        <v>234</v>
      </c>
      <c r="B13" s="22" t="str">
        <f t="shared" si="0"/>
        <v>4 </v>
      </c>
      <c r="C13" s="28">
        <v>29236304</v>
      </c>
      <c r="D13" s="28"/>
      <c r="E13" s="28">
        <v>27738814</v>
      </c>
      <c r="F13" s="28"/>
      <c r="G13" s="28">
        <v>60360010</v>
      </c>
      <c r="H13" s="28"/>
      <c r="I13" s="28">
        <v>0</v>
      </c>
      <c r="J13" s="28"/>
      <c r="K13" s="28">
        <v>1006235</v>
      </c>
      <c r="L13" s="28"/>
      <c r="M13" s="28">
        <v>3783097</v>
      </c>
      <c r="N13" s="28"/>
      <c r="O13" s="28">
        <v>0</v>
      </c>
      <c r="P13" s="28"/>
      <c r="Q13" s="28">
        <v>0</v>
      </c>
      <c r="R13" s="28"/>
      <c r="S13" s="28">
        <v>1147444</v>
      </c>
      <c r="T13" s="37"/>
      <c r="U13" s="28">
        <v>0</v>
      </c>
      <c r="V13" s="28"/>
      <c r="W13" s="28">
        <v>369548</v>
      </c>
      <c r="X13" s="28"/>
      <c r="Y13" s="28">
        <v>0</v>
      </c>
      <c r="Z13" s="28"/>
      <c r="AA13" s="28">
        <v>0</v>
      </c>
      <c r="AB13" s="28"/>
      <c r="AC13" s="37">
        <f t="shared" si="1"/>
        <v>123641452</v>
      </c>
      <c r="AD13" s="38"/>
      <c r="AE13" s="28">
        <v>7139699</v>
      </c>
      <c r="AG13" s="28">
        <v>72832888</v>
      </c>
      <c r="AI13" s="28">
        <v>0</v>
      </c>
      <c r="AK13" s="29" t="e">
        <f>+GenRev!#REF!-GenExp!#REF!-AE13+GenRev!#REF!+AG13+AI13-'Gen Fd BS'!#REF!</f>
        <v>#REF!</v>
      </c>
    </row>
    <row r="14" spans="1:37" s="29" customFormat="1" ht="12.75" customHeight="1">
      <c r="A14" s="107" t="s">
        <v>236</v>
      </c>
      <c r="B14" s="22" t="str">
        <f t="shared" si="0"/>
        <v>5 </v>
      </c>
      <c r="C14" s="28">
        <v>24718233</v>
      </c>
      <c r="D14" s="28"/>
      <c r="E14" s="28">
        <v>105680676</v>
      </c>
      <c r="F14" s="28"/>
      <c r="G14" s="28">
        <v>0</v>
      </c>
      <c r="H14" s="28"/>
      <c r="I14" s="28">
        <v>505821</v>
      </c>
      <c r="J14" s="28"/>
      <c r="K14" s="28">
        <v>0</v>
      </c>
      <c r="L14" s="28"/>
      <c r="M14" s="28">
        <v>2815037</v>
      </c>
      <c r="N14" s="28"/>
      <c r="O14" s="28">
        <v>3304920</v>
      </c>
      <c r="P14" s="28"/>
      <c r="Q14" s="28">
        <v>0</v>
      </c>
      <c r="R14" s="28"/>
      <c r="S14" s="28">
        <v>0</v>
      </c>
      <c r="T14" s="37"/>
      <c r="U14" s="28">
        <v>0</v>
      </c>
      <c r="V14" s="28"/>
      <c r="W14" s="28">
        <f>103300+148410+244304</f>
        <v>496014</v>
      </c>
      <c r="X14" s="28"/>
      <c r="Y14" s="28">
        <v>27463</v>
      </c>
      <c r="Z14" s="28"/>
      <c r="AA14" s="28">
        <v>4700</v>
      </c>
      <c r="AB14" s="28"/>
      <c r="AC14" s="37">
        <f t="shared" si="1"/>
        <v>137552864</v>
      </c>
      <c r="AD14" s="38"/>
      <c r="AE14" s="28">
        <v>17663350</v>
      </c>
      <c r="AG14" s="28">
        <v>53140393</v>
      </c>
      <c r="AI14" s="28">
        <v>0</v>
      </c>
      <c r="AK14" s="29" t="e">
        <f>+GenRev!#REF!-GenExp!#REF!-AE14+GenRev!#REF!+AG14+AI14-'Gen Fd BS'!#REF!</f>
        <v>#REF!</v>
      </c>
    </row>
    <row r="15" spans="1:37" s="29" customFormat="1" ht="12.75" customHeight="1">
      <c r="A15" s="107" t="s">
        <v>237</v>
      </c>
      <c r="B15" s="22" t="str">
        <f t="shared" si="0"/>
        <v>6 </v>
      </c>
      <c r="C15" s="111">
        <v>28919977</v>
      </c>
      <c r="D15" s="111"/>
      <c r="E15" s="111">
        <v>47176109</v>
      </c>
      <c r="F15" s="111"/>
      <c r="G15" s="111">
        <v>44251743</v>
      </c>
      <c r="H15" s="111"/>
      <c r="I15" s="111">
        <v>312674</v>
      </c>
      <c r="J15" s="111"/>
      <c r="K15" s="111">
        <v>862955</v>
      </c>
      <c r="L15" s="111"/>
      <c r="M15" s="111">
        <v>1620300</v>
      </c>
      <c r="N15" s="111"/>
      <c r="O15" s="111">
        <v>0</v>
      </c>
      <c r="P15" s="111"/>
      <c r="Q15" s="111">
        <v>895707</v>
      </c>
      <c r="R15" s="111"/>
      <c r="S15" s="111">
        <v>2854173</v>
      </c>
      <c r="T15" s="114"/>
      <c r="U15" s="111">
        <v>0</v>
      </c>
      <c r="V15" s="111"/>
      <c r="W15" s="111">
        <v>0</v>
      </c>
      <c r="X15" s="111"/>
      <c r="Y15" s="111">
        <v>0</v>
      </c>
      <c r="Z15" s="111"/>
      <c r="AA15" s="111">
        <v>0</v>
      </c>
      <c r="AB15" s="111"/>
      <c r="AC15" s="114">
        <f t="shared" si="1"/>
        <v>126893638</v>
      </c>
      <c r="AD15" s="117"/>
      <c r="AE15" s="111">
        <v>20953141</v>
      </c>
      <c r="AF15" s="118"/>
      <c r="AG15" s="111">
        <v>44364349</v>
      </c>
      <c r="AH15" s="118"/>
      <c r="AI15" s="111">
        <v>0</v>
      </c>
      <c r="AJ15" s="118"/>
      <c r="AK15" s="118">
        <f>+'[1]GenRev'!Q57-'[1]GenExp'!AC57-AE15+'[1]GenRev'!S57+AG15+AI15-'[1]Gen Fd BS'!O57</f>
        <v>0</v>
      </c>
    </row>
    <row r="16" spans="1:37" s="29" customFormat="1" ht="12.75" customHeight="1">
      <c r="A16" s="107" t="s">
        <v>238</v>
      </c>
      <c r="B16" s="22" t="str">
        <f t="shared" si="0"/>
        <v>7 </v>
      </c>
      <c r="C16" s="28">
        <v>15350878</v>
      </c>
      <c r="D16" s="28"/>
      <c r="E16" s="28">
        <v>12983935</v>
      </c>
      <c r="F16" s="28"/>
      <c r="G16" s="28">
        <v>21415293</v>
      </c>
      <c r="H16" s="28"/>
      <c r="I16" s="28">
        <v>1796040</v>
      </c>
      <c r="J16" s="28"/>
      <c r="K16" s="28">
        <v>0</v>
      </c>
      <c r="L16" s="28"/>
      <c r="M16" s="28">
        <v>1110052</v>
      </c>
      <c r="N16" s="28"/>
      <c r="O16" s="28">
        <v>0</v>
      </c>
      <c r="P16" s="28"/>
      <c r="Q16" s="28">
        <v>0</v>
      </c>
      <c r="R16" s="28"/>
      <c r="S16" s="28">
        <v>940952</v>
      </c>
      <c r="T16" s="37"/>
      <c r="U16" s="28">
        <v>27337</v>
      </c>
      <c r="V16" s="28"/>
      <c r="W16" s="28">
        <v>6819967</v>
      </c>
      <c r="X16" s="28"/>
      <c r="Y16" s="28">
        <v>18870</v>
      </c>
      <c r="Z16" s="28"/>
      <c r="AA16" s="28">
        <v>498</v>
      </c>
      <c r="AB16" s="28"/>
      <c r="AC16" s="37">
        <f t="shared" si="1"/>
        <v>60463822</v>
      </c>
      <c r="AD16" s="38"/>
      <c r="AE16" s="28">
        <v>76948</v>
      </c>
      <c r="AG16" s="28">
        <v>11743840</v>
      </c>
      <c r="AI16" s="28">
        <v>-1107130</v>
      </c>
      <c r="AK16" s="29" t="e">
        <f>+GenRev!#REF!-GenExp!#REF!-AE16+GenRev!#REF!+AG16+AI16-'Gen Fd BS'!#REF!</f>
        <v>#REF!</v>
      </c>
    </row>
    <row r="17" spans="1:37" s="118" customFormat="1" ht="12.75" customHeight="1">
      <c r="A17" s="107" t="s">
        <v>250</v>
      </c>
      <c r="B17" s="107"/>
      <c r="C17" s="111">
        <v>24964071</v>
      </c>
      <c r="D17" s="111"/>
      <c r="E17" s="111">
        <v>14405098</v>
      </c>
      <c r="F17" s="111"/>
      <c r="G17" s="111">
        <v>46015348</v>
      </c>
      <c r="H17" s="111"/>
      <c r="I17" s="111">
        <v>352193</v>
      </c>
      <c r="J17" s="111"/>
      <c r="K17" s="111">
        <v>603572</v>
      </c>
      <c r="L17" s="111"/>
      <c r="M17" s="111">
        <v>1572057</v>
      </c>
      <c r="N17" s="111"/>
      <c r="O17" s="111">
        <v>0</v>
      </c>
      <c r="P17" s="111"/>
      <c r="Q17" s="111">
        <v>586781</v>
      </c>
      <c r="R17" s="111"/>
      <c r="S17" s="111">
        <v>0</v>
      </c>
      <c r="T17" s="114"/>
      <c r="U17" s="111">
        <v>0</v>
      </c>
      <c r="V17" s="111"/>
      <c r="W17" s="111">
        <v>0</v>
      </c>
      <c r="X17" s="111"/>
      <c r="Y17" s="111">
        <v>5565856</v>
      </c>
      <c r="Z17" s="111"/>
      <c r="AA17" s="111">
        <v>3433557</v>
      </c>
      <c r="AB17" s="111"/>
      <c r="AC17" s="114">
        <f t="shared" si="1"/>
        <v>97498533</v>
      </c>
      <c r="AD17" s="117"/>
      <c r="AE17" s="111">
        <v>2428900</v>
      </c>
      <c r="AG17" s="111">
        <v>38288345</v>
      </c>
      <c r="AI17" s="111">
        <v>0</v>
      </c>
      <c r="AK17" s="118">
        <f>+'[2]GenRev'!Q17-'[2]GenExp'!AC17-AE17+'[2]GenRev'!S17+AG17+AI17-'[2]Gen Fd BS'!O17</f>
        <v>35859445</v>
      </c>
    </row>
    <row r="18" spans="1:37" s="29" customFormat="1" ht="12.75" customHeight="1">
      <c r="A18" s="107" t="s">
        <v>239</v>
      </c>
      <c r="B18" s="22" t="str">
        <f t="shared" si="0"/>
        <v>9 </v>
      </c>
      <c r="C18" s="111">
        <v>27950344</v>
      </c>
      <c r="D18" s="111"/>
      <c r="E18" s="111">
        <v>16042663</v>
      </c>
      <c r="F18" s="111"/>
      <c r="G18" s="111">
        <v>7744169</v>
      </c>
      <c r="H18" s="111"/>
      <c r="I18" s="111">
        <v>292478</v>
      </c>
      <c r="J18" s="111"/>
      <c r="K18" s="111">
        <v>3151</v>
      </c>
      <c r="L18" s="111"/>
      <c r="M18" s="111">
        <v>2329929</v>
      </c>
      <c r="N18" s="111"/>
      <c r="O18" s="111">
        <v>0</v>
      </c>
      <c r="P18" s="111"/>
      <c r="Q18" s="111">
        <v>0</v>
      </c>
      <c r="R18" s="111"/>
      <c r="S18" s="111">
        <v>0</v>
      </c>
      <c r="T18" s="114"/>
      <c r="U18" s="111">
        <v>32911</v>
      </c>
      <c r="V18" s="111"/>
      <c r="W18" s="111">
        <v>579343</v>
      </c>
      <c r="X18" s="111"/>
      <c r="Y18" s="111">
        <v>0</v>
      </c>
      <c r="Z18" s="111"/>
      <c r="AA18" s="111">
        <v>0</v>
      </c>
      <c r="AB18" s="111"/>
      <c r="AC18" s="114">
        <f t="shared" si="1"/>
        <v>54974988</v>
      </c>
      <c r="AD18" s="117"/>
      <c r="AE18" s="111">
        <v>5058668</v>
      </c>
      <c r="AF18" s="118"/>
      <c r="AG18" s="111">
        <v>34705464</v>
      </c>
      <c r="AH18" s="118"/>
      <c r="AI18" s="111">
        <v>19136</v>
      </c>
      <c r="AJ18" s="118"/>
      <c r="AK18" s="118">
        <f>+'[1]GenRev'!Q56-'[1]GenExp'!AC56-AE18+'[1]GenRev'!S56+AG18+AI18-'[1]Gen Fd BS'!O56</f>
        <v>0</v>
      </c>
    </row>
    <row r="19" spans="1:37" s="29" customFormat="1" ht="12.75" customHeight="1">
      <c r="A19" s="107" t="s">
        <v>240</v>
      </c>
      <c r="B19" s="22" t="str">
        <f t="shared" si="0"/>
        <v>10</v>
      </c>
      <c r="C19" s="111">
        <v>17476011</v>
      </c>
      <c r="D19" s="111"/>
      <c r="E19" s="111">
        <v>16874869</v>
      </c>
      <c r="F19" s="111"/>
      <c r="G19" s="111">
        <v>24544099</v>
      </c>
      <c r="H19" s="111"/>
      <c r="I19" s="111">
        <v>0</v>
      </c>
      <c r="J19" s="111"/>
      <c r="K19" s="111">
        <v>0</v>
      </c>
      <c r="L19" s="111"/>
      <c r="M19" s="111">
        <v>1350689</v>
      </c>
      <c r="N19" s="111"/>
      <c r="O19" s="111">
        <v>0</v>
      </c>
      <c r="P19" s="111"/>
      <c r="Q19" s="111">
        <v>0</v>
      </c>
      <c r="R19" s="111"/>
      <c r="S19" s="111">
        <v>0</v>
      </c>
      <c r="T19" s="114"/>
      <c r="U19" s="111">
        <v>0</v>
      </c>
      <c r="V19" s="111"/>
      <c r="W19" s="111">
        <v>0</v>
      </c>
      <c r="X19" s="111"/>
      <c r="Y19" s="111">
        <v>0</v>
      </c>
      <c r="Z19" s="111"/>
      <c r="AA19" s="111">
        <v>0</v>
      </c>
      <c r="AB19" s="111"/>
      <c r="AC19" s="114">
        <f t="shared" si="1"/>
        <v>60245668</v>
      </c>
      <c r="AD19" s="117"/>
      <c r="AE19" s="111">
        <v>6385483</v>
      </c>
      <c r="AF19" s="118"/>
      <c r="AG19" s="111">
        <v>12540192</v>
      </c>
      <c r="AH19" s="118"/>
      <c r="AI19" s="111">
        <v>0</v>
      </c>
      <c r="AJ19" s="118"/>
      <c r="AK19" s="118">
        <f>+'[1]GenRev'!Q59-'[1]GenExp'!AC59-AE19+'[1]GenRev'!S59+AG19+AI19-'[1]Gen Fd BS'!O59</f>
        <v>0</v>
      </c>
    </row>
    <row r="20" spans="1:37" s="29" customFormat="1" ht="12.75" customHeight="1">
      <c r="A20" s="107" t="s">
        <v>241</v>
      </c>
      <c r="B20" s="22" t="str">
        <f t="shared" si="0"/>
        <v>11</v>
      </c>
      <c r="C20" s="111">
        <v>14945179</v>
      </c>
      <c r="D20" s="111"/>
      <c r="E20" s="111">
        <v>36047937</v>
      </c>
      <c r="F20" s="111"/>
      <c r="G20" s="111">
        <v>0</v>
      </c>
      <c r="H20" s="111"/>
      <c r="I20" s="111">
        <v>284223</v>
      </c>
      <c r="J20" s="111"/>
      <c r="K20" s="111">
        <v>318353</v>
      </c>
      <c r="L20" s="111"/>
      <c r="M20" s="111">
        <v>1272038</v>
      </c>
      <c r="N20" s="111"/>
      <c r="O20" s="111">
        <v>142151</v>
      </c>
      <c r="P20" s="111"/>
      <c r="Q20" s="111">
        <v>0</v>
      </c>
      <c r="R20" s="111"/>
      <c r="S20" s="111">
        <v>0</v>
      </c>
      <c r="T20" s="114"/>
      <c r="U20" s="111">
        <v>0</v>
      </c>
      <c r="V20" s="111"/>
      <c r="W20" s="111">
        <v>0</v>
      </c>
      <c r="X20" s="111"/>
      <c r="Y20" s="111">
        <v>0</v>
      </c>
      <c r="Z20" s="111"/>
      <c r="AA20" s="111">
        <v>0</v>
      </c>
      <c r="AB20" s="111"/>
      <c r="AC20" s="114">
        <f t="shared" si="1"/>
        <v>53009881</v>
      </c>
      <c r="AD20" s="117"/>
      <c r="AE20" s="111">
        <v>5452101</v>
      </c>
      <c r="AF20" s="118"/>
      <c r="AG20" s="111">
        <v>29263476</v>
      </c>
      <c r="AH20" s="118"/>
      <c r="AI20" s="111">
        <v>0</v>
      </c>
      <c r="AJ20" s="118"/>
      <c r="AK20" s="118">
        <f>+'[1]GenRev'!Q52-'[1]GenExp'!AC52-AE20+'[1]GenRev'!S52+AG20+AI20-'[1]Gen Fd BS'!O52</f>
        <v>0</v>
      </c>
    </row>
    <row r="21" spans="1:37" s="29" customFormat="1" ht="12.75" customHeight="1">
      <c r="A21" s="107" t="s">
        <v>235</v>
      </c>
      <c r="B21" s="22" t="str">
        <f t="shared" si="0"/>
        <v>12</v>
      </c>
      <c r="C21" s="28">
        <v>16581349</v>
      </c>
      <c r="D21" s="28"/>
      <c r="E21" s="28">
        <v>11097406</v>
      </c>
      <c r="F21" s="28"/>
      <c r="G21" s="28">
        <v>11443862</v>
      </c>
      <c r="H21" s="28"/>
      <c r="I21" s="28">
        <v>0</v>
      </c>
      <c r="J21" s="28"/>
      <c r="K21" s="28">
        <v>0</v>
      </c>
      <c r="L21" s="28"/>
      <c r="M21" s="28">
        <v>867345</v>
      </c>
      <c r="N21" s="28"/>
      <c r="O21" s="28">
        <v>0</v>
      </c>
      <c r="P21" s="28"/>
      <c r="Q21" s="28">
        <v>0</v>
      </c>
      <c r="R21" s="28"/>
      <c r="S21" s="28">
        <v>0</v>
      </c>
      <c r="T21" s="37"/>
      <c r="U21" s="28">
        <v>0</v>
      </c>
      <c r="V21" s="28"/>
      <c r="W21" s="28">
        <v>0</v>
      </c>
      <c r="X21" s="28"/>
      <c r="Y21" s="28">
        <v>134412</v>
      </c>
      <c r="Z21" s="28"/>
      <c r="AA21" s="28">
        <v>25448</v>
      </c>
      <c r="AB21" s="28"/>
      <c r="AC21" s="37">
        <f t="shared" si="1"/>
        <v>40149822</v>
      </c>
      <c r="AD21" s="38"/>
      <c r="AE21" s="28">
        <v>3011399</v>
      </c>
      <c r="AG21" s="28">
        <v>16257161</v>
      </c>
      <c r="AI21" s="28">
        <v>0</v>
      </c>
      <c r="AK21" s="29" t="e">
        <f>+GenRev!#REF!-GenExp!#REF!-AE21+GenRev!#REF!+AG21+AI21-'Gen Fd BS'!#REF!</f>
        <v>#REF!</v>
      </c>
    </row>
    <row r="22" spans="1:37" s="29" customFormat="1" ht="12.75" customHeight="1">
      <c r="A22" s="107" t="s">
        <v>242</v>
      </c>
      <c r="B22" s="22" t="str">
        <f t="shared" si="0"/>
        <v>13</v>
      </c>
      <c r="C22" s="28">
        <v>22880477</v>
      </c>
      <c r="D22" s="28"/>
      <c r="E22" s="28">
        <v>7967638</v>
      </c>
      <c r="F22" s="28"/>
      <c r="G22" s="28">
        <v>24374434</v>
      </c>
      <c r="H22" s="28"/>
      <c r="I22" s="28">
        <v>0</v>
      </c>
      <c r="J22" s="28"/>
      <c r="K22" s="28">
        <v>0</v>
      </c>
      <c r="L22" s="28"/>
      <c r="M22" s="28">
        <v>1329396</v>
      </c>
      <c r="N22" s="28"/>
      <c r="O22" s="28">
        <v>381161</v>
      </c>
      <c r="P22" s="28"/>
      <c r="Q22" s="28">
        <v>0</v>
      </c>
      <c r="R22" s="28"/>
      <c r="S22" s="28">
        <v>0</v>
      </c>
      <c r="T22" s="37"/>
      <c r="U22" s="28">
        <v>0</v>
      </c>
      <c r="V22" s="28"/>
      <c r="W22" s="28">
        <v>0</v>
      </c>
      <c r="X22" s="28"/>
      <c r="Y22" s="28">
        <v>7849</v>
      </c>
      <c r="Z22" s="28"/>
      <c r="AA22" s="28">
        <v>605</v>
      </c>
      <c r="AB22" s="28"/>
      <c r="AC22" s="37">
        <f t="shared" si="1"/>
        <v>56941560</v>
      </c>
      <c r="AD22" s="38"/>
      <c r="AE22" s="28">
        <v>3658086</v>
      </c>
      <c r="AG22" s="28">
        <v>26148194</v>
      </c>
      <c r="AI22" s="28">
        <v>-2670</v>
      </c>
      <c r="AK22" s="29" t="e">
        <f>+GenRev!#REF!-GenExp!#REF!-AE22+GenRev!#REF!+AG22+AI22-'Gen Fd BS'!#REF!</f>
        <v>#REF!</v>
      </c>
    </row>
    <row r="23" spans="1:37" s="29" customFormat="1" ht="12.75" customHeight="1">
      <c r="A23" s="107" t="s">
        <v>243</v>
      </c>
      <c r="B23" s="22" t="str">
        <f t="shared" si="0"/>
        <v>14</v>
      </c>
      <c r="C23" s="28">
        <v>16003969</v>
      </c>
      <c r="D23" s="28"/>
      <c r="E23" s="28">
        <v>9098846</v>
      </c>
      <c r="F23" s="28"/>
      <c r="G23" s="28">
        <v>23149884</v>
      </c>
      <c r="H23" s="28"/>
      <c r="I23" s="28">
        <v>0</v>
      </c>
      <c r="J23" s="28"/>
      <c r="K23" s="28">
        <v>321457</v>
      </c>
      <c r="L23" s="28"/>
      <c r="M23" s="28">
        <v>1439589</v>
      </c>
      <c r="N23" s="28"/>
      <c r="O23" s="28">
        <f>224914+1159789</f>
        <v>1384703</v>
      </c>
      <c r="P23" s="28"/>
      <c r="Q23" s="28">
        <v>0</v>
      </c>
      <c r="R23" s="28"/>
      <c r="S23" s="28">
        <v>0</v>
      </c>
      <c r="T23" s="37"/>
      <c r="U23" s="28">
        <v>0</v>
      </c>
      <c r="V23" s="28"/>
      <c r="W23" s="28">
        <v>0</v>
      </c>
      <c r="X23" s="28"/>
      <c r="Y23" s="28">
        <v>0</v>
      </c>
      <c r="Z23" s="28"/>
      <c r="AA23" s="28">
        <v>0</v>
      </c>
      <c r="AB23" s="28"/>
      <c r="AC23" s="37">
        <f t="shared" si="1"/>
        <v>51398448</v>
      </c>
      <c r="AD23" s="38"/>
      <c r="AE23" s="28">
        <v>5959609</v>
      </c>
      <c r="AG23" s="28">
        <v>25151317</v>
      </c>
      <c r="AI23" s="28">
        <v>0</v>
      </c>
      <c r="AK23" s="29">
        <f>+GenRev!Q22-GenExp!AC22-AE23+GenRev!S22+AG23+AI23-'Gen Fd BS'!O22</f>
        <v>-3295730</v>
      </c>
    </row>
    <row r="24" spans="1:37" s="29" customFormat="1" ht="12.75" customHeight="1">
      <c r="A24" s="107" t="s">
        <v>249</v>
      </c>
      <c r="B24" s="22" t="str">
        <f t="shared" si="0"/>
        <v>15</v>
      </c>
      <c r="C24" s="111">
        <v>11018464</v>
      </c>
      <c r="D24" s="111"/>
      <c r="E24" s="111">
        <v>6490389</v>
      </c>
      <c r="F24" s="111"/>
      <c r="G24" s="111">
        <v>17758110</v>
      </c>
      <c r="H24" s="111"/>
      <c r="I24" s="111">
        <v>561832</v>
      </c>
      <c r="J24" s="111"/>
      <c r="K24" s="111">
        <v>736304</v>
      </c>
      <c r="L24" s="111"/>
      <c r="M24" s="111">
        <v>3867297</v>
      </c>
      <c r="N24" s="111"/>
      <c r="O24" s="111">
        <v>112500</v>
      </c>
      <c r="P24" s="111"/>
      <c r="Q24" s="111">
        <v>0</v>
      </c>
      <c r="R24" s="111"/>
      <c r="S24" s="111">
        <v>0</v>
      </c>
      <c r="T24" s="114"/>
      <c r="U24" s="111">
        <v>0</v>
      </c>
      <c r="V24" s="111"/>
      <c r="W24" s="111">
        <v>847130</v>
      </c>
      <c r="X24" s="111"/>
      <c r="Y24" s="111">
        <v>0</v>
      </c>
      <c r="Z24" s="111"/>
      <c r="AA24" s="111">
        <v>0</v>
      </c>
      <c r="AB24" s="111"/>
      <c r="AC24" s="114">
        <f t="shared" si="1"/>
        <v>41392026</v>
      </c>
      <c r="AD24" s="117"/>
      <c r="AE24" s="111">
        <v>3065800</v>
      </c>
      <c r="AF24" s="118"/>
      <c r="AG24" s="111">
        <v>12827446</v>
      </c>
      <c r="AH24" s="118"/>
      <c r="AI24" s="111">
        <v>0</v>
      </c>
      <c r="AJ24" s="118"/>
      <c r="AK24" s="118">
        <f>+'[1]GenRev'!Q61-'[1]GenExp'!AC61-AE24+'[1]GenRev'!S61+AG24+AI24-'[1]Gen Fd BS'!O61</f>
        <v>0</v>
      </c>
    </row>
    <row r="25" spans="1:37" s="29" customFormat="1" ht="12.75" customHeight="1">
      <c r="A25" s="107" t="s">
        <v>244</v>
      </c>
      <c r="B25" s="22" t="str">
        <f t="shared" si="0"/>
        <v>16</v>
      </c>
      <c r="C25" s="28">
        <v>11320541</v>
      </c>
      <c r="D25" s="28"/>
      <c r="E25" s="28">
        <v>7259056</v>
      </c>
      <c r="F25" s="28"/>
      <c r="G25" s="28">
        <v>24965781</v>
      </c>
      <c r="H25" s="28"/>
      <c r="I25" s="28">
        <v>276470</v>
      </c>
      <c r="J25" s="28"/>
      <c r="K25" s="28">
        <f>65234+286000</f>
        <v>351234</v>
      </c>
      <c r="L25" s="28"/>
      <c r="M25" s="28">
        <v>308970</v>
      </c>
      <c r="N25" s="28"/>
      <c r="O25" s="28">
        <v>0</v>
      </c>
      <c r="P25" s="28"/>
      <c r="Q25" s="28">
        <v>383000</v>
      </c>
      <c r="R25" s="28"/>
      <c r="S25" s="28">
        <v>0</v>
      </c>
      <c r="T25" s="37"/>
      <c r="U25" s="28">
        <v>0</v>
      </c>
      <c r="V25" s="28"/>
      <c r="W25" s="28">
        <v>0</v>
      </c>
      <c r="X25" s="28"/>
      <c r="Y25" s="28">
        <v>0</v>
      </c>
      <c r="Z25" s="28"/>
      <c r="AA25" s="28">
        <v>0</v>
      </c>
      <c r="AB25" s="28"/>
      <c r="AC25" s="37">
        <f t="shared" si="1"/>
        <v>44865052</v>
      </c>
      <c r="AD25" s="38"/>
      <c r="AE25" s="28">
        <v>9466579</v>
      </c>
      <c r="AG25" s="28">
        <v>18839255</v>
      </c>
      <c r="AI25" s="28">
        <v>0</v>
      </c>
      <c r="AK25" s="29" t="e">
        <f>+GenRev!#REF!-GenExp!#REF!-AE25+GenRev!#REF!+AG25+AI25-'Gen Fd BS'!#REF!</f>
        <v>#REF!</v>
      </c>
    </row>
    <row r="26" spans="1:37" s="29" customFormat="1" ht="12.75" customHeight="1">
      <c r="A26" s="107" t="s">
        <v>245</v>
      </c>
      <c r="B26" s="22" t="str">
        <f t="shared" si="0"/>
        <v>17</v>
      </c>
      <c r="C26" s="111">
        <v>19155581</v>
      </c>
      <c r="D26" s="111"/>
      <c r="E26" s="111">
        <v>0</v>
      </c>
      <c r="F26" s="111"/>
      <c r="G26" s="111">
        <v>18808725</v>
      </c>
      <c r="H26" s="111"/>
      <c r="I26" s="111">
        <v>72209</v>
      </c>
      <c r="J26" s="111"/>
      <c r="K26" s="111">
        <v>480390</v>
      </c>
      <c r="L26" s="111"/>
      <c r="M26" s="111">
        <v>2680589</v>
      </c>
      <c r="N26" s="111"/>
      <c r="O26" s="111">
        <v>0</v>
      </c>
      <c r="P26" s="111"/>
      <c r="Q26" s="111">
        <v>1194101</v>
      </c>
      <c r="R26" s="111"/>
      <c r="S26" s="111">
        <v>0</v>
      </c>
      <c r="T26" s="114"/>
      <c r="U26" s="111">
        <v>1795825</v>
      </c>
      <c r="V26" s="111"/>
      <c r="W26" s="111">
        <v>0</v>
      </c>
      <c r="X26" s="111"/>
      <c r="Y26" s="111">
        <v>0</v>
      </c>
      <c r="Z26" s="111"/>
      <c r="AA26" s="111">
        <v>0</v>
      </c>
      <c r="AB26" s="111"/>
      <c r="AC26" s="114">
        <f t="shared" si="1"/>
        <v>44187420</v>
      </c>
      <c r="AD26" s="117"/>
      <c r="AE26" s="111">
        <v>4285303</v>
      </c>
      <c r="AF26" s="118"/>
      <c r="AG26" s="111">
        <v>15926528</v>
      </c>
      <c r="AH26" s="118"/>
      <c r="AI26" s="111">
        <v>-14528</v>
      </c>
      <c r="AJ26" s="118"/>
      <c r="AK26" s="118">
        <f>+'[1]GenRev'!Q54-'[1]GenExp'!AC54-AE26+'[1]GenRev'!S54+AG26+AI26-'[1]Gen Fd BS'!O54</f>
        <v>0</v>
      </c>
    </row>
    <row r="27" spans="1:37" s="29" customFormat="1" ht="12.75" customHeight="1">
      <c r="A27" s="107" t="s">
        <v>246</v>
      </c>
      <c r="B27" s="22" t="str">
        <f t="shared" si="0"/>
        <v>18</v>
      </c>
      <c r="C27" s="28">
        <v>14001150</v>
      </c>
      <c r="D27" s="28"/>
      <c r="E27" s="28">
        <v>9402190</v>
      </c>
      <c r="F27" s="28"/>
      <c r="G27" s="28">
        <v>14270715</v>
      </c>
      <c r="H27" s="28"/>
      <c r="I27" s="28">
        <v>260927</v>
      </c>
      <c r="J27" s="28"/>
      <c r="K27" s="28">
        <v>23632</v>
      </c>
      <c r="L27" s="28"/>
      <c r="M27" s="28">
        <v>888479</v>
      </c>
      <c r="N27" s="28"/>
      <c r="O27" s="28">
        <v>0</v>
      </c>
      <c r="P27" s="28"/>
      <c r="Q27" s="28">
        <v>0</v>
      </c>
      <c r="R27" s="28"/>
      <c r="S27" s="28">
        <v>0</v>
      </c>
      <c r="T27" s="37"/>
      <c r="U27" s="28">
        <v>0</v>
      </c>
      <c r="V27" s="28"/>
      <c r="W27" s="28">
        <v>0</v>
      </c>
      <c r="X27" s="28"/>
      <c r="Y27" s="28">
        <v>0</v>
      </c>
      <c r="Z27" s="28"/>
      <c r="AA27" s="28">
        <v>0</v>
      </c>
      <c r="AB27" s="28"/>
      <c r="AC27" s="37">
        <f t="shared" si="1"/>
        <v>38847093</v>
      </c>
      <c r="AD27" s="38"/>
      <c r="AE27" s="28">
        <v>512987</v>
      </c>
      <c r="AG27" s="28">
        <v>17432253</v>
      </c>
      <c r="AI27" s="28">
        <v>0</v>
      </c>
      <c r="AK27" s="29" t="e">
        <f>+GenRev!#REF!-GenExp!#REF!-AE27+GenRev!#REF!+AG27+AI27-'Gen Fd BS'!#REF!</f>
        <v>#REF!</v>
      </c>
    </row>
    <row r="28" spans="1:37" s="29" customFormat="1" ht="12.75" customHeight="1">
      <c r="A28" s="107" t="s">
        <v>247</v>
      </c>
      <c r="B28" s="22" t="str">
        <f t="shared" si="0"/>
        <v>19</v>
      </c>
      <c r="C28" s="28">
        <v>16291106</v>
      </c>
      <c r="D28" s="28"/>
      <c r="E28" s="28">
        <v>7307071</v>
      </c>
      <c r="F28" s="28"/>
      <c r="G28" s="28">
        <v>15991343</v>
      </c>
      <c r="H28" s="28"/>
      <c r="I28" s="28">
        <v>845387</v>
      </c>
      <c r="J28" s="28"/>
      <c r="K28" s="28">
        <v>199419</v>
      </c>
      <c r="L28" s="28"/>
      <c r="M28" s="28">
        <v>811988</v>
      </c>
      <c r="N28" s="28"/>
      <c r="O28" s="28">
        <v>547149</v>
      </c>
      <c r="P28" s="28"/>
      <c r="Q28" s="28">
        <v>2749699</v>
      </c>
      <c r="R28" s="28"/>
      <c r="S28" s="28">
        <v>0</v>
      </c>
      <c r="T28" s="37"/>
      <c r="U28" s="28">
        <v>0</v>
      </c>
      <c r="V28" s="28"/>
      <c r="W28" s="28">
        <v>0</v>
      </c>
      <c r="X28" s="28"/>
      <c r="Y28" s="28">
        <v>690000</v>
      </c>
      <c r="Z28" s="28"/>
      <c r="AA28" s="28">
        <v>22530</v>
      </c>
      <c r="AB28" s="28"/>
      <c r="AC28" s="37">
        <f t="shared" si="1"/>
        <v>45455692</v>
      </c>
      <c r="AD28" s="38"/>
      <c r="AE28" s="28">
        <v>2991540</v>
      </c>
      <c r="AG28" s="28">
        <v>13555335</v>
      </c>
      <c r="AI28" s="28">
        <v>0</v>
      </c>
      <c r="AK28" s="29" t="e">
        <f>+GenRev!#REF!-GenExp!#REF!-AE28+GenRev!#REF!+AG28+AI28-'Gen Fd BS'!#REF!</f>
        <v>#REF!</v>
      </c>
    </row>
    <row r="29" spans="1:37" s="29" customFormat="1" ht="12.75" customHeight="1">
      <c r="A29" s="107" t="s">
        <v>248</v>
      </c>
      <c r="B29" s="22" t="str">
        <f t="shared" si="0"/>
        <v>20</v>
      </c>
      <c r="C29" s="28">
        <v>4383631</v>
      </c>
      <c r="D29" s="28"/>
      <c r="E29" s="28">
        <v>9113419</v>
      </c>
      <c r="F29" s="28"/>
      <c r="G29" s="28">
        <v>14528376</v>
      </c>
      <c r="H29" s="28"/>
      <c r="I29" s="28">
        <v>4336353</v>
      </c>
      <c r="J29" s="28"/>
      <c r="K29" s="28">
        <v>246796</v>
      </c>
      <c r="L29" s="28"/>
      <c r="M29" s="28">
        <v>781799</v>
      </c>
      <c r="N29" s="28"/>
      <c r="O29" s="28">
        <v>0</v>
      </c>
      <c r="P29" s="28"/>
      <c r="Q29" s="28">
        <v>785356</v>
      </c>
      <c r="R29" s="28"/>
      <c r="S29" s="28">
        <v>0</v>
      </c>
      <c r="T29" s="37"/>
      <c r="U29" s="28">
        <v>0</v>
      </c>
      <c r="V29" s="28"/>
      <c r="W29" s="28">
        <v>0</v>
      </c>
      <c r="X29" s="28"/>
      <c r="Y29" s="28">
        <v>0</v>
      </c>
      <c r="Z29" s="28"/>
      <c r="AA29" s="28">
        <v>0</v>
      </c>
      <c r="AB29" s="28"/>
      <c r="AC29" s="37">
        <f t="shared" si="1"/>
        <v>34175730</v>
      </c>
      <c r="AD29" s="38"/>
      <c r="AE29" s="28">
        <v>3329354</v>
      </c>
      <c r="AG29" s="28">
        <v>9688921</v>
      </c>
      <c r="AI29" s="28">
        <v>0</v>
      </c>
      <c r="AK29" s="29">
        <f>+GenRev!Q21-GenExp!AC21-AE29+GenRev!S21+AG29+AI29-'Gen Fd BS'!O21</f>
        <v>-6886195</v>
      </c>
    </row>
    <row r="30" spans="1:37" s="29" customFormat="1" ht="12.75" customHeight="1">
      <c r="A30" s="107"/>
      <c r="B30" s="22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4"/>
      <c r="U30" s="111"/>
      <c r="V30" s="111"/>
      <c r="W30" s="111"/>
      <c r="X30" s="111"/>
      <c r="Y30" s="111"/>
      <c r="Z30" s="111"/>
      <c r="AA30" s="111"/>
      <c r="AB30" s="111"/>
      <c r="AC30" s="114"/>
      <c r="AD30" s="117"/>
      <c r="AE30" s="111"/>
      <c r="AF30" s="118"/>
      <c r="AG30" s="111"/>
      <c r="AH30" s="118"/>
      <c r="AI30" s="111"/>
      <c r="AJ30" s="118"/>
      <c r="AK30" s="118"/>
    </row>
    <row r="31" s="29" customFormat="1" ht="12.75" customHeight="1"/>
    <row r="32" s="29" customFormat="1" ht="12.75" customHeight="1"/>
    <row r="33" s="29" customFormat="1" ht="12.75" customHeight="1"/>
    <row r="34" s="29" customFormat="1" ht="12.75" customHeight="1"/>
    <row r="35" s="29" customFormat="1" ht="12.75" customHeight="1"/>
    <row r="36" s="29" customFormat="1" ht="12.75" customHeight="1"/>
    <row r="37" s="29" customFormat="1" ht="12.75" customHeight="1"/>
    <row r="38" s="29" customFormat="1" ht="12.75" customHeight="1"/>
    <row r="39" s="29" customFormat="1" ht="12.75" customHeight="1"/>
    <row r="40" s="29" customFormat="1" ht="12.75" customHeight="1"/>
    <row r="41" s="29" customFormat="1" ht="12.75" customHeight="1"/>
    <row r="42" s="29" customFormat="1" ht="12.75" customHeight="1"/>
    <row r="43" s="29" customFormat="1" ht="12.75" customHeight="1"/>
    <row r="44" s="29" customFormat="1" ht="12.75" customHeight="1"/>
    <row r="45" s="29" customFormat="1" ht="12.75" customHeight="1"/>
    <row r="46" s="29" customFormat="1" ht="12.75" customHeight="1"/>
    <row r="47" s="29" customFormat="1" ht="12.75" customHeight="1"/>
    <row r="48" s="29" customFormat="1" ht="12.75" customHeight="1"/>
    <row r="49" s="29" customFormat="1" ht="12.75" customHeight="1"/>
    <row r="50" s="29" customFormat="1" ht="12.75" customHeight="1"/>
    <row r="51" s="29" customFormat="1" ht="12.75" customHeight="1"/>
    <row r="52" s="29" customFormat="1" ht="12.75" customHeight="1"/>
    <row r="53" s="29" customFormat="1" ht="12.75" customHeight="1"/>
    <row r="54" s="29" customFormat="1" ht="12.75" customHeight="1"/>
    <row r="55" s="29" customFormat="1" ht="12.75" customHeight="1"/>
    <row r="56" s="29" customFormat="1" ht="12.75" customHeight="1"/>
    <row r="57" s="29" customFormat="1" ht="12.75" customHeight="1"/>
    <row r="58" s="29" customFormat="1" ht="12.75" customHeight="1"/>
    <row r="59" s="29" customFormat="1" ht="12.75" customHeight="1"/>
    <row r="60" s="29" customFormat="1" ht="12.75" customHeight="1"/>
    <row r="61" s="29" customFormat="1" ht="12.75" customHeight="1"/>
    <row r="62" s="29" customFormat="1" ht="12.75" customHeight="1"/>
    <row r="63" s="29" customFormat="1" ht="12.75" customHeight="1"/>
    <row r="64" s="29" customFormat="1" ht="12.75" customHeight="1"/>
    <row r="65" s="29" customFormat="1" ht="12.75" customHeight="1"/>
    <row r="66" s="29" customFormat="1" ht="12.75" customHeight="1"/>
    <row r="67" s="29" customFormat="1" ht="12.75" customHeight="1"/>
    <row r="68" s="29" customFormat="1" ht="12.75" customHeight="1"/>
    <row r="69" s="29" customFormat="1" ht="12.75" customHeight="1"/>
    <row r="70" s="29" customFormat="1" ht="12.75" customHeight="1"/>
    <row r="71" s="29" customFormat="1" ht="12.75" customHeight="1"/>
    <row r="72" s="29" customFormat="1" ht="12.75" customHeight="1"/>
    <row r="73" s="29" customFormat="1" ht="12.75" customHeight="1"/>
    <row r="74" s="29" customFormat="1" ht="12.75" customHeight="1"/>
    <row r="75" s="29" customFormat="1" ht="12.75" customHeight="1"/>
    <row r="76" s="29" customFormat="1" ht="12.75" customHeight="1"/>
    <row r="77" s="29" customFormat="1" ht="12.75" customHeight="1"/>
    <row r="78" s="29" customFormat="1" ht="12.75" customHeight="1"/>
    <row r="79" s="29" customFormat="1" ht="12.75" customHeight="1"/>
    <row r="80" s="29" customFormat="1" ht="12.75" customHeight="1"/>
    <row r="81" s="29" customFormat="1" ht="12.75" customHeight="1"/>
    <row r="82" s="29" customFormat="1" ht="12.75" customHeight="1"/>
    <row r="83" s="29" customFormat="1" ht="12.75" customHeight="1"/>
    <row r="84" s="29" customFormat="1" ht="12.75" customHeight="1"/>
    <row r="85" s="29" customFormat="1" ht="12.75" customHeight="1"/>
    <row r="86" s="29" customFormat="1" ht="12.75" customHeight="1"/>
    <row r="87" s="29" customFormat="1" ht="12.75" customHeight="1"/>
    <row r="88" s="29" customFormat="1" ht="12.75" customHeight="1"/>
    <row r="89" s="29" customFormat="1" ht="12.75" customHeight="1"/>
    <row r="90" s="29" customFormat="1" ht="12.75" customHeight="1"/>
    <row r="91" s="29" customFormat="1" ht="12.75" customHeight="1"/>
    <row r="92" s="29" customFormat="1" ht="12.75" customHeight="1"/>
    <row r="93" s="29" customFormat="1" ht="12" customHeight="1"/>
    <row r="94" s="29" customFormat="1" ht="12" customHeight="1"/>
    <row r="95" s="29" customFormat="1" ht="12" customHeight="1"/>
    <row r="96" s="29" customFormat="1" ht="12" customHeight="1"/>
    <row r="97" s="29" customFormat="1" ht="12" customHeight="1"/>
    <row r="98" s="29" customFormat="1" ht="12" customHeight="1"/>
    <row r="99" s="29" customFormat="1" ht="12" customHeight="1"/>
    <row r="100" s="29" customFormat="1" ht="12" customHeight="1"/>
    <row r="101" s="29" customFormat="1" ht="12" customHeight="1"/>
    <row r="102" s="29" customFormat="1" ht="12" customHeight="1"/>
    <row r="103" s="29" customFormat="1" ht="12" customHeight="1"/>
    <row r="104" s="29" customFormat="1" ht="12" customHeight="1"/>
    <row r="105" s="29" customFormat="1" ht="12" customHeight="1"/>
    <row r="106" s="29" customFormat="1" ht="12" customHeight="1"/>
    <row r="107" s="29" customFormat="1" ht="12" customHeight="1"/>
    <row r="108" s="29" customFormat="1" ht="12" customHeight="1"/>
    <row r="109" s="29" customFormat="1" ht="12" customHeight="1"/>
    <row r="110" s="29" customFormat="1" ht="12" customHeight="1"/>
    <row r="111" s="29" customFormat="1" ht="12" customHeight="1"/>
    <row r="112" s="29" customFormat="1" ht="12" customHeight="1"/>
    <row r="113" s="29" customFormat="1" ht="12" customHeight="1"/>
    <row r="114" s="29" customFormat="1" ht="12" customHeight="1"/>
    <row r="115" s="29" customFormat="1" ht="12" customHeight="1"/>
    <row r="116" s="29" customFormat="1" ht="12" customHeight="1"/>
    <row r="117" s="29" customFormat="1" ht="12" customHeight="1"/>
    <row r="118" s="29" customFormat="1" ht="12" customHeight="1"/>
    <row r="119" s="29" customFormat="1" ht="12" customHeight="1"/>
    <row r="120" s="29" customFormat="1" ht="12" customHeight="1"/>
    <row r="121" s="29" customFormat="1" ht="12" customHeight="1"/>
    <row r="122" s="29" customFormat="1" ht="12" customHeight="1"/>
    <row r="123" s="31" customFormat="1" ht="12" customHeight="1"/>
    <row r="124" s="31" customFormat="1" ht="12" customHeight="1"/>
    <row r="125" s="31" customFormat="1" ht="12" customHeight="1"/>
    <row r="126" s="31" customFormat="1" ht="12" customHeight="1"/>
    <row r="127" s="31" customFormat="1" ht="12" customHeight="1"/>
    <row r="128" s="31" customFormat="1" ht="12" customHeight="1"/>
    <row r="129" s="31" customFormat="1" ht="12" customHeight="1"/>
    <row r="130" s="31" customFormat="1" ht="12" customHeight="1"/>
    <row r="131" s="31" customFormat="1" ht="12" customHeight="1"/>
    <row r="132" s="31" customFormat="1" ht="12" customHeight="1"/>
    <row r="133" s="31" customFormat="1" ht="12" customHeight="1"/>
    <row r="134" s="31" customFormat="1" ht="12" customHeight="1"/>
    <row r="135" s="31" customFormat="1" ht="12" customHeight="1"/>
    <row r="136" s="31" customFormat="1" ht="12" customHeight="1"/>
    <row r="137" s="31" customFormat="1" ht="12" customHeight="1"/>
    <row r="138" s="31" customFormat="1" ht="12" customHeight="1"/>
    <row r="139" s="31" customFormat="1" ht="12" customHeight="1"/>
    <row r="140" s="31" customFormat="1" ht="12" customHeight="1"/>
    <row r="141" s="31" customFormat="1" ht="12" customHeight="1"/>
    <row r="142" s="31" customFormat="1" ht="12" customHeight="1"/>
    <row r="143" s="31" customFormat="1" ht="12" customHeight="1"/>
    <row r="144" s="31" customFormat="1" ht="12" customHeight="1"/>
    <row r="145" s="31" customFormat="1" ht="12" customHeight="1"/>
    <row r="146" s="31" customFormat="1" ht="12" customHeight="1"/>
    <row r="147" s="31" customFormat="1" ht="12" customHeight="1"/>
    <row r="148" s="31" customFormat="1" ht="12" customHeight="1"/>
    <row r="149" s="31" customFormat="1" ht="12" customHeight="1"/>
    <row r="150" s="31" customFormat="1" ht="12" customHeight="1"/>
    <row r="151" s="31" customFormat="1" ht="12" customHeight="1"/>
    <row r="152" s="31" customFormat="1" ht="12" customHeight="1"/>
    <row r="153" s="31" customFormat="1" ht="12" customHeight="1"/>
    <row r="154" s="31" customFormat="1" ht="12" customHeight="1"/>
    <row r="155" s="31" customFormat="1" ht="12" customHeight="1"/>
    <row r="156" s="31" customFormat="1" ht="12" customHeight="1"/>
    <row r="157" s="31" customFormat="1" ht="12" customHeight="1"/>
    <row r="158" s="31" customFormat="1" ht="12" customHeight="1"/>
    <row r="159" s="31" customFormat="1" ht="12" customHeight="1"/>
    <row r="160" s="31" customFormat="1" ht="12" customHeight="1"/>
    <row r="161" s="31" customFormat="1" ht="12" customHeight="1"/>
    <row r="162" s="31" customFormat="1" ht="12" customHeight="1"/>
    <row r="163" s="31" customFormat="1" ht="12" customHeight="1"/>
    <row r="164" s="31" customFormat="1" ht="12" customHeight="1"/>
    <row r="165" s="31" customFormat="1" ht="12" customHeight="1"/>
    <row r="166" s="31" customFormat="1" ht="12" customHeight="1"/>
    <row r="167" s="31" customFormat="1" ht="12" customHeight="1"/>
    <row r="168" s="31" customFormat="1" ht="12" customHeight="1"/>
    <row r="169" s="31" customFormat="1" ht="12" customHeight="1"/>
    <row r="170" s="31" customFormat="1" ht="12" customHeight="1"/>
    <row r="171" s="31" customFormat="1" ht="12" customHeight="1"/>
    <row r="172" s="31" customFormat="1" ht="12" customHeight="1"/>
    <row r="173" s="31" customFormat="1" ht="12" customHeight="1"/>
    <row r="174" s="31" customFormat="1" ht="12" customHeight="1"/>
    <row r="175" s="31" customFormat="1" ht="12" customHeight="1"/>
    <row r="176" s="31" customFormat="1" ht="12" customHeight="1"/>
    <row r="177" s="31" customFormat="1" ht="12" customHeight="1"/>
    <row r="178" s="31" customFormat="1" ht="12" customHeight="1"/>
    <row r="179" s="31" customFormat="1" ht="12" customHeight="1"/>
    <row r="180" s="31" customFormat="1" ht="12" customHeight="1"/>
    <row r="181" s="31" customFormat="1" ht="12" customHeight="1"/>
    <row r="182" s="31" customFormat="1" ht="12" customHeight="1"/>
    <row r="183" s="31" customFormat="1" ht="12" customHeight="1"/>
    <row r="184" s="31" customFormat="1" ht="12" customHeight="1"/>
    <row r="185" s="31" customFormat="1" ht="12" customHeight="1"/>
    <row r="186" s="31" customFormat="1" ht="12" customHeight="1"/>
    <row r="187" s="31" customFormat="1" ht="12" customHeight="1"/>
    <row r="188" s="31" customFormat="1" ht="12" customHeight="1"/>
    <row r="189" s="31" customFormat="1" ht="12" customHeight="1"/>
    <row r="190" s="31" customFormat="1" ht="12" customHeight="1"/>
    <row r="191" s="31" customFormat="1" ht="12" customHeight="1"/>
    <row r="192" s="31" customFormat="1" ht="12" customHeight="1"/>
    <row r="193" s="31" customFormat="1" ht="12" customHeight="1"/>
    <row r="194" s="31" customFormat="1" ht="12" customHeight="1"/>
    <row r="195" s="31" customFormat="1" ht="12" customHeight="1"/>
    <row r="196" s="31" customFormat="1" ht="12" customHeight="1"/>
    <row r="197" s="31" customFormat="1" ht="12" customHeight="1"/>
    <row r="198" s="31" customFormat="1" ht="12" customHeight="1"/>
    <row r="199" s="31" customFormat="1" ht="12" customHeight="1"/>
    <row r="200" s="31" customFormat="1" ht="12" customHeight="1"/>
    <row r="201" s="31" customFormat="1" ht="12" customHeight="1"/>
    <row r="202" s="31" customFormat="1" ht="12" customHeight="1"/>
    <row r="203" s="31" customFormat="1" ht="12" customHeight="1"/>
    <row r="204" s="31" customFormat="1" ht="12" customHeight="1"/>
    <row r="205" s="31" customFormat="1" ht="12" customHeight="1"/>
    <row r="206" s="31" customFormat="1" ht="12" customHeight="1"/>
    <row r="207" s="31" customFormat="1" ht="12" customHeight="1"/>
    <row r="208" s="31" customFormat="1" ht="12" customHeight="1"/>
    <row r="209" s="31" customFormat="1" ht="12" customHeight="1"/>
    <row r="210" s="31" customFormat="1" ht="12" customHeight="1"/>
    <row r="211" s="31" customFormat="1" ht="12" customHeight="1"/>
    <row r="212" s="31" customFormat="1" ht="12" customHeight="1"/>
    <row r="213" s="31" customFormat="1" ht="12" customHeight="1"/>
    <row r="214" s="31" customFormat="1" ht="12" customHeight="1"/>
    <row r="215" s="31" customFormat="1" ht="12" customHeight="1"/>
    <row r="216" s="31" customFormat="1" ht="12" customHeight="1"/>
    <row r="217" s="31" customFormat="1" ht="12" customHeight="1"/>
    <row r="218" s="31" customFormat="1" ht="12" customHeight="1"/>
    <row r="219" s="31" customFormat="1" ht="12" customHeight="1"/>
    <row r="220" s="31" customFormat="1" ht="12" customHeight="1"/>
    <row r="221" s="31" customFormat="1" ht="12" customHeight="1"/>
    <row r="222" s="31" customFormat="1" ht="12" customHeight="1"/>
    <row r="223" s="31" customFormat="1" ht="12" customHeight="1"/>
    <row r="224" s="31" customFormat="1" ht="12" customHeight="1"/>
    <row r="225" s="31" customFormat="1" ht="12" customHeight="1"/>
    <row r="226" s="31" customFormat="1" ht="12" customHeight="1"/>
    <row r="227" s="31" customFormat="1" ht="12" customHeight="1"/>
    <row r="228" s="31" customFormat="1" ht="12" customHeight="1"/>
    <row r="229" s="31" customFormat="1" ht="12" customHeight="1"/>
    <row r="230" s="31" customFormat="1" ht="12" customHeight="1"/>
    <row r="231" s="31" customFormat="1" ht="12" customHeight="1"/>
    <row r="232" s="31" customFormat="1" ht="12" customHeight="1"/>
    <row r="233" s="31" customFormat="1" ht="12" customHeight="1"/>
    <row r="234" s="31" customFormat="1" ht="12" customHeight="1"/>
    <row r="235" s="31" customFormat="1" ht="12" customHeight="1"/>
    <row r="236" s="31" customFormat="1" ht="12" customHeight="1"/>
    <row r="237" s="31" customFormat="1" ht="12" customHeight="1"/>
    <row r="238" s="31" customFormat="1" ht="12" customHeight="1"/>
    <row r="239" s="31" customFormat="1" ht="12" customHeight="1"/>
    <row r="240" s="31" customFormat="1" ht="12" customHeight="1"/>
    <row r="241" s="31" customFormat="1" ht="12" customHeight="1"/>
    <row r="242" s="31" customFormat="1" ht="12" customHeight="1"/>
    <row r="243" s="31" customFormat="1" ht="12" customHeight="1"/>
    <row r="244" s="31" customFormat="1" ht="12" customHeight="1"/>
    <row r="245" s="31" customFormat="1" ht="12" customHeight="1"/>
    <row r="246" s="31" customFormat="1" ht="12" customHeight="1"/>
    <row r="247" s="31" customFormat="1" ht="12" customHeight="1"/>
    <row r="248" s="31" customFormat="1" ht="12" customHeight="1"/>
    <row r="249" s="31" customFormat="1" ht="12" customHeight="1"/>
    <row r="250" s="31" customFormat="1" ht="12" customHeight="1"/>
    <row r="251" s="31" customFormat="1" ht="12" customHeight="1"/>
    <row r="252" s="31" customFormat="1" ht="12" customHeight="1"/>
    <row r="253" s="31" customFormat="1" ht="12" customHeight="1"/>
    <row r="254" s="31" customFormat="1" ht="12" customHeight="1"/>
    <row r="255" s="31" customFormat="1" ht="12" customHeight="1"/>
    <row r="256" s="31" customFormat="1" ht="12" customHeight="1"/>
    <row r="257" s="31" customFormat="1" ht="12" customHeight="1"/>
    <row r="258" s="31" customFormat="1" ht="12" customHeight="1"/>
    <row r="259" s="31" customFormat="1" ht="12" customHeight="1"/>
    <row r="260" s="31" customFormat="1" ht="12" customHeight="1"/>
    <row r="261" s="31" customFormat="1" ht="12" customHeight="1"/>
    <row r="262" s="31" customFormat="1" ht="12" customHeight="1"/>
    <row r="263" s="31" customFormat="1" ht="12" customHeight="1"/>
    <row r="264" s="31" customFormat="1" ht="12" customHeight="1"/>
    <row r="265" s="31" customFormat="1" ht="12" customHeight="1"/>
    <row r="266" s="31" customFormat="1" ht="12" customHeight="1"/>
    <row r="267" s="31" customFormat="1" ht="12" customHeight="1"/>
    <row r="268" s="31" customFormat="1" ht="12" customHeight="1"/>
    <row r="269" s="31" customFormat="1" ht="12" customHeight="1"/>
    <row r="270" s="31" customFormat="1" ht="12" customHeight="1"/>
    <row r="271" s="31" customFormat="1" ht="12" customHeight="1"/>
    <row r="272" s="31" customFormat="1" ht="12" customHeight="1"/>
    <row r="273" s="31" customFormat="1" ht="12" customHeight="1"/>
    <row r="274" s="31" customFormat="1" ht="12" customHeight="1"/>
    <row r="275" s="31" customFormat="1" ht="12" customHeight="1"/>
    <row r="276" s="31" customFormat="1" ht="12" customHeight="1"/>
    <row r="277" s="31" customFormat="1" ht="12" customHeight="1"/>
    <row r="278" s="31" customFormat="1" ht="12" customHeight="1"/>
    <row r="279" s="31" customFormat="1" ht="12" customHeight="1"/>
    <row r="280" s="31" customFormat="1" ht="12" customHeight="1"/>
    <row r="281" s="31" customFormat="1" ht="12" customHeight="1"/>
    <row r="282" s="31" customFormat="1" ht="12" customHeight="1"/>
    <row r="283" s="31" customFormat="1" ht="12" customHeight="1"/>
    <row r="284" s="31" customFormat="1" ht="12" customHeight="1"/>
    <row r="285" s="31" customFormat="1" ht="12" customHeight="1"/>
    <row r="286" s="31" customFormat="1" ht="12" customHeight="1"/>
    <row r="287" s="31" customFormat="1" ht="12" customHeight="1"/>
    <row r="288" s="31" customFormat="1" ht="12" customHeight="1"/>
    <row r="289" s="31" customFormat="1" ht="12" customHeight="1"/>
    <row r="290" s="31" customFormat="1" ht="12" customHeight="1"/>
    <row r="291" s="31" customFormat="1" ht="12" customHeight="1"/>
    <row r="292" s="31" customFormat="1" ht="12" customHeight="1"/>
    <row r="293" s="31" customFormat="1" ht="12" customHeight="1"/>
    <row r="294" s="31" customFormat="1" ht="12" customHeight="1"/>
    <row r="295" s="31" customFormat="1" ht="12" customHeight="1"/>
    <row r="296" s="31" customFormat="1" ht="12" customHeight="1"/>
    <row r="297" s="31" customFormat="1" ht="12" customHeight="1"/>
    <row r="298" s="31" customFormat="1" ht="12" customHeight="1"/>
    <row r="299" s="31" customFormat="1" ht="12" customHeight="1"/>
    <row r="300" s="31" customFormat="1" ht="12" customHeight="1"/>
    <row r="301" s="31" customFormat="1" ht="12" customHeight="1"/>
    <row r="302" s="31" customFormat="1" ht="12" customHeight="1"/>
    <row r="303" s="31" customFormat="1" ht="12" customHeight="1"/>
    <row r="304" s="31" customFormat="1" ht="12" customHeight="1"/>
    <row r="305" s="31" customFormat="1" ht="12" customHeight="1"/>
    <row r="306" s="31" customFormat="1" ht="12" customHeight="1"/>
    <row r="307" s="31" customFormat="1" ht="12" customHeight="1"/>
    <row r="308" s="31" customFormat="1" ht="12" customHeight="1"/>
    <row r="309" s="31" customFormat="1" ht="12" customHeight="1"/>
    <row r="310" s="31" customFormat="1" ht="12" customHeight="1"/>
    <row r="311" s="31" customFormat="1" ht="12" customHeight="1"/>
    <row r="312" s="31" customFormat="1" ht="12" customHeight="1"/>
    <row r="313" s="31" customFormat="1" ht="12" customHeight="1"/>
    <row r="314" s="31" customFormat="1" ht="12" customHeight="1"/>
    <row r="315" s="31" customFormat="1" ht="12" customHeight="1"/>
    <row r="316" s="31" customFormat="1" ht="12" customHeight="1"/>
    <row r="317" s="31" customFormat="1" ht="12" customHeight="1"/>
    <row r="318" s="31" customFormat="1" ht="12" customHeight="1"/>
    <row r="319" s="31" customFormat="1" ht="12" customHeight="1"/>
    <row r="320" s="31" customFormat="1" ht="12" customHeight="1"/>
    <row r="321" s="31" customFormat="1" ht="12" customHeight="1"/>
    <row r="322" s="31" customFormat="1" ht="12" customHeight="1"/>
    <row r="323" s="31" customFormat="1" ht="12" customHeight="1"/>
    <row r="324" s="31" customFormat="1" ht="12" customHeight="1"/>
    <row r="325" s="31" customFormat="1" ht="12" customHeight="1"/>
    <row r="326" s="31" customFormat="1" ht="12" customHeight="1"/>
    <row r="327" s="31" customFormat="1" ht="12" customHeight="1"/>
    <row r="328" s="31" customFormat="1" ht="12" customHeight="1"/>
    <row r="329" s="31" customFormat="1" ht="12" customHeight="1"/>
    <row r="330" s="31" customFormat="1" ht="12" customHeight="1"/>
    <row r="331" s="31" customFormat="1" ht="12" customHeight="1"/>
    <row r="332" s="31" customFormat="1" ht="12" customHeight="1"/>
    <row r="333" s="31" customFormat="1" ht="12" customHeight="1"/>
    <row r="334" s="31" customFormat="1" ht="12" customHeight="1"/>
    <row r="335" s="31" customFormat="1" ht="12" customHeight="1"/>
    <row r="336" s="31" customFormat="1" ht="12" customHeight="1"/>
    <row r="337" s="31" customFormat="1" ht="12" customHeight="1"/>
    <row r="338" s="31" customFormat="1" ht="12" customHeight="1"/>
    <row r="339" s="31" customFormat="1" ht="12" customHeight="1"/>
    <row r="340" s="31" customFormat="1" ht="12" customHeight="1"/>
    <row r="341" s="31" customFormat="1" ht="12" customHeight="1"/>
    <row r="342" s="31" customFormat="1" ht="12" customHeight="1"/>
    <row r="343" s="31" customFormat="1" ht="12" customHeight="1"/>
    <row r="344" s="31" customFormat="1" ht="12" customHeight="1"/>
    <row r="345" s="31" customFormat="1" ht="12" customHeight="1"/>
    <row r="346" s="31" customFormat="1" ht="12" customHeight="1"/>
    <row r="347" s="31" customFormat="1" ht="12" customHeight="1"/>
    <row r="348" s="31" customFormat="1" ht="12" customHeight="1"/>
    <row r="349" s="31" customFormat="1" ht="12" customHeight="1"/>
    <row r="350" s="31" customFormat="1" ht="12" customHeight="1"/>
    <row r="351" s="31" customFormat="1" ht="12" customHeight="1"/>
    <row r="352" s="31" customFormat="1" ht="12" customHeight="1"/>
    <row r="353" s="31" customFormat="1" ht="12" customHeight="1"/>
    <row r="354" s="31" customFormat="1" ht="12" customHeight="1"/>
    <row r="355" s="31" customFormat="1" ht="12" customHeight="1"/>
    <row r="356" s="31" customFormat="1" ht="12" customHeight="1"/>
    <row r="357" s="31" customFormat="1" ht="12" customHeight="1"/>
    <row r="358" s="31" customFormat="1" ht="12" customHeight="1"/>
    <row r="359" s="31" customFormat="1" ht="12" customHeight="1"/>
    <row r="360" s="31" customFormat="1" ht="12" customHeight="1"/>
    <row r="361" s="31" customFormat="1" ht="12" customHeight="1"/>
    <row r="362" s="31" customFormat="1" ht="12" customHeight="1"/>
    <row r="363" s="31" customFormat="1" ht="12" customHeight="1"/>
    <row r="364" s="31" customFormat="1" ht="12" customHeight="1"/>
    <row r="365" s="31" customFormat="1" ht="12" customHeight="1"/>
    <row r="366" s="31" customFormat="1" ht="12" customHeight="1"/>
    <row r="367" s="31" customFormat="1" ht="12" customHeight="1"/>
    <row r="368" s="31" customFormat="1" ht="12" customHeight="1"/>
    <row r="369" s="31" customFormat="1" ht="12" customHeight="1"/>
    <row r="370" s="31" customFormat="1" ht="12" customHeight="1"/>
    <row r="371" s="31" customFormat="1" ht="12" customHeight="1"/>
    <row r="372" s="31" customFormat="1" ht="12" customHeight="1"/>
    <row r="373" s="31" customFormat="1" ht="12" customHeight="1"/>
    <row r="374" s="31" customFormat="1" ht="12" customHeight="1"/>
    <row r="375" s="31" customFormat="1" ht="12" customHeight="1"/>
    <row r="376" s="31" customFormat="1" ht="12" customHeight="1"/>
    <row r="377" s="31" customFormat="1" ht="12" customHeight="1"/>
    <row r="378" s="31" customFormat="1" ht="12" customHeight="1"/>
    <row r="379" s="31" customFormat="1" ht="12" customHeight="1"/>
    <row r="380" s="31" customFormat="1" ht="12" customHeight="1"/>
    <row r="381" s="31" customFormat="1" ht="12" customHeight="1"/>
    <row r="382" s="31" customFormat="1" ht="12" customHeight="1"/>
    <row r="383" s="31" customFormat="1" ht="12" customHeight="1"/>
    <row r="384" s="31" customFormat="1" ht="12" customHeight="1"/>
    <row r="385" s="31" customFormat="1" ht="12" customHeight="1"/>
    <row r="386" s="31" customFormat="1" ht="12" customHeight="1"/>
    <row r="387" s="31" customFormat="1" ht="12" customHeight="1"/>
    <row r="388" s="31" customFormat="1" ht="12" customHeight="1"/>
    <row r="389" s="31" customFormat="1" ht="12" customHeight="1"/>
    <row r="390" s="31" customFormat="1" ht="12" customHeight="1"/>
    <row r="391" s="31" customFormat="1" ht="12" customHeight="1"/>
    <row r="392" s="31" customFormat="1" ht="12" customHeight="1"/>
    <row r="393" s="31" customFormat="1" ht="12" customHeight="1"/>
    <row r="394" s="31" customFormat="1" ht="12" customHeight="1"/>
    <row r="395" s="31" customFormat="1" ht="12" customHeight="1"/>
    <row r="396" s="31" customFormat="1" ht="12" customHeight="1"/>
    <row r="397" s="31" customFormat="1" ht="12" customHeight="1"/>
    <row r="398" s="31" customFormat="1" ht="12" customHeight="1"/>
    <row r="399" s="31" customFormat="1" ht="12" customHeight="1"/>
    <row r="400" s="31" customFormat="1" ht="12" customHeight="1"/>
    <row r="401" s="31" customFormat="1" ht="12" customHeight="1"/>
    <row r="402" s="31" customFormat="1" ht="12" customHeight="1"/>
    <row r="403" s="31" customFormat="1" ht="12" customHeight="1"/>
    <row r="404" s="31" customFormat="1" ht="12" customHeight="1"/>
    <row r="405" s="31" customFormat="1" ht="12" customHeight="1"/>
    <row r="406" s="31" customFormat="1" ht="12" customHeight="1"/>
    <row r="407" s="31" customFormat="1" ht="12" customHeight="1"/>
    <row r="408" s="31" customFormat="1" ht="12" customHeight="1"/>
    <row r="409" s="31" customFormat="1" ht="12" customHeight="1"/>
    <row r="410" s="31" customFormat="1" ht="12" customHeight="1"/>
    <row r="411" s="31" customFormat="1" ht="12" customHeight="1"/>
    <row r="412" s="31" customFormat="1" ht="12" customHeight="1"/>
    <row r="413" s="31" customFormat="1" ht="12" customHeight="1"/>
    <row r="414" s="31" customFormat="1" ht="12" customHeight="1"/>
    <row r="415" s="31" customFormat="1" ht="12" customHeight="1"/>
    <row r="416" s="31" customFormat="1" ht="12" customHeight="1"/>
    <row r="417" s="31" customFormat="1" ht="12" customHeight="1"/>
    <row r="418" s="31" customFormat="1" ht="12" customHeight="1"/>
    <row r="419" s="31" customFormat="1" ht="12" customHeight="1"/>
    <row r="420" s="31" customFormat="1" ht="12" customHeight="1"/>
    <row r="421" s="31" customFormat="1" ht="12" customHeight="1"/>
    <row r="422" s="31" customFormat="1" ht="12" customHeight="1"/>
    <row r="423" s="31" customFormat="1" ht="12" customHeight="1"/>
    <row r="424" s="31" customFormat="1" ht="12" customHeight="1"/>
    <row r="425" s="31" customFormat="1" ht="12" customHeight="1"/>
    <row r="426" s="31" customFormat="1" ht="12" customHeight="1"/>
    <row r="427" s="31" customFormat="1" ht="12" customHeight="1"/>
    <row r="428" s="31" customFormat="1" ht="12" customHeight="1"/>
    <row r="429" s="31" customFormat="1" ht="12" customHeight="1"/>
    <row r="430" s="31" customFormat="1" ht="12" customHeight="1"/>
    <row r="431" s="31" customFormat="1" ht="12" customHeight="1"/>
    <row r="432" s="31" customFormat="1" ht="12" customHeight="1"/>
    <row r="433" s="31" customFormat="1" ht="12" customHeight="1"/>
    <row r="434" s="31" customFormat="1" ht="12" customHeight="1"/>
    <row r="435" s="31" customFormat="1" ht="12" customHeight="1"/>
    <row r="436" s="31" customFormat="1" ht="12" customHeight="1"/>
    <row r="437" s="31" customFormat="1" ht="12" customHeight="1"/>
    <row r="438" s="31" customFormat="1" ht="12" customHeight="1"/>
    <row r="439" s="31" customFormat="1" ht="12" customHeight="1"/>
    <row r="440" s="31" customFormat="1" ht="12" customHeight="1"/>
    <row r="441" s="31" customFormat="1" ht="12" customHeight="1"/>
    <row r="442" s="31" customFormat="1" ht="12" customHeight="1"/>
    <row r="443" s="31" customFormat="1" ht="12" customHeight="1"/>
    <row r="444" s="31" customFormat="1" ht="12" customHeight="1"/>
    <row r="445" s="31" customFormat="1" ht="12" customHeight="1"/>
    <row r="446" s="31" customFormat="1" ht="12" customHeight="1"/>
    <row r="447" s="31" customFormat="1" ht="12" customHeight="1"/>
    <row r="448" s="31" customFormat="1" ht="12" customHeight="1"/>
    <row r="449" s="31" customFormat="1" ht="12" customHeight="1"/>
    <row r="450" s="31" customFormat="1" ht="12" customHeight="1"/>
    <row r="451" s="31" customFormat="1" ht="12" customHeight="1"/>
    <row r="452" s="31" customFormat="1" ht="12" customHeight="1"/>
    <row r="453" s="31" customFormat="1" ht="12" customHeight="1"/>
    <row r="454" s="31" customFormat="1" ht="12" customHeight="1"/>
    <row r="455" s="31" customFormat="1" ht="12" customHeight="1"/>
    <row r="456" s="31" customFormat="1" ht="12" customHeight="1"/>
    <row r="457" s="31" customFormat="1" ht="12" customHeight="1"/>
    <row r="458" s="31" customFormat="1" ht="12" customHeight="1"/>
    <row r="459" s="31" customFormat="1" ht="12" customHeight="1"/>
    <row r="460" s="31" customFormat="1" ht="12" customHeight="1"/>
    <row r="461" s="31" customFormat="1" ht="12" customHeight="1"/>
    <row r="462" s="31" customFormat="1" ht="12" customHeight="1"/>
    <row r="463" s="31" customFormat="1" ht="12" customHeight="1"/>
    <row r="464" s="31" customFormat="1" ht="12" customHeight="1"/>
    <row r="465" s="31" customFormat="1" ht="12" customHeight="1"/>
    <row r="466" s="31" customFormat="1" ht="12" customHeight="1"/>
    <row r="467" s="31" customFormat="1" ht="12" customHeight="1"/>
    <row r="468" s="31" customFormat="1" ht="12" customHeight="1"/>
    <row r="469" s="31" customFormat="1" ht="12" customHeight="1"/>
    <row r="470" s="31" customFormat="1" ht="12" customHeight="1"/>
    <row r="471" s="31" customFormat="1" ht="12" customHeight="1"/>
    <row r="472" s="31" customFormat="1" ht="12" customHeight="1"/>
    <row r="473" s="31" customFormat="1" ht="12" customHeight="1"/>
    <row r="474" s="31" customFormat="1" ht="12" customHeight="1"/>
    <row r="475" s="31" customFormat="1" ht="12" customHeight="1"/>
    <row r="476" s="31" customFormat="1" ht="12" customHeight="1"/>
    <row r="477" s="31" customFormat="1" ht="12" customHeight="1"/>
    <row r="478" s="31" customFormat="1" ht="12" customHeight="1"/>
    <row r="479" s="31" customFormat="1" ht="12" customHeight="1"/>
    <row r="480" s="31" customFormat="1" ht="12" customHeight="1"/>
    <row r="481" s="31" customFormat="1" ht="12" customHeight="1"/>
    <row r="482" s="31" customFormat="1" ht="12" customHeight="1"/>
    <row r="483" s="31" customFormat="1" ht="12" customHeight="1"/>
    <row r="484" s="31" customFormat="1" ht="12" customHeight="1"/>
    <row r="485" s="31" customFormat="1" ht="12" customHeight="1"/>
    <row r="486" s="31" customFormat="1" ht="12" customHeight="1"/>
    <row r="487" s="31" customFormat="1" ht="12" customHeight="1"/>
    <row r="488" s="31" customFormat="1" ht="12" customHeight="1"/>
    <row r="489" s="31" customFormat="1" ht="12" customHeight="1"/>
    <row r="490" s="31" customFormat="1" ht="12" customHeight="1"/>
    <row r="491" s="31" customFormat="1" ht="12" customHeight="1"/>
    <row r="492" s="31" customFormat="1" ht="12" customHeight="1"/>
    <row r="493" s="31" customFormat="1" ht="12" customHeight="1"/>
    <row r="494" s="31" customFormat="1" ht="12" customHeight="1"/>
    <row r="495" s="31" customFormat="1" ht="12" customHeight="1"/>
    <row r="496" s="31" customFormat="1" ht="12" customHeight="1"/>
    <row r="497" s="31" customFormat="1" ht="12" customHeight="1"/>
    <row r="498" s="31" customFormat="1" ht="12" customHeight="1"/>
    <row r="499" s="31" customFormat="1" ht="12" customHeight="1"/>
    <row r="500" s="31" customFormat="1" ht="12" customHeight="1"/>
    <row r="501" s="31" customFormat="1" ht="12" customHeight="1"/>
    <row r="502" s="31" customFormat="1" ht="12" customHeight="1"/>
    <row r="503" s="31" customFormat="1" ht="12" customHeight="1"/>
    <row r="504" s="31" customFormat="1" ht="12" customHeight="1"/>
    <row r="505" s="31" customFormat="1" ht="12" customHeight="1"/>
    <row r="506" s="31" customFormat="1" ht="12" customHeight="1"/>
    <row r="507" s="31" customFormat="1" ht="12" customHeight="1"/>
    <row r="508" s="31" customFormat="1" ht="12" customHeight="1"/>
    <row r="509" s="31" customFormat="1" ht="12" customHeight="1"/>
    <row r="510" s="31" customFormat="1" ht="12" customHeight="1"/>
    <row r="511" s="31" customFormat="1" ht="12" customHeight="1"/>
    <row r="512" s="31" customFormat="1" ht="12" customHeight="1"/>
    <row r="513" s="31" customFormat="1" ht="12" customHeight="1"/>
    <row r="514" s="31" customFormat="1" ht="12" customHeight="1"/>
    <row r="515" s="31" customFormat="1" ht="12" customHeight="1"/>
    <row r="516" s="31" customFormat="1" ht="12" customHeight="1"/>
    <row r="517" s="31" customFormat="1" ht="12" customHeight="1"/>
    <row r="518" s="31" customFormat="1" ht="12" customHeight="1"/>
    <row r="519" s="31" customFormat="1" ht="12" customHeight="1"/>
    <row r="520" s="31" customFormat="1" ht="12" customHeight="1"/>
    <row r="521" s="31" customFormat="1" ht="12" customHeight="1"/>
  </sheetData>
  <sheetProtection/>
  <printOptions horizontalCentered="1"/>
  <pageMargins left="0.5" right="0.5" top="0.5" bottom="0.5" header="0" footer="0.25"/>
  <pageSetup firstPageNumber="28" useFirstPageNumber="1" fitToHeight="2" fitToWidth="2" horizontalDpi="600" verticalDpi="600" orientation="portrait" pageOrder="overThenDown" scale="90" r:id="rId1"/>
  <headerFooter alignWithMargins="0">
    <oddFooter>&amp;C&amp;"Times New Roman,Regular"&amp;11&amp;P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IU32"/>
  <sheetViews>
    <sheetView zoomScalePageLayoutView="0" workbookViewId="0" topLeftCell="A1">
      <pane xSplit="1" ySplit="8" topLeftCell="B9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17" sqref="A17:IV17"/>
    </sheetView>
  </sheetViews>
  <sheetFormatPr defaultColWidth="9.140625" defaultRowHeight="12" customHeight="1"/>
  <cols>
    <col min="1" max="1" width="15.7109375" style="63" customWidth="1"/>
    <col min="2" max="2" width="1.7109375" style="63" customWidth="1"/>
    <col min="3" max="3" width="11.7109375" style="63" customWidth="1"/>
    <col min="4" max="4" width="1.7109375" style="63" customWidth="1"/>
    <col min="5" max="5" width="11.7109375" style="63" customWidth="1"/>
    <col min="6" max="6" width="1.7109375" style="63" customWidth="1"/>
    <col min="7" max="7" width="11.7109375" style="63" customWidth="1"/>
    <col min="8" max="8" width="1.7109375" style="63" customWidth="1"/>
    <col min="9" max="9" width="11.7109375" style="63" customWidth="1"/>
    <col min="10" max="10" width="1.7109375" style="63" customWidth="1"/>
    <col min="11" max="11" width="11.7109375" style="63" customWidth="1"/>
    <col min="12" max="12" width="1.7109375" style="63" customWidth="1"/>
    <col min="13" max="13" width="12.7109375" style="63" customWidth="1"/>
    <col min="14" max="14" width="1.7109375" style="63" customWidth="1"/>
    <col min="15" max="15" width="12.7109375" style="63" customWidth="1"/>
    <col min="16" max="16" width="1.7109375" style="63" customWidth="1"/>
    <col min="17" max="17" width="12.7109375" style="63" customWidth="1"/>
    <col min="18" max="18" width="10.140625" style="27" bestFit="1" customWidth="1"/>
    <col min="19" max="19" width="13.28125" style="27" bestFit="1" customWidth="1"/>
    <col min="20" max="16384" width="9.140625" style="27" customWidth="1"/>
  </cols>
  <sheetData>
    <row r="1" spans="1:18" s="61" customFormat="1" ht="12.75" customHeight="1">
      <c r="A1" s="55" t="s">
        <v>189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6"/>
    </row>
    <row r="2" spans="1:18" s="61" customFormat="1" ht="12.75" customHeight="1">
      <c r="A2" s="55" t="s">
        <v>229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6"/>
    </row>
    <row r="3" spans="1:18" s="61" customFormat="1" ht="12.75" customHeight="1">
      <c r="A3" s="43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6"/>
    </row>
    <row r="4" spans="1:18" ht="12.75" customHeight="1">
      <c r="A4" s="51" t="s">
        <v>173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3"/>
    </row>
    <row r="5" spans="1:18" ht="12.75" customHeight="1">
      <c r="A5" s="5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3"/>
    </row>
    <row r="6" spans="1:19" ht="12.75" customHeight="1">
      <c r="A6" s="5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33"/>
      <c r="S6" s="74" t="s">
        <v>101</v>
      </c>
    </row>
    <row r="7" spans="1:19" ht="12.75" customHeight="1">
      <c r="A7" s="18"/>
      <c r="B7" s="18"/>
      <c r="C7" s="18" t="s">
        <v>141</v>
      </c>
      <c r="D7" s="18"/>
      <c r="E7" s="18" t="s">
        <v>160</v>
      </c>
      <c r="F7" s="18"/>
      <c r="G7" s="18" t="s">
        <v>101</v>
      </c>
      <c r="H7" s="18"/>
      <c r="I7" s="18" t="s">
        <v>0</v>
      </c>
      <c r="J7" s="18"/>
      <c r="K7" s="18" t="s">
        <v>1</v>
      </c>
      <c r="L7" s="18"/>
      <c r="M7" s="18" t="s">
        <v>2</v>
      </c>
      <c r="N7" s="18"/>
      <c r="O7" s="18" t="s">
        <v>3</v>
      </c>
      <c r="P7" s="18"/>
      <c r="Q7" s="18" t="s">
        <v>4</v>
      </c>
      <c r="R7" s="33"/>
      <c r="S7" s="74" t="s">
        <v>195</v>
      </c>
    </row>
    <row r="8" spans="1:255" ht="12.75" customHeight="1">
      <c r="A8" s="47" t="s">
        <v>5</v>
      </c>
      <c r="B8" s="18"/>
      <c r="C8" s="47" t="s">
        <v>209</v>
      </c>
      <c r="D8" s="22"/>
      <c r="E8" s="47" t="s">
        <v>6</v>
      </c>
      <c r="F8" s="22"/>
      <c r="G8" s="47" t="s">
        <v>6</v>
      </c>
      <c r="H8" s="22"/>
      <c r="I8" s="47" t="s">
        <v>8</v>
      </c>
      <c r="J8" s="22"/>
      <c r="K8" s="47" t="s">
        <v>9</v>
      </c>
      <c r="L8" s="22"/>
      <c r="M8" s="47" t="s">
        <v>10</v>
      </c>
      <c r="N8" s="22"/>
      <c r="O8" s="47" t="s">
        <v>11</v>
      </c>
      <c r="P8" s="22"/>
      <c r="Q8" s="47" t="s">
        <v>12</v>
      </c>
      <c r="R8" s="40"/>
      <c r="S8" s="62" t="s">
        <v>196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ht="12.75" customHeight="1">
      <c r="A9" s="18"/>
      <c r="B9" s="18"/>
      <c r="C9" s="18"/>
      <c r="D9" s="22"/>
      <c r="E9" s="18"/>
      <c r="F9" s="22"/>
      <c r="G9" s="18"/>
      <c r="H9" s="22"/>
      <c r="I9" s="18"/>
      <c r="J9" s="22"/>
      <c r="K9" s="18"/>
      <c r="L9" s="22"/>
      <c r="M9" s="18"/>
      <c r="N9" s="22"/>
      <c r="O9" s="18"/>
      <c r="P9" s="22"/>
      <c r="Q9" s="18"/>
      <c r="R9" s="40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ht="12.75" customHeight="1">
      <c r="A10" s="107" t="s">
        <v>231</v>
      </c>
      <c r="B10" s="22" t="str">
        <f aca="true" t="shared" si="0" ref="B10:B29">LEFT(A10,2)</f>
        <v>1 </v>
      </c>
      <c r="C10" s="28">
        <v>344518</v>
      </c>
      <c r="D10" s="28"/>
      <c r="E10" s="28">
        <v>212712</v>
      </c>
      <c r="F10" s="28"/>
      <c r="G10" s="28">
        <v>28039</v>
      </c>
      <c r="H10" s="28"/>
      <c r="I10" s="28">
        <v>88504</v>
      </c>
      <c r="J10" s="28"/>
      <c r="K10" s="28">
        <f>37406+713885</f>
        <v>751291</v>
      </c>
      <c r="L10" s="28"/>
      <c r="M10" s="28">
        <v>0</v>
      </c>
      <c r="N10" s="15"/>
      <c r="O10" s="15">
        <f aca="true" t="shared" si="1" ref="O10:O29">Q10-C10-E10-G10-I10-K10-M10</f>
        <v>68276</v>
      </c>
      <c r="P10" s="15"/>
      <c r="Q10" s="28">
        <v>1493340</v>
      </c>
      <c r="R10" s="40"/>
      <c r="S10" s="28">
        <f>238347+1753</f>
        <v>240100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ht="12.75" customHeight="1">
      <c r="A11" s="107" t="s">
        <v>232</v>
      </c>
      <c r="B11" s="22" t="str">
        <f t="shared" si="0"/>
        <v>2 </v>
      </c>
      <c r="C11" s="28">
        <v>359593000</v>
      </c>
      <c r="D11" s="28"/>
      <c r="E11" s="28">
        <v>136336000</v>
      </c>
      <c r="F11" s="28"/>
      <c r="G11" s="28">
        <v>0</v>
      </c>
      <c r="H11" s="28"/>
      <c r="I11" s="28">
        <v>83862000</v>
      </c>
      <c r="J11" s="28"/>
      <c r="K11" s="28">
        <v>508347000</v>
      </c>
      <c r="L11" s="28"/>
      <c r="M11" s="28">
        <v>0</v>
      </c>
      <c r="N11" s="15"/>
      <c r="O11" s="15">
        <f t="shared" si="1"/>
        <v>80879000</v>
      </c>
      <c r="P11" s="15"/>
      <c r="Q11" s="28">
        <v>1169017000</v>
      </c>
      <c r="R11" s="40"/>
      <c r="S11" s="28">
        <f>30127000+15000000+2469000+21000+171000+205000</f>
        <v>47993000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ht="12.75" customHeight="1">
      <c r="A12" s="107" t="s">
        <v>233</v>
      </c>
      <c r="B12" s="22" t="str">
        <f t="shared" si="0"/>
        <v>3 </v>
      </c>
      <c r="C12" s="28">
        <v>256338000</v>
      </c>
      <c r="D12" s="28"/>
      <c r="E12" s="28">
        <v>66671000</v>
      </c>
      <c r="F12" s="28"/>
      <c r="G12" s="28">
        <v>47735000</v>
      </c>
      <c r="H12" s="28"/>
      <c r="I12" s="28">
        <v>140506000</v>
      </c>
      <c r="J12" s="28"/>
      <c r="K12" s="28">
        <v>421612000</v>
      </c>
      <c r="L12" s="28"/>
      <c r="M12" s="28">
        <v>0</v>
      </c>
      <c r="N12" s="15"/>
      <c r="O12" s="15">
        <f t="shared" si="1"/>
        <v>72405000</v>
      </c>
      <c r="P12" s="15"/>
      <c r="Q12" s="28">
        <v>1005267000</v>
      </c>
      <c r="R12" s="40"/>
      <c r="S12" s="28">
        <f>28311000+18130000+193000+1775000</f>
        <v>48409000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ht="12.75" customHeight="1">
      <c r="A13" s="107" t="s">
        <v>234</v>
      </c>
      <c r="B13" s="22" t="str">
        <f t="shared" si="0"/>
        <v>4 </v>
      </c>
      <c r="C13" s="28">
        <v>121278753</v>
      </c>
      <c r="D13" s="28"/>
      <c r="E13" s="28">
        <v>35672063</v>
      </c>
      <c r="F13" s="28"/>
      <c r="G13" s="28">
        <v>9911961</v>
      </c>
      <c r="H13" s="28"/>
      <c r="I13" s="28">
        <v>47999659</v>
      </c>
      <c r="J13" s="28"/>
      <c r="K13" s="28">
        <v>215133009</v>
      </c>
      <c r="L13" s="28"/>
      <c r="M13" s="28">
        <v>115040</v>
      </c>
      <c r="N13" s="15"/>
      <c r="O13" s="15">
        <f t="shared" si="1"/>
        <v>17604637</v>
      </c>
      <c r="P13" s="15"/>
      <c r="Q13" s="28">
        <v>447715122</v>
      </c>
      <c r="R13" s="40"/>
      <c r="S13" s="28">
        <f>10624501+12523+87126+14563</f>
        <v>10738713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ht="12.75" customHeight="1">
      <c r="A14" s="107" t="s">
        <v>236</v>
      </c>
      <c r="B14" s="22" t="str">
        <f t="shared" si="0"/>
        <v>5 </v>
      </c>
      <c r="C14" s="28">
        <v>135089535</v>
      </c>
      <c r="D14" s="28"/>
      <c r="E14" s="28">
        <v>64340111</v>
      </c>
      <c r="F14" s="28"/>
      <c r="G14" s="28">
        <v>9208394</v>
      </c>
      <c r="H14" s="28"/>
      <c r="I14" s="28">
        <v>0</v>
      </c>
      <c r="J14" s="28"/>
      <c r="K14" s="28">
        <v>252618598</v>
      </c>
      <c r="L14" s="28"/>
      <c r="M14" s="28">
        <v>0</v>
      </c>
      <c r="N14" s="15"/>
      <c r="O14" s="15">
        <f t="shared" si="1"/>
        <v>91217961</v>
      </c>
      <c r="P14" s="15"/>
      <c r="Q14" s="28">
        <v>552474599</v>
      </c>
      <c r="R14" s="40"/>
      <c r="S14" s="28">
        <f>117429+169113+115216765</f>
        <v>115503307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ht="12.75" customHeight="1">
      <c r="A15" s="107" t="s">
        <v>237</v>
      </c>
      <c r="B15" s="22" t="str">
        <f t="shared" si="0"/>
        <v>6 </v>
      </c>
      <c r="C15" s="111">
        <v>94586302</v>
      </c>
      <c r="D15" s="111"/>
      <c r="E15" s="111">
        <v>71333456</v>
      </c>
      <c r="F15" s="111"/>
      <c r="G15" s="111">
        <v>0</v>
      </c>
      <c r="H15" s="111"/>
      <c r="I15" s="111">
        <v>33722033</v>
      </c>
      <c r="J15" s="111"/>
      <c r="K15" s="111">
        <v>260776060</v>
      </c>
      <c r="L15" s="111"/>
      <c r="M15" s="111">
        <v>3415247</v>
      </c>
      <c r="N15" s="106"/>
      <c r="O15" s="106">
        <f t="shared" si="1"/>
        <v>34158384</v>
      </c>
      <c r="P15" s="106"/>
      <c r="Q15" s="111">
        <v>497991482</v>
      </c>
      <c r="R15" s="119"/>
      <c r="S15" s="111">
        <f>1039253+2876772+210348+20844957</f>
        <v>24971330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ht="12.75" customHeight="1">
      <c r="A16" s="107" t="s">
        <v>238</v>
      </c>
      <c r="B16" s="22" t="str">
        <f t="shared" si="0"/>
        <v>7 </v>
      </c>
      <c r="C16" s="28">
        <v>48113981</v>
      </c>
      <c r="D16" s="28"/>
      <c r="E16" s="28">
        <v>15165363</v>
      </c>
      <c r="F16" s="28"/>
      <c r="G16" s="28">
        <v>0</v>
      </c>
      <c r="H16" s="28"/>
      <c r="I16" s="28">
        <v>26609384</v>
      </c>
      <c r="J16" s="28"/>
      <c r="K16" s="28">
        <v>144045900</v>
      </c>
      <c r="L16" s="28"/>
      <c r="M16" s="28">
        <v>721425</v>
      </c>
      <c r="N16" s="15"/>
      <c r="O16" s="15">
        <f t="shared" si="1"/>
        <v>14587093</v>
      </c>
      <c r="P16" s="15"/>
      <c r="Q16" s="28">
        <v>249243146</v>
      </c>
      <c r="R16" s="40"/>
      <c r="S16" s="28">
        <f>1445995+23958</f>
        <v>1469953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135" customFormat="1" ht="12.75" customHeight="1">
      <c r="A17" s="118" t="s">
        <v>250</v>
      </c>
      <c r="B17" s="118"/>
      <c r="C17" s="111">
        <v>69674972</v>
      </c>
      <c r="D17" s="111"/>
      <c r="E17" s="111">
        <v>34238835</v>
      </c>
      <c r="F17" s="111"/>
      <c r="G17" s="111">
        <v>2454986</v>
      </c>
      <c r="H17" s="111"/>
      <c r="I17" s="111">
        <v>42536158</v>
      </c>
      <c r="J17" s="111"/>
      <c r="K17" s="111">
        <v>119929792</v>
      </c>
      <c r="L17" s="111"/>
      <c r="M17" s="111">
        <v>2578575</v>
      </c>
      <c r="N17" s="106"/>
      <c r="O17" s="106">
        <f t="shared" si="1"/>
        <v>21720082</v>
      </c>
      <c r="P17" s="106"/>
      <c r="Q17" s="111">
        <v>293133400</v>
      </c>
      <c r="R17" s="119"/>
      <c r="S17" s="111">
        <f>83744+3315000+1218866+4817939</f>
        <v>9435549</v>
      </c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</row>
    <row r="18" spans="1:255" ht="12.75" customHeight="1">
      <c r="A18" s="107" t="s">
        <v>239</v>
      </c>
      <c r="B18" s="22" t="str">
        <f t="shared" si="0"/>
        <v>9 </v>
      </c>
      <c r="C18" s="111">
        <v>46399167</v>
      </c>
      <c r="D18" s="111"/>
      <c r="E18" s="111">
        <v>22873860</v>
      </c>
      <c r="F18" s="111"/>
      <c r="G18" s="111">
        <v>0</v>
      </c>
      <c r="H18" s="111"/>
      <c r="I18" s="111">
        <v>17376725</v>
      </c>
      <c r="J18" s="111"/>
      <c r="K18" s="111">
        <v>112814605</v>
      </c>
      <c r="L18" s="111"/>
      <c r="M18" s="111">
        <v>252572</v>
      </c>
      <c r="N18" s="106"/>
      <c r="O18" s="106">
        <f t="shared" si="1"/>
        <v>24427794</v>
      </c>
      <c r="P18" s="106"/>
      <c r="Q18" s="111">
        <v>224144723</v>
      </c>
      <c r="R18" s="119"/>
      <c r="S18" s="111">
        <v>11332205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12.75" customHeight="1">
      <c r="A19" s="107" t="s">
        <v>240</v>
      </c>
      <c r="B19" s="22" t="str">
        <f t="shared" si="0"/>
        <v>10</v>
      </c>
      <c r="C19" s="111">
        <v>29942112</v>
      </c>
      <c r="D19" s="111"/>
      <c r="E19" s="111">
        <v>27981246</v>
      </c>
      <c r="F19" s="111"/>
      <c r="G19" s="111">
        <v>0</v>
      </c>
      <c r="H19" s="111"/>
      <c r="I19" s="111">
        <v>4098080</v>
      </c>
      <c r="J19" s="111"/>
      <c r="K19" s="111">
        <v>119353667</v>
      </c>
      <c r="L19" s="111"/>
      <c r="M19" s="111">
        <v>352843</v>
      </c>
      <c r="N19" s="106"/>
      <c r="O19" s="106">
        <f t="shared" si="1"/>
        <v>29516023</v>
      </c>
      <c r="P19" s="106"/>
      <c r="Q19" s="111">
        <v>211243971</v>
      </c>
      <c r="R19" s="119"/>
      <c r="S19" s="111">
        <f>22360+430000+5860000+11863267</f>
        <v>18175627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</row>
    <row r="20" spans="1:255" ht="12.75" customHeight="1">
      <c r="A20" s="107" t="s">
        <v>241</v>
      </c>
      <c r="B20" s="22" t="str">
        <f t="shared" si="0"/>
        <v>11</v>
      </c>
      <c r="C20" s="111">
        <v>47348355</v>
      </c>
      <c r="D20" s="111"/>
      <c r="E20" s="111">
        <v>15529714</v>
      </c>
      <c r="F20" s="111"/>
      <c r="G20" s="111">
        <v>3633108</v>
      </c>
      <c r="H20" s="111"/>
      <c r="I20" s="111">
        <v>14612628</v>
      </c>
      <c r="J20" s="111"/>
      <c r="K20" s="111">
        <v>77240368</v>
      </c>
      <c r="L20" s="111"/>
      <c r="M20" s="111">
        <v>3094974</v>
      </c>
      <c r="N20" s="106"/>
      <c r="O20" s="106">
        <f t="shared" si="1"/>
        <v>17699037</v>
      </c>
      <c r="P20" s="106"/>
      <c r="Q20" s="111">
        <v>179158184</v>
      </c>
      <c r="R20" s="119"/>
      <c r="S20" s="111">
        <f>43642+2007000+9017449</f>
        <v>11068091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</row>
    <row r="21" spans="1:255" ht="12.75" customHeight="1">
      <c r="A21" s="107" t="s">
        <v>235</v>
      </c>
      <c r="B21" s="22" t="str">
        <f t="shared" si="0"/>
        <v>12</v>
      </c>
      <c r="C21" s="28">
        <v>31825677</v>
      </c>
      <c r="D21" s="28"/>
      <c r="E21" s="28">
        <v>21597332</v>
      </c>
      <c r="F21" s="28"/>
      <c r="G21" s="28">
        <v>0</v>
      </c>
      <c r="H21" s="28"/>
      <c r="I21" s="28">
        <v>8705405</v>
      </c>
      <c r="J21" s="28"/>
      <c r="K21" s="28">
        <v>87541757</v>
      </c>
      <c r="L21" s="28"/>
      <c r="M21" s="28">
        <v>603513</v>
      </c>
      <c r="N21" s="15"/>
      <c r="O21" s="15">
        <f t="shared" si="1"/>
        <v>11934532</v>
      </c>
      <c r="P21" s="15"/>
      <c r="Q21" s="28">
        <v>162208216</v>
      </c>
      <c r="R21" s="40"/>
      <c r="S21" s="28">
        <f>21299+10472+5075000+4440000+5448+2155000+6626264</f>
        <v>18333483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ht="12.75" customHeight="1">
      <c r="A22" s="107" t="s">
        <v>242</v>
      </c>
      <c r="B22" s="22" t="str">
        <f t="shared" si="0"/>
        <v>13</v>
      </c>
      <c r="C22" s="28">
        <v>65343356</v>
      </c>
      <c r="D22" s="28"/>
      <c r="E22" s="28">
        <v>0</v>
      </c>
      <c r="F22" s="28"/>
      <c r="G22" s="28">
        <v>0</v>
      </c>
      <c r="H22" s="28"/>
      <c r="I22" s="28">
        <v>13432656</v>
      </c>
      <c r="J22" s="28"/>
      <c r="K22" s="28">
        <v>35752753</v>
      </c>
      <c r="L22" s="28"/>
      <c r="M22" s="28">
        <v>1796592</v>
      </c>
      <c r="N22" s="15"/>
      <c r="O22" s="15">
        <f t="shared" si="1"/>
        <v>12277405</v>
      </c>
      <c r="P22" s="15"/>
      <c r="Q22" s="28">
        <v>128602762</v>
      </c>
      <c r="R22" s="40"/>
      <c r="S22" s="28">
        <f>2755000+8590+4570076</f>
        <v>7333666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12.75" customHeight="1">
      <c r="A23" s="107" t="s">
        <v>243</v>
      </c>
      <c r="B23" s="22" t="str">
        <f t="shared" si="0"/>
        <v>14</v>
      </c>
      <c r="C23" s="28">
        <v>20423608</v>
      </c>
      <c r="D23" s="28"/>
      <c r="E23" s="28">
        <v>22773891</v>
      </c>
      <c r="F23" s="28"/>
      <c r="G23" s="28">
        <v>780912</v>
      </c>
      <c r="H23" s="28"/>
      <c r="I23" s="28">
        <v>19171936</v>
      </c>
      <c r="J23" s="28"/>
      <c r="K23" s="28">
        <v>47827802</v>
      </c>
      <c r="L23" s="28"/>
      <c r="M23" s="28">
        <v>1200880</v>
      </c>
      <c r="N23" s="15"/>
      <c r="O23" s="15">
        <f t="shared" si="1"/>
        <v>11182807</v>
      </c>
      <c r="P23" s="15"/>
      <c r="Q23" s="28">
        <v>123361836</v>
      </c>
      <c r="R23" s="40"/>
      <c r="S23" s="28">
        <f>9465069+1306680</f>
        <v>10771749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ht="12.75" customHeight="1">
      <c r="A24" s="107" t="s">
        <v>249</v>
      </c>
      <c r="B24" s="22" t="str">
        <f t="shared" si="0"/>
        <v>15</v>
      </c>
      <c r="C24" s="111">
        <v>24238657</v>
      </c>
      <c r="D24" s="111"/>
      <c r="E24" s="111">
        <v>9652973</v>
      </c>
      <c r="F24" s="111"/>
      <c r="G24" s="111">
        <v>1580720</v>
      </c>
      <c r="H24" s="111"/>
      <c r="I24" s="111">
        <v>15624183</v>
      </c>
      <c r="J24" s="111"/>
      <c r="K24" s="111">
        <v>42385418</v>
      </c>
      <c r="L24" s="111"/>
      <c r="M24" s="111">
        <v>3308693</v>
      </c>
      <c r="N24" s="106"/>
      <c r="O24" s="106">
        <f t="shared" si="1"/>
        <v>9274730</v>
      </c>
      <c r="P24" s="106"/>
      <c r="Q24" s="111">
        <v>106065374</v>
      </c>
      <c r="R24" s="119"/>
      <c r="S24" s="111">
        <f>36833+3121574</f>
        <v>3158407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1:255" ht="12.75" customHeight="1">
      <c r="A25" s="107" t="s">
        <v>244</v>
      </c>
      <c r="B25" s="22" t="str">
        <f t="shared" si="0"/>
        <v>16</v>
      </c>
      <c r="C25" s="28">
        <v>21668073</v>
      </c>
      <c r="D25" s="28"/>
      <c r="E25" s="28">
        <v>35941919</v>
      </c>
      <c r="F25" s="28"/>
      <c r="G25" s="28">
        <v>69470</v>
      </c>
      <c r="H25" s="28"/>
      <c r="I25" s="28">
        <v>16651732</v>
      </c>
      <c r="J25" s="28"/>
      <c r="K25" s="28">
        <v>29556461</v>
      </c>
      <c r="L25" s="28"/>
      <c r="M25" s="28">
        <v>1363074</v>
      </c>
      <c r="N25" s="15"/>
      <c r="O25" s="15">
        <f t="shared" si="1"/>
        <v>9342391</v>
      </c>
      <c r="P25" s="15"/>
      <c r="Q25" s="28">
        <v>114593120</v>
      </c>
      <c r="R25" s="40"/>
      <c r="S25" s="28">
        <f>16303+261500+14095679</f>
        <v>14373482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</row>
    <row r="26" spans="1:255" ht="12.75" customHeight="1">
      <c r="A26" s="107" t="s">
        <v>245</v>
      </c>
      <c r="B26" s="22" t="str">
        <f t="shared" si="0"/>
        <v>17</v>
      </c>
      <c r="C26" s="111">
        <v>46596606</v>
      </c>
      <c r="D26" s="111"/>
      <c r="E26" s="111">
        <v>0</v>
      </c>
      <c r="F26" s="111"/>
      <c r="G26" s="111">
        <v>0</v>
      </c>
      <c r="H26" s="111"/>
      <c r="I26" s="111">
        <v>9063098</v>
      </c>
      <c r="J26" s="111"/>
      <c r="K26" s="111">
        <v>47628133</v>
      </c>
      <c r="L26" s="111"/>
      <c r="M26" s="111">
        <v>145045</v>
      </c>
      <c r="N26" s="106"/>
      <c r="O26" s="106">
        <f t="shared" si="1"/>
        <v>6979026</v>
      </c>
      <c r="P26" s="106"/>
      <c r="Q26" s="111">
        <v>110411908</v>
      </c>
      <c r="R26" s="119"/>
      <c r="S26" s="111">
        <f>32464+6338099</f>
        <v>6370563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</row>
    <row r="27" spans="1:255" ht="12.75" customHeight="1">
      <c r="A27" s="107" t="s">
        <v>246</v>
      </c>
      <c r="B27" s="22" t="str">
        <f t="shared" si="0"/>
        <v>18</v>
      </c>
      <c r="C27" s="28">
        <v>24797602</v>
      </c>
      <c r="D27" s="28"/>
      <c r="E27" s="28">
        <v>15133051</v>
      </c>
      <c r="F27" s="28"/>
      <c r="G27" s="28">
        <v>0</v>
      </c>
      <c r="H27" s="28"/>
      <c r="I27" s="28">
        <v>14750779</v>
      </c>
      <c r="J27" s="28"/>
      <c r="K27" s="28">
        <v>55266725</v>
      </c>
      <c r="L27" s="28"/>
      <c r="M27" s="28">
        <v>156716</v>
      </c>
      <c r="N27" s="15"/>
      <c r="O27" s="15">
        <f t="shared" si="1"/>
        <v>9266315</v>
      </c>
      <c r="P27" s="15"/>
      <c r="Q27" s="28">
        <v>119371188</v>
      </c>
      <c r="R27" s="40"/>
      <c r="S27" s="28">
        <v>703837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</row>
    <row r="28" spans="1:255" ht="12.75" customHeight="1">
      <c r="A28" s="107" t="s">
        <v>247</v>
      </c>
      <c r="B28" s="22" t="str">
        <f t="shared" si="0"/>
        <v>19</v>
      </c>
      <c r="C28" s="28">
        <v>52213192</v>
      </c>
      <c r="D28" s="28"/>
      <c r="E28" s="28">
        <v>0</v>
      </c>
      <c r="F28" s="28"/>
      <c r="G28" s="28">
        <v>0</v>
      </c>
      <c r="H28" s="28"/>
      <c r="I28" s="28">
        <v>18278082</v>
      </c>
      <c r="J28" s="28"/>
      <c r="K28" s="28">
        <v>45155356</v>
      </c>
      <c r="L28" s="28"/>
      <c r="M28" s="28">
        <v>559380</v>
      </c>
      <c r="N28" s="15"/>
      <c r="O28" s="15">
        <f t="shared" si="1"/>
        <v>8812450</v>
      </c>
      <c r="P28" s="15"/>
      <c r="Q28" s="28">
        <v>125018460</v>
      </c>
      <c r="R28" s="40"/>
      <c r="S28" s="28">
        <f>21672+10840000+2974959</f>
        <v>13836631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</row>
    <row r="29" spans="1:255" ht="12.75" customHeight="1">
      <c r="A29" s="107" t="s">
        <v>248</v>
      </c>
      <c r="B29" s="22" t="str">
        <f t="shared" si="0"/>
        <v>20</v>
      </c>
      <c r="C29" s="28">
        <v>18034140</v>
      </c>
      <c r="D29" s="28"/>
      <c r="E29" s="28">
        <v>18791959</v>
      </c>
      <c r="F29" s="28"/>
      <c r="G29" s="28">
        <v>0</v>
      </c>
      <c r="H29" s="28"/>
      <c r="I29" s="28">
        <v>16734324</v>
      </c>
      <c r="J29" s="28"/>
      <c r="K29" s="28">
        <v>68162564</v>
      </c>
      <c r="L29" s="28"/>
      <c r="M29" s="28">
        <v>93279</v>
      </c>
      <c r="N29" s="15"/>
      <c r="O29" s="15">
        <f t="shared" si="1"/>
        <v>5666814</v>
      </c>
      <c r="P29" s="15"/>
      <c r="Q29" s="28">
        <v>127483080</v>
      </c>
      <c r="R29" s="40"/>
      <c r="S29" s="28">
        <v>9110465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</row>
    <row r="30" spans="1:255" ht="12.75" customHeight="1">
      <c r="A30" s="107"/>
      <c r="B30" s="29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06"/>
      <c r="O30" s="106"/>
      <c r="P30" s="106"/>
      <c r="Q30" s="111"/>
      <c r="R30" s="119"/>
      <c r="S30" s="11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</row>
    <row r="31" spans="1:255" ht="12.75" customHeight="1">
      <c r="A31" s="107"/>
      <c r="B31" s="29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06"/>
      <c r="O31" s="106"/>
      <c r="P31" s="106"/>
      <c r="Q31" s="111"/>
      <c r="R31" s="119"/>
      <c r="S31" s="11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</row>
    <row r="32" spans="1:255" ht="12.75" customHeight="1">
      <c r="A32" s="107"/>
      <c r="B32" s="29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06"/>
      <c r="O32" s="106"/>
      <c r="P32" s="106"/>
      <c r="Q32" s="111"/>
      <c r="R32" s="119"/>
      <c r="S32" s="11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printOptions/>
  <pageMargins left="1" right="0.75" top="0.5" bottom="0.5" header="0" footer="0.25"/>
  <pageSetup firstPageNumber="32" useFirstPageNumber="1" horizontalDpi="600" verticalDpi="600" orientation="portrait" pageOrder="overThenDown" scale="95" r:id="rId1"/>
  <headerFooter alignWithMargins="0">
    <oddFooter>&amp;C&amp;"Times New Roman,Regular"&amp;11&amp;P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M525"/>
  <sheetViews>
    <sheetView zoomScaleSheetLayoutView="100" zoomScalePageLayoutView="0" workbookViewId="0" topLeftCell="A1">
      <pane xSplit="1" ySplit="8" topLeftCell="B9" activePane="bottomRight" state="frozen"/>
      <selection pane="topLeft" activeCell="T33" sqref="T33"/>
      <selection pane="topRight" activeCell="T33" sqref="T33"/>
      <selection pane="bottomLeft" activeCell="T33" sqref="T33"/>
      <selection pane="bottomRight" activeCell="A17" sqref="A17:IV17"/>
    </sheetView>
  </sheetViews>
  <sheetFormatPr defaultColWidth="9.140625" defaultRowHeight="12" customHeight="1"/>
  <cols>
    <col min="1" max="1" width="15.7109375" style="31" customWidth="1"/>
    <col min="2" max="2" width="1.7109375" style="31" customWidth="1"/>
    <col min="3" max="3" width="11.7109375" style="31" customWidth="1"/>
    <col min="4" max="4" width="1.7109375" style="31" customWidth="1"/>
    <col min="5" max="5" width="11.7109375" style="31" customWidth="1"/>
    <col min="6" max="6" width="1.7109375" style="31" customWidth="1"/>
    <col min="7" max="7" width="11.7109375" style="31" customWidth="1"/>
    <col min="8" max="8" width="1.7109375" style="31" customWidth="1"/>
    <col min="9" max="9" width="11.7109375" style="31" customWidth="1"/>
    <col min="10" max="10" width="1.7109375" style="31" customWidth="1"/>
    <col min="11" max="11" width="11.7109375" style="31" customWidth="1"/>
    <col min="12" max="12" width="1.7109375" style="31" customWidth="1"/>
    <col min="13" max="13" width="11.7109375" style="31" customWidth="1"/>
    <col min="14" max="14" width="1.7109375" style="31" customWidth="1"/>
    <col min="15" max="15" width="11.7109375" style="31" customWidth="1"/>
    <col min="16" max="16" width="1.7109375" style="31" customWidth="1"/>
    <col min="17" max="17" width="10.7109375" style="31" customWidth="1"/>
    <col min="18" max="18" width="1.7109375" style="31" customWidth="1"/>
    <col min="19" max="19" width="10.7109375" style="31" customWidth="1"/>
    <col min="20" max="20" width="1.7109375" style="31" customWidth="1"/>
    <col min="21" max="21" width="10.7109375" style="31" customWidth="1"/>
    <col min="22" max="22" width="1.7109375" style="31" customWidth="1"/>
    <col min="23" max="23" width="10.7109375" style="31" customWidth="1"/>
    <col min="24" max="24" width="1.7109375" style="31" customWidth="1"/>
    <col min="25" max="25" width="10.7109375" style="31" customWidth="1"/>
    <col min="26" max="26" width="1.7109375" style="31" customWidth="1"/>
    <col min="27" max="27" width="10.7109375" style="31" customWidth="1"/>
    <col min="28" max="28" width="1.7109375" style="31" customWidth="1"/>
    <col min="29" max="29" width="11.7109375" style="31" customWidth="1"/>
    <col min="30" max="30" width="2.7109375" style="31" customWidth="1"/>
    <col min="31" max="31" width="11.7109375" style="31" customWidth="1"/>
    <col min="32" max="32" width="3.7109375" style="25" customWidth="1"/>
    <col min="33" max="33" width="11.140625" style="25" bestFit="1" customWidth="1"/>
    <col min="34" max="34" width="3.421875" style="25" customWidth="1"/>
    <col min="35" max="35" width="11.421875" style="25" bestFit="1" customWidth="1"/>
    <col min="36" max="36" width="3.28125" style="25" customWidth="1"/>
    <col min="37" max="37" width="10.8515625" style="25" bestFit="1" customWidth="1"/>
    <col min="38" max="38" width="3.00390625" style="25" customWidth="1"/>
    <col min="39" max="39" width="14.140625" style="85" customWidth="1"/>
    <col min="40" max="16384" width="9.140625" style="25" customWidth="1"/>
  </cols>
  <sheetData>
    <row r="1" spans="1:33" s="58" customFormat="1" ht="12.75" customHeight="1">
      <c r="A1" s="55" t="s">
        <v>188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39"/>
      <c r="AF1" s="43"/>
      <c r="AG1" s="57"/>
    </row>
    <row r="2" spans="1:33" s="58" customFormat="1" ht="12.75" customHeight="1">
      <c r="A2" s="55" t="s">
        <v>229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39"/>
      <c r="AF2" s="43"/>
      <c r="AG2" s="57"/>
    </row>
    <row r="3" spans="1:33" s="58" customFormat="1" ht="12.75" customHeight="1">
      <c r="A3" s="43" t="s">
        <v>224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39"/>
      <c r="AF3" s="43"/>
      <c r="AG3" s="57"/>
    </row>
    <row r="4" spans="1:33" ht="12.75" customHeight="1">
      <c r="A4" s="51" t="s">
        <v>173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9"/>
      <c r="AF4" s="30"/>
      <c r="AG4" s="59"/>
    </row>
    <row r="5" spans="1:33" ht="12.75" customHeight="1">
      <c r="A5" s="5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9"/>
      <c r="AF5" s="30"/>
      <c r="AG5" s="59"/>
    </row>
    <row r="6" spans="1:37" ht="12.75" customHeight="1">
      <c r="A6" s="5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9"/>
      <c r="AF6" s="30"/>
      <c r="AG6" s="59" t="s">
        <v>193</v>
      </c>
      <c r="AI6" s="25" t="s">
        <v>198</v>
      </c>
      <c r="AK6" s="25" t="s">
        <v>201</v>
      </c>
    </row>
    <row r="7" spans="1:39" ht="12.75" customHeight="1">
      <c r="A7" s="18"/>
      <c r="B7" s="18"/>
      <c r="C7" s="18" t="s">
        <v>174</v>
      </c>
      <c r="D7" s="18"/>
      <c r="E7" s="18"/>
      <c r="F7" s="18"/>
      <c r="G7" s="18" t="s">
        <v>81</v>
      </c>
      <c r="H7" s="18"/>
      <c r="I7" s="18" t="s">
        <v>81</v>
      </c>
      <c r="J7" s="18"/>
      <c r="K7" s="18"/>
      <c r="L7" s="18"/>
      <c r="M7" s="18" t="s">
        <v>82</v>
      </c>
      <c r="N7" s="18"/>
      <c r="O7" s="18" t="s">
        <v>158</v>
      </c>
      <c r="P7" s="18"/>
      <c r="Q7" s="18" t="s">
        <v>83</v>
      </c>
      <c r="R7" s="18"/>
      <c r="S7" s="18" t="s">
        <v>95</v>
      </c>
      <c r="T7" s="18"/>
      <c r="U7" s="18" t="s">
        <v>84</v>
      </c>
      <c r="V7" s="18"/>
      <c r="W7" s="18" t="s">
        <v>1</v>
      </c>
      <c r="X7" s="18"/>
      <c r="Y7" s="18"/>
      <c r="Z7" s="18"/>
      <c r="AA7" s="18" t="s">
        <v>96</v>
      </c>
      <c r="AB7" s="18"/>
      <c r="AC7" s="22"/>
      <c r="AD7" s="22"/>
      <c r="AE7" s="29" t="s">
        <v>97</v>
      </c>
      <c r="AF7" s="30"/>
      <c r="AG7" s="81" t="s">
        <v>197</v>
      </c>
      <c r="AH7" s="31"/>
      <c r="AI7" s="31" t="s">
        <v>199</v>
      </c>
      <c r="AJ7" s="31"/>
      <c r="AK7" s="31" t="s">
        <v>202</v>
      </c>
      <c r="AL7" s="31"/>
      <c r="AM7" s="31" t="s">
        <v>204</v>
      </c>
    </row>
    <row r="8" spans="1:39" ht="12.75" customHeight="1">
      <c r="A8" s="47" t="s">
        <v>5</v>
      </c>
      <c r="B8" s="22"/>
      <c r="C8" s="47" t="s">
        <v>175</v>
      </c>
      <c r="D8" s="22"/>
      <c r="E8" s="47" t="s">
        <v>85</v>
      </c>
      <c r="F8" s="22"/>
      <c r="G8" s="47" t="s">
        <v>86</v>
      </c>
      <c r="H8" s="22"/>
      <c r="I8" s="47" t="s">
        <v>87</v>
      </c>
      <c r="J8" s="22"/>
      <c r="K8" s="47" t="s">
        <v>88</v>
      </c>
      <c r="L8" s="22"/>
      <c r="M8" s="47" t="s">
        <v>8</v>
      </c>
      <c r="N8" s="22"/>
      <c r="O8" s="47" t="s">
        <v>159</v>
      </c>
      <c r="P8" s="22"/>
      <c r="Q8" s="47" t="s">
        <v>176</v>
      </c>
      <c r="R8" s="22"/>
      <c r="S8" s="47" t="s">
        <v>89</v>
      </c>
      <c r="T8" s="22"/>
      <c r="U8" s="47" t="s">
        <v>90</v>
      </c>
      <c r="V8" s="22"/>
      <c r="W8" s="47" t="s">
        <v>9</v>
      </c>
      <c r="X8" s="22"/>
      <c r="Y8" s="47" t="s">
        <v>91</v>
      </c>
      <c r="Z8" s="22"/>
      <c r="AA8" s="47" t="s">
        <v>92</v>
      </c>
      <c r="AB8" s="22"/>
      <c r="AC8" s="47" t="s">
        <v>4</v>
      </c>
      <c r="AD8" s="22"/>
      <c r="AE8" s="29" t="s">
        <v>89</v>
      </c>
      <c r="AF8" s="30"/>
      <c r="AG8" s="81" t="s">
        <v>194</v>
      </c>
      <c r="AH8" s="31"/>
      <c r="AI8" s="31" t="s">
        <v>200</v>
      </c>
      <c r="AJ8" s="31"/>
      <c r="AK8" s="31" t="s">
        <v>203</v>
      </c>
      <c r="AL8" s="31"/>
      <c r="AM8" s="31" t="s">
        <v>205</v>
      </c>
    </row>
    <row r="9" spans="1:39" ht="12.75" customHeight="1">
      <c r="A9" s="18"/>
      <c r="B9" s="22"/>
      <c r="C9" s="18"/>
      <c r="D9" s="22"/>
      <c r="E9" s="18"/>
      <c r="F9" s="22"/>
      <c r="G9" s="18"/>
      <c r="H9" s="22"/>
      <c r="I9" s="18"/>
      <c r="J9" s="22"/>
      <c r="K9" s="18"/>
      <c r="L9" s="22"/>
      <c r="M9" s="18"/>
      <c r="N9" s="22"/>
      <c r="O9" s="18"/>
      <c r="P9" s="22"/>
      <c r="Q9" s="18"/>
      <c r="R9" s="22"/>
      <c r="S9" s="18"/>
      <c r="T9" s="22"/>
      <c r="U9" s="18"/>
      <c r="V9" s="22"/>
      <c r="W9" s="18"/>
      <c r="X9" s="22"/>
      <c r="Y9" s="18"/>
      <c r="Z9" s="22"/>
      <c r="AA9" s="18"/>
      <c r="AB9" s="22"/>
      <c r="AC9" s="18"/>
      <c r="AD9" s="22"/>
      <c r="AE9" s="29"/>
      <c r="AF9" s="30"/>
      <c r="AG9" s="81"/>
      <c r="AH9" s="31"/>
      <c r="AI9" s="31"/>
      <c r="AJ9" s="31"/>
      <c r="AK9" s="31"/>
      <c r="AL9" s="31"/>
      <c r="AM9" s="31"/>
    </row>
    <row r="10" spans="1:39" ht="12.75" customHeight="1">
      <c r="A10" s="107" t="s">
        <v>231</v>
      </c>
      <c r="B10" s="22" t="str">
        <f aca="true" t="shared" si="0" ref="B10:B29">LEFT(A10,2)</f>
        <v>1 </v>
      </c>
      <c r="C10" s="28">
        <v>93460</v>
      </c>
      <c r="D10" s="28"/>
      <c r="E10" s="28">
        <v>348986</v>
      </c>
      <c r="F10" s="28"/>
      <c r="G10" s="28">
        <v>0</v>
      </c>
      <c r="H10" s="28"/>
      <c r="I10" s="28">
        <v>43766</v>
      </c>
      <c r="J10" s="28"/>
      <c r="K10" s="28">
        <v>219532</v>
      </c>
      <c r="L10" s="28"/>
      <c r="M10" s="28">
        <v>670037</v>
      </c>
      <c r="N10" s="28"/>
      <c r="O10" s="28">
        <v>49312</v>
      </c>
      <c r="P10" s="28"/>
      <c r="Q10" s="28">
        <v>0</v>
      </c>
      <c r="R10" s="28"/>
      <c r="S10" s="28">
        <v>0</v>
      </c>
      <c r="T10" s="28"/>
      <c r="U10" s="28">
        <v>75278</v>
      </c>
      <c r="V10" s="28"/>
      <c r="W10" s="28">
        <v>0</v>
      </c>
      <c r="X10" s="28"/>
      <c r="Y10" s="28">
        <v>23166</v>
      </c>
      <c r="Z10" s="28"/>
      <c r="AA10" s="28">
        <v>15086</v>
      </c>
      <c r="AB10" s="28"/>
      <c r="AC10" s="28">
        <f aca="true" t="shared" si="1" ref="AC10:AC29">SUM(C10:AA10)</f>
        <v>1538623</v>
      </c>
      <c r="AD10" s="28"/>
      <c r="AE10" s="84">
        <f aca="true" t="shared" si="2" ref="AE10:AE29">SUM(C10:S10)</f>
        <v>1425093</v>
      </c>
      <c r="AF10" s="30"/>
      <c r="AG10" s="28">
        <f>4325+230978</f>
        <v>235303</v>
      </c>
      <c r="AH10" s="31"/>
      <c r="AI10" s="28">
        <v>445342</v>
      </c>
      <c r="AJ10" s="31"/>
      <c r="AK10" s="28">
        <v>0</v>
      </c>
      <c r="AL10" s="31"/>
      <c r="AM10" s="31">
        <f>+'Gov Fd Rv'!Q27+'Gov Fd Rv'!S27-'Gov Fnd Exp'!AC27-AG10+AI10-'Gov Fd BS'!O27+AK10</f>
        <v>-65670267</v>
      </c>
    </row>
    <row r="11" spans="1:39" ht="12.75" customHeight="1">
      <c r="A11" s="107" t="s">
        <v>232</v>
      </c>
      <c r="B11" s="22" t="str">
        <f t="shared" si="0"/>
        <v>2 </v>
      </c>
      <c r="C11" s="28">
        <v>110929000</v>
      </c>
      <c r="D11" s="28"/>
      <c r="E11" s="28">
        <v>69379000</v>
      </c>
      <c r="F11" s="28"/>
      <c r="G11" s="28">
        <v>126662000</v>
      </c>
      <c r="H11" s="28"/>
      <c r="I11" s="28">
        <v>38576000</v>
      </c>
      <c r="J11" s="28"/>
      <c r="K11" s="28">
        <v>340455000</v>
      </c>
      <c r="L11" s="28"/>
      <c r="M11" s="28">
        <v>398548000</v>
      </c>
      <c r="N11" s="28"/>
      <c r="O11" s="28">
        <v>3436000</v>
      </c>
      <c r="P11" s="28"/>
      <c r="Q11" s="28">
        <v>19395000</v>
      </c>
      <c r="R11" s="28"/>
      <c r="S11" s="28">
        <v>0</v>
      </c>
      <c r="T11" s="28"/>
      <c r="U11" s="28">
        <v>63959000</v>
      </c>
      <c r="V11" s="28"/>
      <c r="W11" s="28">
        <v>14559000</v>
      </c>
      <c r="X11" s="28"/>
      <c r="Y11" s="28">
        <v>25696000</v>
      </c>
      <c r="Z11" s="28"/>
      <c r="AA11" s="28">
        <f>13736000+30000</f>
        <v>13766000</v>
      </c>
      <c r="AB11" s="28"/>
      <c r="AC11" s="28">
        <f t="shared" si="1"/>
        <v>1225360000</v>
      </c>
      <c r="AD11" s="28"/>
      <c r="AE11" s="84">
        <f t="shared" si="2"/>
        <v>1107380000</v>
      </c>
      <c r="AF11" s="30"/>
      <c r="AG11" s="28">
        <v>30127000</v>
      </c>
      <c r="AH11" s="31"/>
      <c r="AI11" s="28">
        <v>778132000</v>
      </c>
      <c r="AJ11" s="31"/>
      <c r="AK11" s="28">
        <v>0</v>
      </c>
      <c r="AL11" s="31"/>
      <c r="AM11" s="31" t="e">
        <f>+'Gov Fd Rv'!#REF!+'Gov Fd Rv'!#REF!-'Gov Fnd Exp'!#REF!-AG11+AI11-'Gov Fd BS'!#REF!+AK11</f>
        <v>#REF!</v>
      </c>
    </row>
    <row r="12" spans="1:39" ht="12.75" customHeight="1">
      <c r="A12" s="107" t="s">
        <v>233</v>
      </c>
      <c r="B12" s="22" t="str">
        <f t="shared" si="0"/>
        <v>3 </v>
      </c>
      <c r="C12" s="28">
        <v>72074000</v>
      </c>
      <c r="D12" s="28"/>
      <c r="E12" s="28">
        <v>121535000</v>
      </c>
      <c r="F12" s="28"/>
      <c r="G12" s="28">
        <v>121060000</v>
      </c>
      <c r="H12" s="28"/>
      <c r="I12" s="28">
        <v>34056000</v>
      </c>
      <c r="J12" s="28"/>
      <c r="K12" s="28">
        <v>240811000</v>
      </c>
      <c r="L12" s="28"/>
      <c r="M12" s="28">
        <v>352722000</v>
      </c>
      <c r="N12" s="28"/>
      <c r="O12" s="28">
        <v>6175000</v>
      </c>
      <c r="P12" s="28"/>
      <c r="Q12" s="28">
        <v>7604000</v>
      </c>
      <c r="R12" s="28"/>
      <c r="S12" s="28">
        <v>6028000</v>
      </c>
      <c r="T12" s="28"/>
      <c r="U12" s="28">
        <v>2083000</v>
      </c>
      <c r="V12" s="28"/>
      <c r="W12" s="28">
        <v>0</v>
      </c>
      <c r="X12" s="28"/>
      <c r="Y12" s="28">
        <v>12779000</v>
      </c>
      <c r="Z12" s="28"/>
      <c r="AA12" s="28">
        <f>4741000+225000+64000</f>
        <v>5030000</v>
      </c>
      <c r="AB12" s="28"/>
      <c r="AC12" s="28">
        <f t="shared" si="1"/>
        <v>981957000</v>
      </c>
      <c r="AD12" s="28"/>
      <c r="AE12" s="84">
        <f t="shared" si="2"/>
        <v>962065000</v>
      </c>
      <c r="AF12" s="30"/>
      <c r="AG12" s="28">
        <f>27464000+18104000+278000</f>
        <v>45846000</v>
      </c>
      <c r="AH12" s="31"/>
      <c r="AI12" s="28">
        <v>202437000</v>
      </c>
      <c r="AJ12" s="31"/>
      <c r="AK12" s="28">
        <v>0</v>
      </c>
      <c r="AL12" s="31"/>
      <c r="AM12" s="31" t="e">
        <f>+'Gov Fd Rv'!#REF!+'Gov Fd Rv'!#REF!-'Gov Fnd Exp'!#REF!-AG12+AI12-'Gov Fd BS'!#REF!+AK12</f>
        <v>#REF!</v>
      </c>
    </row>
    <row r="13" spans="1:39" ht="12.75" customHeight="1">
      <c r="A13" s="107" t="s">
        <v>234</v>
      </c>
      <c r="B13" s="22" t="str">
        <f t="shared" si="0"/>
        <v>4 </v>
      </c>
      <c r="C13" s="28">
        <v>39449030</v>
      </c>
      <c r="D13" s="28"/>
      <c r="E13" s="28">
        <v>31594603</v>
      </c>
      <c r="F13" s="28"/>
      <c r="G13" s="28">
        <v>75282463</v>
      </c>
      <c r="H13" s="28"/>
      <c r="I13" s="28">
        <v>18231446</v>
      </c>
      <c r="J13" s="28"/>
      <c r="K13" s="28">
        <v>128875159</v>
      </c>
      <c r="L13" s="28"/>
      <c r="M13" s="28">
        <v>135035021</v>
      </c>
      <c r="N13" s="28"/>
      <c r="O13" s="28">
        <v>3063803</v>
      </c>
      <c r="P13" s="28"/>
      <c r="Q13" s="28">
        <v>8906124</v>
      </c>
      <c r="R13" s="28"/>
      <c r="S13" s="28">
        <v>1147444</v>
      </c>
      <c r="T13" s="28"/>
      <c r="U13" s="28">
        <v>6600074</v>
      </c>
      <c r="V13" s="28"/>
      <c r="W13" s="28">
        <v>369548</v>
      </c>
      <c r="X13" s="28"/>
      <c r="Y13" s="28">
        <v>7632512</v>
      </c>
      <c r="Z13" s="28"/>
      <c r="AA13" s="28">
        <v>3047200</v>
      </c>
      <c r="AB13" s="28"/>
      <c r="AC13" s="28">
        <f t="shared" si="1"/>
        <v>459234427</v>
      </c>
      <c r="AD13" s="28"/>
      <c r="AE13" s="84">
        <f t="shared" si="2"/>
        <v>441585093</v>
      </c>
      <c r="AF13" s="30"/>
      <c r="AG13" s="28">
        <v>10624501</v>
      </c>
      <c r="AH13" s="31"/>
      <c r="AI13" s="28">
        <v>176288348</v>
      </c>
      <c r="AJ13" s="31"/>
      <c r="AK13" s="28">
        <v>0</v>
      </c>
      <c r="AL13" s="31"/>
      <c r="AM13" s="31" t="e">
        <f>+'Gov Fd Rv'!#REF!+'Gov Fd Rv'!#REF!-'Gov Fnd Exp'!#REF!-AG13+AI13-'Gov Fd BS'!#REF!+AK13</f>
        <v>#REF!</v>
      </c>
    </row>
    <row r="14" spans="1:39" ht="12.75" customHeight="1">
      <c r="A14" s="107" t="s">
        <v>236</v>
      </c>
      <c r="B14" s="22" t="str">
        <f t="shared" si="0"/>
        <v>5 </v>
      </c>
      <c r="C14" s="28">
        <v>33281215</v>
      </c>
      <c r="D14" s="28"/>
      <c r="E14" s="28">
        <v>159664579</v>
      </c>
      <c r="F14" s="28"/>
      <c r="G14" s="28">
        <v>0</v>
      </c>
      <c r="H14" s="28"/>
      <c r="I14" s="28">
        <v>16769478</v>
      </c>
      <c r="J14" s="28"/>
      <c r="K14" s="28">
        <v>0</v>
      </c>
      <c r="L14" s="28"/>
      <c r="M14" s="28">
        <v>272038022</v>
      </c>
      <c r="N14" s="28"/>
      <c r="O14" s="28">
        <v>9452810</v>
      </c>
      <c r="P14" s="28"/>
      <c r="Q14" s="28">
        <v>0</v>
      </c>
      <c r="R14" s="28"/>
      <c r="S14" s="28">
        <v>0</v>
      </c>
      <c r="T14" s="28"/>
      <c r="U14" s="28">
        <v>25572008</v>
      </c>
      <c r="V14" s="28"/>
      <c r="W14" s="28">
        <f>103300+15574976+4170347+244304</f>
        <v>20092927</v>
      </c>
      <c r="X14" s="28"/>
      <c r="Y14" s="28">
        <v>2912210</v>
      </c>
      <c r="Z14" s="28"/>
      <c r="AA14" s="28">
        <v>2310000</v>
      </c>
      <c r="AB14" s="28"/>
      <c r="AC14" s="28">
        <f t="shared" si="1"/>
        <v>542093249</v>
      </c>
      <c r="AD14" s="28"/>
      <c r="AE14" s="84">
        <f t="shared" si="2"/>
        <v>491206104</v>
      </c>
      <c r="AF14" s="30"/>
      <c r="AG14" s="28">
        <v>119289417</v>
      </c>
      <c r="AH14" s="31"/>
      <c r="AI14" s="28">
        <v>268933030</v>
      </c>
      <c r="AJ14" s="31"/>
      <c r="AK14" s="28">
        <v>0</v>
      </c>
      <c r="AL14" s="31"/>
      <c r="AM14" s="31" t="e">
        <f>+'Gov Fd Rv'!#REF!+'Gov Fd Rv'!#REF!-'Gov Fnd Exp'!#REF!-AG14+AI14-'Gov Fd BS'!#REF!+AK14</f>
        <v>#REF!</v>
      </c>
    </row>
    <row r="15" spans="1:39" ht="12.75" customHeight="1">
      <c r="A15" s="107" t="s">
        <v>237</v>
      </c>
      <c r="B15" s="22" t="str">
        <f t="shared" si="0"/>
        <v>6 </v>
      </c>
      <c r="C15" s="111">
        <v>41677509</v>
      </c>
      <c r="D15" s="111"/>
      <c r="E15" s="111">
        <v>68786741</v>
      </c>
      <c r="F15" s="111"/>
      <c r="G15" s="111">
        <v>73069484</v>
      </c>
      <c r="H15" s="111"/>
      <c r="I15" s="111">
        <v>16706699</v>
      </c>
      <c r="J15" s="111"/>
      <c r="K15" s="111">
        <v>132313956</v>
      </c>
      <c r="L15" s="111"/>
      <c r="M15" s="111">
        <v>133883873</v>
      </c>
      <c r="N15" s="111"/>
      <c r="O15" s="111">
        <v>0</v>
      </c>
      <c r="P15" s="111"/>
      <c r="Q15" s="111">
        <v>8111629</v>
      </c>
      <c r="R15" s="111"/>
      <c r="S15" s="111">
        <v>2855572</v>
      </c>
      <c r="T15" s="111"/>
      <c r="U15" s="111">
        <v>50561768</v>
      </c>
      <c r="V15" s="111"/>
      <c r="W15" s="111">
        <v>0</v>
      </c>
      <c r="X15" s="111"/>
      <c r="Y15" s="111">
        <v>15954370</v>
      </c>
      <c r="Z15" s="111"/>
      <c r="AA15" s="111">
        <f>4231644+466</f>
        <v>4232110</v>
      </c>
      <c r="AB15" s="111"/>
      <c r="AC15" s="111">
        <f t="shared" si="1"/>
        <v>548153711</v>
      </c>
      <c r="AD15" s="111"/>
      <c r="AE15" s="120">
        <f t="shared" si="2"/>
        <v>477405463</v>
      </c>
      <c r="AF15" s="121"/>
      <c r="AG15" s="111">
        <f>9130000+39946+20844957</f>
        <v>30014903</v>
      </c>
      <c r="AH15" s="31"/>
      <c r="AI15" s="111">
        <v>152340722</v>
      </c>
      <c r="AJ15" s="31"/>
      <c r="AK15" s="111">
        <v>0</v>
      </c>
      <c r="AL15" s="31"/>
      <c r="AM15" s="31">
        <f>+'[1]Gov Fd Rv'!Q57+'[1]Gov Fd Rv'!S57-'[1]Gov Fnd Exp'!AC57-AG15+AI15-'[1]Gov Fd BS'!O57+AK15</f>
        <v>0</v>
      </c>
    </row>
    <row r="16" spans="1:39" ht="12.75" customHeight="1">
      <c r="A16" s="107" t="s">
        <v>238</v>
      </c>
      <c r="B16" s="22" t="str">
        <f t="shared" si="0"/>
        <v>7 </v>
      </c>
      <c r="C16" s="28">
        <v>20053140</v>
      </c>
      <c r="D16" s="28"/>
      <c r="E16" s="28">
        <v>16753767</v>
      </c>
      <c r="F16" s="28"/>
      <c r="G16" s="28">
        <v>27045819</v>
      </c>
      <c r="H16" s="28"/>
      <c r="I16" s="28">
        <v>17514932</v>
      </c>
      <c r="J16" s="28"/>
      <c r="K16" s="28">
        <v>81291464</v>
      </c>
      <c r="L16" s="28"/>
      <c r="M16" s="28">
        <v>70796361</v>
      </c>
      <c r="N16" s="28"/>
      <c r="O16" s="28">
        <v>0</v>
      </c>
      <c r="P16" s="28"/>
      <c r="Q16" s="28">
        <v>0</v>
      </c>
      <c r="R16" s="28"/>
      <c r="S16" s="28">
        <v>943632</v>
      </c>
      <c r="T16" s="28"/>
      <c r="U16" s="28">
        <v>7461021</v>
      </c>
      <c r="V16" s="28"/>
      <c r="W16" s="28">
        <v>6874483</v>
      </c>
      <c r="X16" s="28"/>
      <c r="Y16" s="28">
        <v>592091</v>
      </c>
      <c r="Z16" s="28"/>
      <c r="AA16" s="28">
        <v>289064</v>
      </c>
      <c r="AB16" s="28"/>
      <c r="AC16" s="28">
        <f t="shared" si="1"/>
        <v>249615774</v>
      </c>
      <c r="AD16" s="28"/>
      <c r="AE16" s="84">
        <f t="shared" si="2"/>
        <v>234399115</v>
      </c>
      <c r="AF16" s="30"/>
      <c r="AG16" s="28">
        <v>1375468</v>
      </c>
      <c r="AH16" s="31"/>
      <c r="AI16" s="28">
        <v>71745481</v>
      </c>
      <c r="AJ16" s="31"/>
      <c r="AK16" s="28">
        <v>-1107130</v>
      </c>
      <c r="AL16" s="31"/>
      <c r="AM16" s="31" t="e">
        <f>+'Gov Fd Rv'!#REF!+'Gov Fd Rv'!#REF!-'Gov Fnd Exp'!#REF!-AG16+AI16-'Gov Fd BS'!#REF!+AK16</f>
        <v>#REF!</v>
      </c>
    </row>
    <row r="17" spans="1:39" ht="12.75" customHeight="1">
      <c r="A17" s="118" t="s">
        <v>19</v>
      </c>
      <c r="B17" s="118"/>
      <c r="C17" s="111">
        <v>34806814</v>
      </c>
      <c r="D17" s="111"/>
      <c r="E17" s="111">
        <v>16701077</v>
      </c>
      <c r="F17" s="111"/>
      <c r="G17" s="111">
        <v>56351505</v>
      </c>
      <c r="H17" s="111"/>
      <c r="I17" s="111">
        <v>26885234</v>
      </c>
      <c r="J17" s="111"/>
      <c r="K17" s="111">
        <v>61761021</v>
      </c>
      <c r="L17" s="111"/>
      <c r="M17" s="111">
        <v>93732570</v>
      </c>
      <c r="N17" s="111"/>
      <c r="O17" s="111">
        <v>0</v>
      </c>
      <c r="P17" s="111"/>
      <c r="Q17" s="111">
        <v>587061</v>
      </c>
      <c r="R17" s="111"/>
      <c r="S17" s="111">
        <v>0</v>
      </c>
      <c r="T17" s="111"/>
      <c r="U17" s="111">
        <v>10115027</v>
      </c>
      <c r="V17" s="111"/>
      <c r="W17" s="111">
        <v>5572290</v>
      </c>
      <c r="X17" s="111"/>
      <c r="Y17" s="111">
        <v>6770900</v>
      </c>
      <c r="Z17" s="111"/>
      <c r="AA17" s="111">
        <f>5730483+60948</f>
        <v>5791431</v>
      </c>
      <c r="AB17" s="111"/>
      <c r="AC17" s="111">
        <f t="shared" si="1"/>
        <v>319074930</v>
      </c>
      <c r="AD17" s="111"/>
      <c r="AE17" s="120">
        <f t="shared" si="2"/>
        <v>290825282</v>
      </c>
      <c r="AF17" s="121"/>
      <c r="AG17" s="111">
        <v>4817939</v>
      </c>
      <c r="AH17" s="31"/>
      <c r="AI17" s="111">
        <v>110739617</v>
      </c>
      <c r="AJ17" s="31"/>
      <c r="AK17" s="111">
        <v>0</v>
      </c>
      <c r="AL17" s="31"/>
      <c r="AM17" s="31">
        <f>+'[2]Gov Fd Rv'!Q17+'[2]Gov Fd Rv'!S17-'[2]Gov Fnd Exp'!AC17-AG17+AI17-'[2]Gov Fd BS'!O17+AK17</f>
        <v>105921678</v>
      </c>
    </row>
    <row r="18" spans="1:39" ht="12.75" customHeight="1">
      <c r="A18" s="107" t="s">
        <v>239</v>
      </c>
      <c r="B18" s="22" t="str">
        <f t="shared" si="0"/>
        <v>9 </v>
      </c>
      <c r="C18" s="111">
        <v>33187329</v>
      </c>
      <c r="D18" s="111"/>
      <c r="E18" s="111">
        <v>17125290</v>
      </c>
      <c r="F18" s="111"/>
      <c r="G18" s="111">
        <v>25771517</v>
      </c>
      <c r="H18" s="111"/>
      <c r="I18" s="111">
        <v>9544712</v>
      </c>
      <c r="J18" s="111"/>
      <c r="K18" s="111">
        <v>50049363</v>
      </c>
      <c r="L18" s="111"/>
      <c r="M18" s="111">
        <v>91688022</v>
      </c>
      <c r="N18" s="111"/>
      <c r="O18" s="111">
        <v>431020</v>
      </c>
      <c r="P18" s="111"/>
      <c r="Q18" s="111">
        <v>0</v>
      </c>
      <c r="R18" s="111"/>
      <c r="S18" s="111">
        <v>0</v>
      </c>
      <c r="T18" s="111"/>
      <c r="U18" s="111">
        <v>2650724</v>
      </c>
      <c r="V18" s="111"/>
      <c r="W18" s="111">
        <v>579343</v>
      </c>
      <c r="X18" s="111"/>
      <c r="Y18" s="111">
        <v>2087678</v>
      </c>
      <c r="Z18" s="111"/>
      <c r="AA18" s="111">
        <v>1995060</v>
      </c>
      <c r="AB18" s="111"/>
      <c r="AC18" s="111">
        <f t="shared" si="1"/>
        <v>235110058</v>
      </c>
      <c r="AD18" s="111"/>
      <c r="AE18" s="120">
        <f t="shared" si="2"/>
        <v>227797253</v>
      </c>
      <c r="AF18" s="121"/>
      <c r="AG18" s="111">
        <v>12058668</v>
      </c>
      <c r="AH18" s="31"/>
      <c r="AI18" s="111">
        <v>110586152</v>
      </c>
      <c r="AJ18" s="31"/>
      <c r="AK18" s="111">
        <v>241028</v>
      </c>
      <c r="AL18" s="31"/>
      <c r="AM18" s="31">
        <f>+'[1]Gov Fd Rv'!Q56+'[1]Gov Fd Rv'!S56-'[1]Gov Fnd Exp'!AC56-AG18+AI18-'[1]Gov Fd BS'!O56+AK18</f>
        <v>0</v>
      </c>
    </row>
    <row r="19" spans="1:39" ht="12.75" customHeight="1">
      <c r="A19" s="107" t="s">
        <v>240</v>
      </c>
      <c r="B19" s="22" t="str">
        <f t="shared" si="0"/>
        <v>10</v>
      </c>
      <c r="C19" s="111">
        <v>26840960</v>
      </c>
      <c r="D19" s="111"/>
      <c r="E19" s="111">
        <v>18972376</v>
      </c>
      <c r="F19" s="111"/>
      <c r="G19" s="111">
        <v>28002709</v>
      </c>
      <c r="H19" s="111"/>
      <c r="I19" s="111">
        <v>11146970</v>
      </c>
      <c r="J19" s="111"/>
      <c r="K19" s="111">
        <v>50532388</v>
      </c>
      <c r="L19" s="111"/>
      <c r="M19" s="111">
        <v>58639302</v>
      </c>
      <c r="N19" s="111"/>
      <c r="O19" s="111">
        <v>0</v>
      </c>
      <c r="P19" s="111"/>
      <c r="Q19" s="111">
        <v>0</v>
      </c>
      <c r="R19" s="111"/>
      <c r="S19" s="111">
        <v>0</v>
      </c>
      <c r="T19" s="111"/>
      <c r="U19" s="111">
        <v>12699007</v>
      </c>
      <c r="V19" s="111"/>
      <c r="W19" s="111">
        <v>0</v>
      </c>
      <c r="X19" s="111"/>
      <c r="Y19" s="111">
        <v>11548711</v>
      </c>
      <c r="Z19" s="111"/>
      <c r="AA19" s="111">
        <f>1881867+269643</f>
        <v>2151510</v>
      </c>
      <c r="AB19" s="111"/>
      <c r="AC19" s="111">
        <f t="shared" si="1"/>
        <v>220533933</v>
      </c>
      <c r="AD19" s="111"/>
      <c r="AE19" s="120">
        <f t="shared" si="2"/>
        <v>194134705</v>
      </c>
      <c r="AF19" s="121"/>
      <c r="AG19" s="111">
        <v>11863267</v>
      </c>
      <c r="AH19" s="31"/>
      <c r="AI19" s="111">
        <v>69256089</v>
      </c>
      <c r="AJ19" s="31"/>
      <c r="AK19" s="111">
        <v>0</v>
      </c>
      <c r="AL19" s="31"/>
      <c r="AM19" s="31">
        <f>+'[1]Gov Fd Rv'!Q59+'[1]Gov Fd Rv'!S59-'[1]Gov Fnd Exp'!AC59-AG19+AI19-'[1]Gov Fd BS'!O59+AK19</f>
        <v>0</v>
      </c>
    </row>
    <row r="20" spans="1:39" ht="12.75" customHeight="1">
      <c r="A20" s="107" t="s">
        <v>241</v>
      </c>
      <c r="B20" s="22" t="str">
        <f t="shared" si="0"/>
        <v>11</v>
      </c>
      <c r="C20" s="111">
        <v>19162239</v>
      </c>
      <c r="D20" s="111"/>
      <c r="E20" s="111">
        <v>45778694</v>
      </c>
      <c r="F20" s="111"/>
      <c r="G20" s="111">
        <v>0</v>
      </c>
      <c r="H20" s="111"/>
      <c r="I20" s="111">
        <v>12875382</v>
      </c>
      <c r="J20" s="111"/>
      <c r="K20" s="111">
        <v>24259615</v>
      </c>
      <c r="L20" s="111"/>
      <c r="M20" s="111">
        <v>77904323</v>
      </c>
      <c r="N20" s="111"/>
      <c r="O20" s="111">
        <v>2548687</v>
      </c>
      <c r="P20" s="111"/>
      <c r="Q20" s="111">
        <v>0</v>
      </c>
      <c r="R20" s="111"/>
      <c r="S20" s="111">
        <v>0</v>
      </c>
      <c r="T20" s="111"/>
      <c r="U20" s="111">
        <v>4799225</v>
      </c>
      <c r="V20" s="111"/>
      <c r="W20" s="111">
        <v>0</v>
      </c>
      <c r="X20" s="111"/>
      <c r="Y20" s="111">
        <v>2840750</v>
      </c>
      <c r="Z20" s="111"/>
      <c r="AA20" s="111">
        <v>1569411</v>
      </c>
      <c r="AB20" s="111"/>
      <c r="AC20" s="111">
        <f t="shared" si="1"/>
        <v>191738326</v>
      </c>
      <c r="AD20" s="111"/>
      <c r="AE20" s="120">
        <f t="shared" si="2"/>
        <v>182528940</v>
      </c>
      <c r="AF20" s="121"/>
      <c r="AG20" s="111">
        <v>9616560</v>
      </c>
      <c r="AH20" s="31"/>
      <c r="AI20" s="111">
        <v>109237665</v>
      </c>
      <c r="AJ20" s="31"/>
      <c r="AK20" s="111">
        <v>328921</v>
      </c>
      <c r="AL20" s="31"/>
      <c r="AM20" s="31">
        <f>+'[1]Gov Fd Rv'!Q52+'[1]Gov Fd Rv'!S52-'[1]Gov Fnd Exp'!AC52-AG20+AI20-'[1]Gov Fd BS'!O52+AK20</f>
        <v>0</v>
      </c>
    </row>
    <row r="21" spans="1:39" ht="12.75" customHeight="1">
      <c r="A21" s="107" t="s">
        <v>235</v>
      </c>
      <c r="B21" s="22" t="str">
        <f t="shared" si="0"/>
        <v>12</v>
      </c>
      <c r="C21" s="28">
        <v>22133699</v>
      </c>
      <c r="D21" s="28"/>
      <c r="E21" s="28">
        <v>11826292</v>
      </c>
      <c r="F21" s="28"/>
      <c r="G21" s="28">
        <v>19113444</v>
      </c>
      <c r="H21" s="28"/>
      <c r="I21" s="28">
        <v>7722191</v>
      </c>
      <c r="J21" s="28"/>
      <c r="K21" s="28">
        <v>44676971</v>
      </c>
      <c r="L21" s="28"/>
      <c r="M21" s="28">
        <v>52724870</v>
      </c>
      <c r="N21" s="28"/>
      <c r="O21" s="28">
        <v>116927</v>
      </c>
      <c r="P21" s="28"/>
      <c r="Q21" s="28">
        <v>0</v>
      </c>
      <c r="R21" s="28"/>
      <c r="S21" s="28">
        <v>0</v>
      </c>
      <c r="T21" s="28"/>
      <c r="U21" s="28">
        <v>9076822</v>
      </c>
      <c r="V21" s="28"/>
      <c r="W21" s="28">
        <v>0</v>
      </c>
      <c r="X21" s="28"/>
      <c r="Y21" s="28">
        <f>11148409+245000</f>
        <v>11393409</v>
      </c>
      <c r="Z21" s="28"/>
      <c r="AA21" s="28">
        <f>2497882+110448</f>
        <v>2608330</v>
      </c>
      <c r="AB21" s="28"/>
      <c r="AC21" s="28">
        <f t="shared" si="1"/>
        <v>181392955</v>
      </c>
      <c r="AD21" s="28"/>
      <c r="AE21" s="84">
        <f t="shared" si="2"/>
        <v>158314394</v>
      </c>
      <c r="AF21" s="30"/>
      <c r="AG21" s="28">
        <f>900000+5401844</f>
        <v>6301844</v>
      </c>
      <c r="AH21" s="31"/>
      <c r="AI21" s="28">
        <v>65378012</v>
      </c>
      <c r="AJ21" s="31"/>
      <c r="AK21" s="28">
        <v>0</v>
      </c>
      <c r="AL21" s="31"/>
      <c r="AM21" s="31" t="e">
        <f>+'Gov Fd Rv'!#REF!+'Gov Fd Rv'!#REF!-'Gov Fnd Exp'!#REF!-AG21+AI21-'Gov Fd BS'!#REF!+AK21</f>
        <v>#REF!</v>
      </c>
    </row>
    <row r="22" spans="1:39" ht="12.75" customHeight="1">
      <c r="A22" s="107" t="s">
        <v>242</v>
      </c>
      <c r="B22" s="22" t="str">
        <f t="shared" si="0"/>
        <v>13</v>
      </c>
      <c r="C22" s="28">
        <v>24544073</v>
      </c>
      <c r="D22" s="28"/>
      <c r="E22" s="28">
        <v>11520486</v>
      </c>
      <c r="F22" s="28"/>
      <c r="G22" s="28">
        <v>27149511</v>
      </c>
      <c r="H22" s="28"/>
      <c r="I22" s="28">
        <v>8864008</v>
      </c>
      <c r="J22" s="28"/>
      <c r="K22" s="28">
        <v>623426</v>
      </c>
      <c r="L22" s="28"/>
      <c r="M22" s="28">
        <v>40103146</v>
      </c>
      <c r="N22" s="28"/>
      <c r="O22" s="28">
        <v>2059655</v>
      </c>
      <c r="P22" s="28"/>
      <c r="Q22" s="28">
        <v>0</v>
      </c>
      <c r="R22" s="28"/>
      <c r="S22" s="28">
        <v>0</v>
      </c>
      <c r="T22" s="28"/>
      <c r="U22" s="28">
        <v>4868260</v>
      </c>
      <c r="V22" s="28"/>
      <c r="W22" s="28">
        <v>0</v>
      </c>
      <c r="X22" s="28"/>
      <c r="Y22" s="28">
        <v>2767353</v>
      </c>
      <c r="Z22" s="28"/>
      <c r="AA22" s="28">
        <v>1290075</v>
      </c>
      <c r="AB22" s="28"/>
      <c r="AC22" s="28">
        <f t="shared" si="1"/>
        <v>123789993</v>
      </c>
      <c r="AD22" s="28"/>
      <c r="AE22" s="84">
        <f t="shared" si="2"/>
        <v>114864305</v>
      </c>
      <c r="AF22" s="30"/>
      <c r="AG22" s="28">
        <v>4570076</v>
      </c>
      <c r="AH22" s="31"/>
      <c r="AI22" s="28">
        <v>114675524</v>
      </c>
      <c r="AJ22" s="31"/>
      <c r="AK22" s="28">
        <v>303504</v>
      </c>
      <c r="AL22" s="31"/>
      <c r="AM22" s="31" t="e">
        <f>+'Gov Fd Rv'!#REF!+'Gov Fd Rv'!#REF!-'Gov Fnd Exp'!#REF!-AG22+AI22-'Gov Fd BS'!#REF!+AK22</f>
        <v>#REF!</v>
      </c>
    </row>
    <row r="23" spans="1:39" ht="12.75" customHeight="1">
      <c r="A23" s="107" t="s">
        <v>243</v>
      </c>
      <c r="B23" s="22" t="str">
        <f t="shared" si="0"/>
        <v>14</v>
      </c>
      <c r="C23" s="28">
        <v>20082032</v>
      </c>
      <c r="D23" s="28"/>
      <c r="E23" s="28">
        <v>9926735</v>
      </c>
      <c r="F23" s="28"/>
      <c r="G23" s="28">
        <v>27589393</v>
      </c>
      <c r="H23" s="28"/>
      <c r="I23" s="28">
        <v>10831876</v>
      </c>
      <c r="J23" s="28"/>
      <c r="K23" s="28">
        <v>1017251</v>
      </c>
      <c r="L23" s="28"/>
      <c r="M23" s="28">
        <v>38808620</v>
      </c>
      <c r="N23" s="28"/>
      <c r="O23" s="28">
        <f>2693586+1159789+4049395</f>
        <v>7902770</v>
      </c>
      <c r="P23" s="28"/>
      <c r="Q23" s="28">
        <v>0</v>
      </c>
      <c r="R23" s="28"/>
      <c r="S23" s="28">
        <v>0</v>
      </c>
      <c r="T23" s="28"/>
      <c r="U23" s="28">
        <v>3820538</v>
      </c>
      <c r="V23" s="28"/>
      <c r="W23" s="28">
        <v>0</v>
      </c>
      <c r="X23" s="28"/>
      <c r="Y23" s="28">
        <v>4495941</v>
      </c>
      <c r="Z23" s="28"/>
      <c r="AA23" s="28">
        <v>1010303</v>
      </c>
      <c r="AB23" s="28"/>
      <c r="AC23" s="28">
        <f t="shared" si="1"/>
        <v>125485459</v>
      </c>
      <c r="AD23" s="28"/>
      <c r="AE23" s="84">
        <f t="shared" si="2"/>
        <v>116158677</v>
      </c>
      <c r="AF23" s="30"/>
      <c r="AG23" s="28">
        <v>9375069</v>
      </c>
      <c r="AH23" s="31"/>
      <c r="AI23" s="28">
        <v>57870923</v>
      </c>
      <c r="AJ23" s="31"/>
      <c r="AK23" s="28">
        <v>0</v>
      </c>
      <c r="AL23" s="31"/>
      <c r="AM23" s="31">
        <f>+'Gov Fd Rv'!Q22+'Gov Fd Rv'!S22-'Gov Fnd Exp'!AC22-AG23+AI23-'Gov Fd BS'!O22+AK23</f>
        <v>-61913098</v>
      </c>
    </row>
    <row r="24" spans="1:39" ht="12.75" customHeight="1">
      <c r="A24" s="107" t="s">
        <v>249</v>
      </c>
      <c r="B24" s="22" t="str">
        <f t="shared" si="0"/>
        <v>15</v>
      </c>
      <c r="C24" s="111">
        <v>13800498</v>
      </c>
      <c r="D24" s="111"/>
      <c r="E24" s="111">
        <v>8758616</v>
      </c>
      <c r="F24" s="111"/>
      <c r="G24" s="111">
        <v>21871908</v>
      </c>
      <c r="H24" s="111"/>
      <c r="I24" s="111">
        <v>11094849</v>
      </c>
      <c r="J24" s="111"/>
      <c r="K24" s="111">
        <v>26205108</v>
      </c>
      <c r="L24" s="111"/>
      <c r="M24" s="111">
        <v>23032296</v>
      </c>
      <c r="N24" s="111"/>
      <c r="O24" s="111">
        <v>584872</v>
      </c>
      <c r="P24" s="111"/>
      <c r="Q24" s="111">
        <v>0</v>
      </c>
      <c r="R24" s="111"/>
      <c r="S24" s="111">
        <v>0</v>
      </c>
      <c r="T24" s="111"/>
      <c r="U24" s="111">
        <v>1686371</v>
      </c>
      <c r="V24" s="111"/>
      <c r="W24" s="111">
        <v>847130</v>
      </c>
      <c r="X24" s="111"/>
      <c r="Y24" s="111">
        <v>1992578</v>
      </c>
      <c r="Z24" s="111"/>
      <c r="AA24" s="111">
        <v>491111</v>
      </c>
      <c r="AB24" s="111"/>
      <c r="AC24" s="111">
        <f t="shared" si="1"/>
        <v>110365337</v>
      </c>
      <c r="AD24" s="111"/>
      <c r="AE24" s="120">
        <f t="shared" si="2"/>
        <v>105348147</v>
      </c>
      <c r="AF24" s="121"/>
      <c r="AG24" s="111">
        <v>3121574</v>
      </c>
      <c r="AH24" s="31"/>
      <c r="AI24" s="111">
        <v>50701690</v>
      </c>
      <c r="AJ24" s="31"/>
      <c r="AK24" s="111">
        <v>0</v>
      </c>
      <c r="AL24" s="31"/>
      <c r="AM24" s="31">
        <f>+'[1]Gov Fd Rv'!Q61+'[1]Gov Fd Rv'!S61-'[1]Gov Fnd Exp'!AC61-AG24+AI24-'[1]Gov Fd BS'!O61+AK24</f>
        <v>0</v>
      </c>
    </row>
    <row r="25" spans="1:39" ht="12.75" customHeight="1">
      <c r="A25" s="107" t="s">
        <v>244</v>
      </c>
      <c r="B25" s="22" t="str">
        <f t="shared" si="0"/>
        <v>16</v>
      </c>
      <c r="C25" s="28">
        <v>16180405</v>
      </c>
      <c r="D25" s="28"/>
      <c r="E25" s="28">
        <v>7382865</v>
      </c>
      <c r="F25" s="28"/>
      <c r="G25" s="28">
        <v>29499860</v>
      </c>
      <c r="H25" s="28"/>
      <c r="I25" s="28">
        <v>20355379</v>
      </c>
      <c r="J25" s="28"/>
      <c r="K25" s="28">
        <f>16159512+286000</f>
        <v>16445512</v>
      </c>
      <c r="L25" s="28"/>
      <c r="M25" s="28">
        <v>13776420</v>
      </c>
      <c r="N25" s="28"/>
      <c r="O25" s="28">
        <v>0</v>
      </c>
      <c r="P25" s="28"/>
      <c r="Q25" s="28">
        <f>8498+383000</f>
        <v>391498</v>
      </c>
      <c r="R25" s="28"/>
      <c r="S25" s="28">
        <v>0</v>
      </c>
      <c r="T25" s="28"/>
      <c r="U25" s="28">
        <v>8198685</v>
      </c>
      <c r="V25" s="28"/>
      <c r="W25" s="28">
        <v>0</v>
      </c>
      <c r="X25" s="28"/>
      <c r="Y25" s="28">
        <v>3242500</v>
      </c>
      <c r="Z25" s="28"/>
      <c r="AA25" s="28">
        <v>1962024</v>
      </c>
      <c r="AB25" s="28"/>
      <c r="AC25" s="28">
        <f t="shared" si="1"/>
        <v>117435148</v>
      </c>
      <c r="AD25" s="28"/>
      <c r="AE25" s="84">
        <f t="shared" si="2"/>
        <v>104031939</v>
      </c>
      <c r="AF25" s="30"/>
      <c r="AG25" s="28">
        <v>14170679</v>
      </c>
      <c r="AH25" s="31"/>
      <c r="AI25" s="28">
        <v>90840409</v>
      </c>
      <c r="AJ25" s="31"/>
      <c r="AK25" s="28">
        <v>0</v>
      </c>
      <c r="AL25" s="31"/>
      <c r="AM25" s="31" t="e">
        <f>+'Gov Fd Rv'!#REF!+'Gov Fd Rv'!#REF!-'Gov Fnd Exp'!#REF!-AG25+AI25-'Gov Fd BS'!#REF!+AK25</f>
        <v>#REF!</v>
      </c>
    </row>
    <row r="26" spans="1:39" ht="12.75" customHeight="1">
      <c r="A26" s="107" t="s">
        <v>245</v>
      </c>
      <c r="B26" s="22" t="str">
        <f t="shared" si="0"/>
        <v>17</v>
      </c>
      <c r="C26" s="111">
        <v>23689880</v>
      </c>
      <c r="D26" s="111"/>
      <c r="E26" s="111">
        <v>0</v>
      </c>
      <c r="F26" s="111"/>
      <c r="G26" s="111">
        <v>21747279</v>
      </c>
      <c r="H26" s="111"/>
      <c r="I26" s="111">
        <v>7933615</v>
      </c>
      <c r="J26" s="111"/>
      <c r="K26" s="111">
        <v>4643750</v>
      </c>
      <c r="L26" s="111"/>
      <c r="M26" s="111">
        <v>50482841</v>
      </c>
      <c r="N26" s="111"/>
      <c r="O26" s="111">
        <v>1123476</v>
      </c>
      <c r="P26" s="111"/>
      <c r="Q26" s="111">
        <v>1194101</v>
      </c>
      <c r="R26" s="111"/>
      <c r="S26" s="111">
        <v>0</v>
      </c>
      <c r="T26" s="111"/>
      <c r="U26" s="111">
        <v>3804020</v>
      </c>
      <c r="V26" s="111"/>
      <c r="W26" s="111">
        <v>0</v>
      </c>
      <c r="X26" s="111"/>
      <c r="Y26" s="111">
        <v>883512</v>
      </c>
      <c r="Z26" s="111"/>
      <c r="AA26" s="111">
        <v>565366</v>
      </c>
      <c r="AB26" s="111"/>
      <c r="AC26" s="111">
        <f t="shared" si="1"/>
        <v>116067840</v>
      </c>
      <c r="AD26" s="111"/>
      <c r="AE26" s="120">
        <f t="shared" si="2"/>
        <v>110814942</v>
      </c>
      <c r="AF26" s="121"/>
      <c r="AG26" s="111">
        <v>6413209</v>
      </c>
      <c r="AH26" s="31"/>
      <c r="AI26" s="111">
        <v>43898432</v>
      </c>
      <c r="AJ26" s="31"/>
      <c r="AK26" s="111">
        <v>-37369</v>
      </c>
      <c r="AL26" s="31"/>
      <c r="AM26" s="31">
        <f>+'[1]Gov Fd Rv'!Q54+'[1]Gov Fd Rv'!S54-'[1]Gov Fnd Exp'!AC54-AG26+AI26-'[1]Gov Fd BS'!O54+AK26</f>
        <v>0</v>
      </c>
    </row>
    <row r="27" spans="1:39" ht="12.75" customHeight="1">
      <c r="A27" s="107" t="s">
        <v>246</v>
      </c>
      <c r="B27" s="22" t="str">
        <f t="shared" si="0"/>
        <v>18</v>
      </c>
      <c r="C27" s="28">
        <v>16335588</v>
      </c>
      <c r="D27" s="28"/>
      <c r="E27" s="28">
        <v>10364707</v>
      </c>
      <c r="F27" s="28"/>
      <c r="G27" s="28">
        <v>16383634</v>
      </c>
      <c r="H27" s="28"/>
      <c r="I27" s="28">
        <v>7402669</v>
      </c>
      <c r="J27" s="28"/>
      <c r="K27" s="28">
        <v>33685888</v>
      </c>
      <c r="L27" s="28"/>
      <c r="M27" s="28">
        <v>26323253</v>
      </c>
      <c r="N27" s="28"/>
      <c r="O27" s="28">
        <v>0</v>
      </c>
      <c r="P27" s="28"/>
      <c r="Q27" s="28">
        <v>0</v>
      </c>
      <c r="R27" s="28"/>
      <c r="S27" s="28">
        <v>0</v>
      </c>
      <c r="T27" s="28"/>
      <c r="U27" s="28">
        <v>6766711</v>
      </c>
      <c r="V27" s="28"/>
      <c r="W27" s="28">
        <v>0</v>
      </c>
      <c r="X27" s="28"/>
      <c r="Y27" s="28">
        <v>985747</v>
      </c>
      <c r="Z27" s="28"/>
      <c r="AA27" s="28">
        <v>937446</v>
      </c>
      <c r="AB27" s="28"/>
      <c r="AC27" s="28">
        <f t="shared" si="1"/>
        <v>119185643</v>
      </c>
      <c r="AD27" s="28"/>
      <c r="AE27" s="84">
        <f t="shared" si="2"/>
        <v>110495739</v>
      </c>
      <c r="AF27" s="30"/>
      <c r="AG27" s="28">
        <v>712987</v>
      </c>
      <c r="AH27" s="31"/>
      <c r="AI27" s="28">
        <v>66593293</v>
      </c>
      <c r="AJ27" s="31"/>
      <c r="AK27" s="28">
        <v>0</v>
      </c>
      <c r="AL27" s="31"/>
      <c r="AM27" s="31" t="e">
        <f>+'Gov Fd Rv'!#REF!+'Gov Fd Rv'!#REF!-'Gov Fnd Exp'!#REF!-AG27+AI27-'Gov Fd BS'!#REF!+AK27</f>
        <v>#REF!</v>
      </c>
    </row>
    <row r="28" spans="1:39" ht="12.75" customHeight="1">
      <c r="A28" s="107" t="s">
        <v>247</v>
      </c>
      <c r="B28" s="22" t="str">
        <f t="shared" si="0"/>
        <v>19</v>
      </c>
      <c r="C28" s="28">
        <v>18904572</v>
      </c>
      <c r="D28" s="28"/>
      <c r="E28" s="28">
        <v>7913313</v>
      </c>
      <c r="F28" s="28"/>
      <c r="G28" s="28">
        <v>21671664</v>
      </c>
      <c r="H28" s="28"/>
      <c r="I28" s="28">
        <v>12075893</v>
      </c>
      <c r="J28" s="28"/>
      <c r="K28" s="28">
        <v>20752459</v>
      </c>
      <c r="L28" s="28"/>
      <c r="M28" s="28">
        <v>35221373</v>
      </c>
      <c r="N28" s="28"/>
      <c r="O28" s="28">
        <v>1932316</v>
      </c>
      <c r="P28" s="28"/>
      <c r="Q28" s="28">
        <v>3013179</v>
      </c>
      <c r="R28" s="28"/>
      <c r="S28" s="28">
        <v>0</v>
      </c>
      <c r="T28" s="28"/>
      <c r="U28" s="28">
        <v>809973</v>
      </c>
      <c r="V28" s="28"/>
      <c r="W28" s="28">
        <v>0</v>
      </c>
      <c r="X28" s="28"/>
      <c r="Y28" s="28">
        <v>3315000</v>
      </c>
      <c r="Z28" s="28"/>
      <c r="AA28" s="28">
        <v>1635373</v>
      </c>
      <c r="AB28" s="28"/>
      <c r="AC28" s="28">
        <f t="shared" si="1"/>
        <v>127245115</v>
      </c>
      <c r="AD28" s="28"/>
      <c r="AE28" s="84">
        <f t="shared" si="2"/>
        <v>121484769</v>
      </c>
      <c r="AF28" s="30"/>
      <c r="AG28" s="28">
        <v>3453584</v>
      </c>
      <c r="AH28" s="31"/>
      <c r="AI28" s="28">
        <v>48394734</v>
      </c>
      <c r="AJ28" s="31"/>
      <c r="AK28" s="28">
        <v>0</v>
      </c>
      <c r="AL28" s="31"/>
      <c r="AM28" s="31" t="e">
        <f>+'Gov Fd Rv'!#REF!+'Gov Fd Rv'!#REF!-'Gov Fnd Exp'!#REF!-AG28+AI28-'Gov Fd BS'!#REF!+AK28</f>
        <v>#REF!</v>
      </c>
    </row>
    <row r="29" spans="1:39" ht="12.75" customHeight="1">
      <c r="A29" s="107" t="s">
        <v>248</v>
      </c>
      <c r="B29" s="22" t="str">
        <f t="shared" si="0"/>
        <v>20</v>
      </c>
      <c r="C29" s="28">
        <v>8756791</v>
      </c>
      <c r="D29" s="28"/>
      <c r="E29" s="28">
        <v>13855050</v>
      </c>
      <c r="F29" s="28"/>
      <c r="G29" s="28">
        <v>15604597</v>
      </c>
      <c r="H29" s="28"/>
      <c r="I29" s="28">
        <v>11434981</v>
      </c>
      <c r="J29" s="28"/>
      <c r="K29" s="28">
        <v>25147913</v>
      </c>
      <c r="L29" s="28"/>
      <c r="M29" s="28">
        <v>44838109</v>
      </c>
      <c r="N29" s="28"/>
      <c r="O29" s="28">
        <v>0</v>
      </c>
      <c r="P29" s="28"/>
      <c r="Q29" s="28">
        <v>1559691</v>
      </c>
      <c r="R29" s="28"/>
      <c r="S29" s="28">
        <v>0</v>
      </c>
      <c r="T29" s="28"/>
      <c r="U29" s="28">
        <v>5158815</v>
      </c>
      <c r="V29" s="28"/>
      <c r="W29" s="28">
        <v>0</v>
      </c>
      <c r="X29" s="28"/>
      <c r="Y29" s="28">
        <v>955000</v>
      </c>
      <c r="Z29" s="28"/>
      <c r="AA29" s="28">
        <v>884980</v>
      </c>
      <c r="AB29" s="28"/>
      <c r="AC29" s="28">
        <f t="shared" si="1"/>
        <v>128195927</v>
      </c>
      <c r="AD29" s="28"/>
      <c r="AE29" s="84">
        <f t="shared" si="2"/>
        <v>121197132</v>
      </c>
      <c r="AF29" s="30"/>
      <c r="AG29" s="28">
        <v>9110465</v>
      </c>
      <c r="AH29" s="31"/>
      <c r="AI29" s="28">
        <v>35896848</v>
      </c>
      <c r="AJ29" s="31"/>
      <c r="AK29" s="28">
        <v>0</v>
      </c>
      <c r="AL29" s="31"/>
      <c r="AM29" s="31">
        <f>+'Gov Fd Rv'!Q21+'Gov Fd Rv'!S21-'Gov Fnd Exp'!AC21-AG29+AI29-'Gov Fd BS'!O21+AK29</f>
        <v>-32289785</v>
      </c>
    </row>
    <row r="30" spans="1:39" ht="12.75" customHeight="1">
      <c r="A30" s="107"/>
      <c r="B30" s="107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20"/>
      <c r="AF30" s="121"/>
      <c r="AG30" s="111"/>
      <c r="AH30" s="31"/>
      <c r="AI30" s="111"/>
      <c r="AJ30" s="31"/>
      <c r="AK30" s="111"/>
      <c r="AL30" s="31"/>
      <c r="AM30" s="31"/>
    </row>
    <row r="31" spans="1:39" ht="12.75" customHeight="1">
      <c r="A31" s="107"/>
      <c r="B31" s="107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20"/>
      <c r="AF31" s="121"/>
      <c r="AG31" s="111"/>
      <c r="AH31" s="31"/>
      <c r="AI31" s="111"/>
      <c r="AJ31" s="31"/>
      <c r="AK31" s="111"/>
      <c r="AL31" s="31"/>
      <c r="AM31" s="31"/>
    </row>
    <row r="32" spans="1:39" ht="12.75" customHeight="1">
      <c r="A32" s="107"/>
      <c r="B32" s="107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20"/>
      <c r="AF32" s="121"/>
      <c r="AG32" s="111"/>
      <c r="AH32" s="31"/>
      <c r="AI32" s="111"/>
      <c r="AJ32" s="31"/>
      <c r="AK32" s="111"/>
      <c r="AL32" s="31"/>
      <c r="AM32" s="31"/>
    </row>
    <row r="33" spans="1:39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G33" s="31"/>
      <c r="AH33" s="31"/>
      <c r="AI33" s="31"/>
      <c r="AJ33" s="31"/>
      <c r="AK33" s="31"/>
      <c r="AL33" s="31"/>
      <c r="AM33" s="31"/>
    </row>
    <row r="34" spans="1:39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G34" s="31"/>
      <c r="AH34" s="31"/>
      <c r="AI34" s="31"/>
      <c r="AJ34" s="31"/>
      <c r="AK34" s="31"/>
      <c r="AL34" s="31"/>
      <c r="AM34" s="31"/>
    </row>
    <row r="35" spans="1:39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G35" s="31"/>
      <c r="AH35" s="31"/>
      <c r="AI35" s="31"/>
      <c r="AJ35" s="31"/>
      <c r="AK35" s="31"/>
      <c r="AL35" s="31"/>
      <c r="AM35" s="31"/>
    </row>
    <row r="36" spans="1:39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G36" s="31"/>
      <c r="AH36" s="31"/>
      <c r="AI36" s="31"/>
      <c r="AJ36" s="31"/>
      <c r="AK36" s="31"/>
      <c r="AL36" s="31"/>
      <c r="AM36" s="31"/>
    </row>
    <row r="37" spans="1:39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G37" s="31"/>
      <c r="AH37" s="31"/>
      <c r="AI37" s="31"/>
      <c r="AJ37" s="31"/>
      <c r="AK37" s="31"/>
      <c r="AL37" s="31"/>
      <c r="AM37" s="31"/>
    </row>
    <row r="38" spans="1:39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G38" s="31"/>
      <c r="AH38" s="31"/>
      <c r="AI38" s="31"/>
      <c r="AJ38" s="31"/>
      <c r="AK38" s="31"/>
      <c r="AL38" s="31"/>
      <c r="AM38" s="31"/>
    </row>
    <row r="39" spans="1:39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G39" s="31"/>
      <c r="AH39" s="31"/>
      <c r="AI39" s="31"/>
      <c r="AJ39" s="31"/>
      <c r="AK39" s="31"/>
      <c r="AL39" s="31"/>
      <c r="AM39" s="31"/>
    </row>
    <row r="40" spans="1:39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G40" s="31"/>
      <c r="AH40" s="31"/>
      <c r="AI40" s="31"/>
      <c r="AJ40" s="31"/>
      <c r="AK40" s="31"/>
      <c r="AL40" s="31"/>
      <c r="AM40" s="31"/>
    </row>
    <row r="41" spans="1:39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G41" s="31"/>
      <c r="AH41" s="31"/>
      <c r="AI41" s="31"/>
      <c r="AJ41" s="31"/>
      <c r="AK41" s="31"/>
      <c r="AL41" s="31"/>
      <c r="AM41" s="31"/>
    </row>
    <row r="42" spans="1:39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G42" s="31"/>
      <c r="AH42" s="31"/>
      <c r="AI42" s="31"/>
      <c r="AJ42" s="31"/>
      <c r="AK42" s="31"/>
      <c r="AL42" s="31"/>
      <c r="AM42" s="31"/>
    </row>
    <row r="43" spans="1:39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G43" s="31"/>
      <c r="AH43" s="31"/>
      <c r="AI43" s="31"/>
      <c r="AJ43" s="31"/>
      <c r="AK43" s="31"/>
      <c r="AL43" s="31"/>
      <c r="AM43" s="31"/>
    </row>
    <row r="44" spans="1:39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G44" s="31"/>
      <c r="AH44" s="31"/>
      <c r="AI44" s="31"/>
      <c r="AJ44" s="31"/>
      <c r="AK44" s="31"/>
      <c r="AL44" s="31"/>
      <c r="AM44" s="31"/>
    </row>
    <row r="45" spans="1:39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G45" s="31"/>
      <c r="AH45" s="31"/>
      <c r="AI45" s="31"/>
      <c r="AJ45" s="31"/>
      <c r="AK45" s="31"/>
      <c r="AL45" s="31"/>
      <c r="AM45" s="31"/>
    </row>
    <row r="46" spans="1:39" ht="12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G46" s="31"/>
      <c r="AH46" s="31"/>
      <c r="AI46" s="31"/>
      <c r="AJ46" s="31"/>
      <c r="AK46" s="31"/>
      <c r="AL46" s="31"/>
      <c r="AM46" s="31"/>
    </row>
    <row r="47" spans="1:39" ht="1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G47" s="31"/>
      <c r="AH47" s="31"/>
      <c r="AI47" s="31"/>
      <c r="AJ47" s="31"/>
      <c r="AK47" s="31"/>
      <c r="AL47" s="31"/>
      <c r="AM47" s="31"/>
    </row>
    <row r="48" spans="1:39" ht="12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G48" s="31"/>
      <c r="AH48" s="31"/>
      <c r="AI48" s="31"/>
      <c r="AJ48" s="31"/>
      <c r="AK48" s="31"/>
      <c r="AL48" s="31"/>
      <c r="AM48" s="31"/>
    </row>
    <row r="49" spans="1:39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G49" s="31"/>
      <c r="AH49" s="31"/>
      <c r="AI49" s="31"/>
      <c r="AJ49" s="31"/>
      <c r="AK49" s="31"/>
      <c r="AL49" s="31"/>
      <c r="AM49" s="31"/>
    </row>
    <row r="50" spans="1:39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G50" s="31"/>
      <c r="AH50" s="31"/>
      <c r="AI50" s="31"/>
      <c r="AJ50" s="31"/>
      <c r="AK50" s="31"/>
      <c r="AL50" s="31"/>
      <c r="AM50" s="31"/>
    </row>
    <row r="51" spans="1:39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G51" s="31"/>
      <c r="AH51" s="31"/>
      <c r="AI51" s="31"/>
      <c r="AJ51" s="31"/>
      <c r="AK51" s="31"/>
      <c r="AL51" s="31"/>
      <c r="AM51" s="31"/>
    </row>
    <row r="52" spans="1:39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G52" s="31"/>
      <c r="AH52" s="31"/>
      <c r="AI52" s="31"/>
      <c r="AJ52" s="31"/>
      <c r="AK52" s="31"/>
      <c r="AL52" s="31"/>
      <c r="AM52" s="31"/>
    </row>
    <row r="53" spans="1:39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G53" s="31"/>
      <c r="AH53" s="31"/>
      <c r="AI53" s="31"/>
      <c r="AJ53" s="31"/>
      <c r="AK53" s="31"/>
      <c r="AL53" s="31"/>
      <c r="AM53" s="31"/>
    </row>
    <row r="54" spans="1:39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G54" s="31"/>
      <c r="AH54" s="31"/>
      <c r="AI54" s="31"/>
      <c r="AJ54" s="31"/>
      <c r="AK54" s="31"/>
      <c r="AL54" s="31"/>
      <c r="AM54" s="31"/>
    </row>
    <row r="55" spans="1:39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G55" s="31"/>
      <c r="AH55" s="31"/>
      <c r="AI55" s="31"/>
      <c r="AJ55" s="31"/>
      <c r="AK55" s="31"/>
      <c r="AL55" s="31"/>
      <c r="AM55" s="31"/>
    </row>
    <row r="56" spans="1:39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G56" s="31"/>
      <c r="AH56" s="31"/>
      <c r="AI56" s="31"/>
      <c r="AJ56" s="31"/>
      <c r="AK56" s="31"/>
      <c r="AL56" s="31"/>
      <c r="AM56" s="31"/>
    </row>
    <row r="57" spans="1:39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G57" s="31"/>
      <c r="AH57" s="31"/>
      <c r="AI57" s="31"/>
      <c r="AJ57" s="31"/>
      <c r="AK57" s="31"/>
      <c r="AL57" s="31"/>
      <c r="AM57" s="31"/>
    </row>
    <row r="58" spans="1:39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G58" s="31"/>
      <c r="AH58" s="31"/>
      <c r="AI58" s="31"/>
      <c r="AJ58" s="31"/>
      <c r="AK58" s="31"/>
      <c r="AL58" s="31"/>
      <c r="AM58" s="31"/>
    </row>
    <row r="59" spans="1:39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G59" s="31"/>
      <c r="AH59" s="31"/>
      <c r="AI59" s="31"/>
      <c r="AJ59" s="31"/>
      <c r="AK59" s="31"/>
      <c r="AL59" s="31"/>
      <c r="AM59" s="31"/>
    </row>
    <row r="60" spans="1:39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G60" s="31"/>
      <c r="AH60" s="31"/>
      <c r="AI60" s="31"/>
      <c r="AJ60" s="31"/>
      <c r="AK60" s="31"/>
      <c r="AL60" s="31"/>
      <c r="AM60" s="31"/>
    </row>
    <row r="61" spans="1:39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G61" s="31"/>
      <c r="AH61" s="31"/>
      <c r="AI61" s="31"/>
      <c r="AJ61" s="31"/>
      <c r="AK61" s="31"/>
      <c r="AL61" s="31"/>
      <c r="AM61" s="31"/>
    </row>
    <row r="62" spans="1:39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G62" s="31"/>
      <c r="AH62" s="31"/>
      <c r="AI62" s="31"/>
      <c r="AJ62" s="31"/>
      <c r="AK62" s="31"/>
      <c r="AL62" s="31"/>
      <c r="AM62" s="31"/>
    </row>
    <row r="63" spans="1:39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G63" s="31"/>
      <c r="AH63" s="31"/>
      <c r="AI63" s="31"/>
      <c r="AJ63" s="31"/>
      <c r="AK63" s="31"/>
      <c r="AL63" s="31"/>
      <c r="AM63" s="31"/>
    </row>
    <row r="64" spans="1:39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G64" s="31"/>
      <c r="AH64" s="31"/>
      <c r="AI64" s="31"/>
      <c r="AJ64" s="31"/>
      <c r="AK64" s="31"/>
      <c r="AL64" s="31"/>
      <c r="AM64" s="31"/>
    </row>
    <row r="65" spans="1:39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G65" s="31"/>
      <c r="AH65" s="31"/>
      <c r="AI65" s="31"/>
      <c r="AJ65" s="31"/>
      <c r="AK65" s="31"/>
      <c r="AL65" s="31"/>
      <c r="AM65" s="31"/>
    </row>
    <row r="66" spans="1:39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G66" s="31"/>
      <c r="AH66" s="31"/>
      <c r="AI66" s="31"/>
      <c r="AJ66" s="31"/>
      <c r="AK66" s="31"/>
      <c r="AL66" s="31"/>
      <c r="AM66" s="31"/>
    </row>
    <row r="67" spans="1:39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G67" s="31"/>
      <c r="AH67" s="31"/>
      <c r="AI67" s="31"/>
      <c r="AJ67" s="31"/>
      <c r="AK67" s="31"/>
      <c r="AL67" s="31"/>
      <c r="AM67" s="31"/>
    </row>
    <row r="68" spans="1:39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G68" s="31"/>
      <c r="AH68" s="31"/>
      <c r="AI68" s="31"/>
      <c r="AJ68" s="31"/>
      <c r="AK68" s="31"/>
      <c r="AL68" s="31"/>
      <c r="AM68" s="31"/>
    </row>
    <row r="69" spans="1:39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G69" s="31"/>
      <c r="AH69" s="31"/>
      <c r="AI69" s="31"/>
      <c r="AJ69" s="31"/>
      <c r="AK69" s="31"/>
      <c r="AL69" s="31"/>
      <c r="AM69" s="31"/>
    </row>
    <row r="70" spans="1:39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G70" s="31"/>
      <c r="AH70" s="31"/>
      <c r="AI70" s="31"/>
      <c r="AJ70" s="31"/>
      <c r="AK70" s="31"/>
      <c r="AL70" s="31"/>
      <c r="AM70" s="31"/>
    </row>
    <row r="71" spans="1:39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G71" s="31"/>
      <c r="AH71" s="31"/>
      <c r="AI71" s="31"/>
      <c r="AJ71" s="31"/>
      <c r="AK71" s="31"/>
      <c r="AL71" s="31"/>
      <c r="AM71" s="31"/>
    </row>
    <row r="72" spans="1:39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G72" s="31"/>
      <c r="AH72" s="31"/>
      <c r="AI72" s="31"/>
      <c r="AJ72" s="31"/>
      <c r="AK72" s="31"/>
      <c r="AL72" s="31"/>
      <c r="AM72" s="31"/>
    </row>
    <row r="73" spans="1:39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G73" s="31"/>
      <c r="AH73" s="31"/>
      <c r="AI73" s="31"/>
      <c r="AJ73" s="31"/>
      <c r="AK73" s="31"/>
      <c r="AL73" s="31"/>
      <c r="AM73" s="31"/>
    </row>
    <row r="74" spans="1:39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G74" s="31"/>
      <c r="AH74" s="31"/>
      <c r="AI74" s="31"/>
      <c r="AJ74" s="31"/>
      <c r="AK74" s="31"/>
      <c r="AL74" s="31"/>
      <c r="AM74" s="31"/>
    </row>
    <row r="75" spans="1:39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G75" s="31"/>
      <c r="AH75" s="31"/>
      <c r="AI75" s="31"/>
      <c r="AJ75" s="31"/>
      <c r="AK75" s="31"/>
      <c r="AL75" s="31"/>
      <c r="AM75" s="31"/>
    </row>
    <row r="76" spans="1:39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G76" s="31"/>
      <c r="AH76" s="31"/>
      <c r="AI76" s="31"/>
      <c r="AJ76" s="31"/>
      <c r="AK76" s="31"/>
      <c r="AL76" s="31"/>
      <c r="AM76" s="31"/>
    </row>
    <row r="77" spans="1:39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G77" s="31"/>
      <c r="AH77" s="31"/>
      <c r="AI77" s="31"/>
      <c r="AJ77" s="31"/>
      <c r="AK77" s="31"/>
      <c r="AL77" s="31"/>
      <c r="AM77" s="31"/>
    </row>
    <row r="78" spans="1:39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G78" s="31"/>
      <c r="AH78" s="31"/>
      <c r="AI78" s="31"/>
      <c r="AJ78" s="31"/>
      <c r="AK78" s="31"/>
      <c r="AL78" s="31"/>
      <c r="AM78" s="31"/>
    </row>
    <row r="79" spans="1:39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G79" s="31"/>
      <c r="AH79" s="31"/>
      <c r="AI79" s="31"/>
      <c r="AJ79" s="31"/>
      <c r="AK79" s="31"/>
      <c r="AL79" s="31"/>
      <c r="AM79" s="31"/>
    </row>
    <row r="80" spans="1:39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G80" s="31"/>
      <c r="AH80" s="31"/>
      <c r="AI80" s="31"/>
      <c r="AJ80" s="31"/>
      <c r="AK80" s="31"/>
      <c r="AL80" s="31"/>
      <c r="AM80" s="31"/>
    </row>
    <row r="81" spans="1:39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G81" s="31"/>
      <c r="AH81" s="31"/>
      <c r="AI81" s="31"/>
      <c r="AJ81" s="31"/>
      <c r="AK81" s="31"/>
      <c r="AL81" s="31"/>
      <c r="AM81" s="31"/>
    </row>
    <row r="82" spans="1:39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G82" s="31"/>
      <c r="AH82" s="31"/>
      <c r="AI82" s="31"/>
      <c r="AJ82" s="31"/>
      <c r="AK82" s="31"/>
      <c r="AL82" s="31"/>
      <c r="AM82" s="31"/>
    </row>
    <row r="83" spans="1:39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G83" s="31"/>
      <c r="AH83" s="31"/>
      <c r="AI83" s="31"/>
      <c r="AJ83" s="31"/>
      <c r="AK83" s="31"/>
      <c r="AL83" s="31"/>
      <c r="AM83" s="31"/>
    </row>
    <row r="84" spans="1:39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G84" s="31"/>
      <c r="AH84" s="31"/>
      <c r="AI84" s="31"/>
      <c r="AJ84" s="31"/>
      <c r="AK84" s="31"/>
      <c r="AL84" s="31"/>
      <c r="AM84" s="31"/>
    </row>
    <row r="85" spans="1:39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G85" s="31"/>
      <c r="AH85" s="31"/>
      <c r="AI85" s="31"/>
      <c r="AJ85" s="31"/>
      <c r="AK85" s="31"/>
      <c r="AL85" s="31"/>
      <c r="AM85" s="31"/>
    </row>
    <row r="86" spans="1:39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G86" s="31"/>
      <c r="AH86" s="31"/>
      <c r="AI86" s="31"/>
      <c r="AJ86" s="31"/>
      <c r="AK86" s="31"/>
      <c r="AL86" s="31"/>
      <c r="AM86" s="31"/>
    </row>
    <row r="87" spans="1:39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G87" s="31"/>
      <c r="AH87" s="31"/>
      <c r="AI87" s="31"/>
      <c r="AJ87" s="31"/>
      <c r="AK87" s="31"/>
      <c r="AL87" s="31"/>
      <c r="AM87" s="31"/>
    </row>
    <row r="88" spans="1:39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G88" s="31"/>
      <c r="AH88" s="31"/>
      <c r="AI88" s="31"/>
      <c r="AJ88" s="31"/>
      <c r="AK88" s="31"/>
      <c r="AL88" s="31"/>
      <c r="AM88" s="31"/>
    </row>
    <row r="89" spans="1:39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G89" s="31"/>
      <c r="AH89" s="31"/>
      <c r="AI89" s="31"/>
      <c r="AJ89" s="31"/>
      <c r="AK89" s="31"/>
      <c r="AL89" s="31"/>
      <c r="AM89" s="31"/>
    </row>
    <row r="90" spans="1:39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G90" s="31"/>
      <c r="AH90" s="31"/>
      <c r="AI90" s="31"/>
      <c r="AJ90" s="31"/>
      <c r="AK90" s="31"/>
      <c r="AL90" s="31"/>
      <c r="AM90" s="31"/>
    </row>
    <row r="91" spans="1:39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G91" s="31"/>
      <c r="AH91" s="31"/>
      <c r="AI91" s="31"/>
      <c r="AJ91" s="31"/>
      <c r="AK91" s="31"/>
      <c r="AL91" s="31"/>
      <c r="AM91" s="31"/>
    </row>
    <row r="92" spans="1:39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G92" s="31"/>
      <c r="AH92" s="31"/>
      <c r="AI92" s="31"/>
      <c r="AJ92" s="31"/>
      <c r="AK92" s="31"/>
      <c r="AL92" s="31"/>
      <c r="AM92" s="31"/>
    </row>
    <row r="93" spans="1:39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G93" s="31"/>
      <c r="AH93" s="31"/>
      <c r="AI93" s="31"/>
      <c r="AJ93" s="31"/>
      <c r="AK93" s="31"/>
      <c r="AL93" s="31"/>
      <c r="AM93" s="31"/>
    </row>
    <row r="94" spans="1:39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G94" s="31"/>
      <c r="AH94" s="31"/>
      <c r="AI94" s="31"/>
      <c r="AJ94" s="31"/>
      <c r="AK94" s="31"/>
      <c r="AL94" s="31"/>
      <c r="AM94" s="31"/>
    </row>
    <row r="95" spans="1:39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G95" s="31"/>
      <c r="AH95" s="31"/>
      <c r="AI95" s="31"/>
      <c r="AJ95" s="31"/>
      <c r="AK95" s="31"/>
      <c r="AL95" s="31"/>
      <c r="AM95" s="31"/>
    </row>
    <row r="96" spans="1:39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G96" s="31"/>
      <c r="AH96" s="31"/>
      <c r="AI96" s="31"/>
      <c r="AJ96" s="31"/>
      <c r="AK96" s="31"/>
      <c r="AL96" s="31"/>
      <c r="AM96" s="31"/>
    </row>
    <row r="97" spans="1:39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G97" s="31"/>
      <c r="AH97" s="31"/>
      <c r="AI97" s="31"/>
      <c r="AJ97" s="31"/>
      <c r="AK97" s="31"/>
      <c r="AL97" s="31"/>
      <c r="AM97" s="31"/>
    </row>
    <row r="98" spans="1:39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G98" s="31"/>
      <c r="AH98" s="31"/>
      <c r="AI98" s="31"/>
      <c r="AJ98" s="31"/>
      <c r="AK98" s="31"/>
      <c r="AL98" s="31"/>
      <c r="AM98" s="31"/>
    </row>
    <row r="99" spans="1:39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G99" s="31"/>
      <c r="AH99" s="31"/>
      <c r="AI99" s="31"/>
      <c r="AJ99" s="31"/>
      <c r="AK99" s="31"/>
      <c r="AL99" s="31"/>
      <c r="AM99" s="31"/>
    </row>
    <row r="100" spans="1:39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G100" s="31"/>
      <c r="AH100" s="31"/>
      <c r="AI100" s="31"/>
      <c r="AJ100" s="31"/>
      <c r="AK100" s="31"/>
      <c r="AL100" s="31"/>
      <c r="AM100" s="31"/>
    </row>
    <row r="101" spans="1:39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G101" s="31"/>
      <c r="AH101" s="31"/>
      <c r="AI101" s="31"/>
      <c r="AJ101" s="31"/>
      <c r="AK101" s="31"/>
      <c r="AL101" s="31"/>
      <c r="AM101" s="31"/>
    </row>
    <row r="102" spans="1:39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G102" s="31"/>
      <c r="AH102" s="31"/>
      <c r="AI102" s="31"/>
      <c r="AJ102" s="31"/>
      <c r="AK102" s="31"/>
      <c r="AL102" s="31"/>
      <c r="AM102" s="31"/>
    </row>
    <row r="103" spans="1:39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G103" s="31"/>
      <c r="AH103" s="31"/>
      <c r="AI103" s="31"/>
      <c r="AJ103" s="31"/>
      <c r="AK103" s="31"/>
      <c r="AL103" s="31"/>
      <c r="AM103" s="31"/>
    </row>
    <row r="104" spans="1:39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G104" s="31"/>
      <c r="AH104" s="31"/>
      <c r="AI104" s="31"/>
      <c r="AJ104" s="31"/>
      <c r="AK104" s="31"/>
      <c r="AL104" s="31"/>
      <c r="AM104" s="31"/>
    </row>
    <row r="105" spans="1:39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G105" s="31"/>
      <c r="AH105" s="31"/>
      <c r="AI105" s="31"/>
      <c r="AJ105" s="31"/>
      <c r="AK105" s="31"/>
      <c r="AL105" s="31"/>
      <c r="AM105" s="31"/>
    </row>
    <row r="106" spans="1:39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G106" s="31"/>
      <c r="AH106" s="31"/>
      <c r="AI106" s="31"/>
      <c r="AJ106" s="31"/>
      <c r="AK106" s="31"/>
      <c r="AL106" s="31"/>
      <c r="AM106" s="31"/>
    </row>
    <row r="107" spans="1:39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G107" s="31"/>
      <c r="AH107" s="31"/>
      <c r="AI107" s="31"/>
      <c r="AJ107" s="31"/>
      <c r="AK107" s="31"/>
      <c r="AL107" s="31"/>
      <c r="AM107" s="31"/>
    </row>
    <row r="108" spans="1:39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G108" s="31"/>
      <c r="AH108" s="31"/>
      <c r="AI108" s="31"/>
      <c r="AJ108" s="31"/>
      <c r="AK108" s="31"/>
      <c r="AL108" s="31"/>
      <c r="AM108" s="31"/>
    </row>
    <row r="109" spans="1:39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G109" s="31"/>
      <c r="AH109" s="31"/>
      <c r="AI109" s="31"/>
      <c r="AJ109" s="31"/>
      <c r="AK109" s="31"/>
      <c r="AL109" s="31"/>
      <c r="AM109" s="31"/>
    </row>
    <row r="110" spans="1:39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G110" s="31"/>
      <c r="AH110" s="31"/>
      <c r="AI110" s="31"/>
      <c r="AJ110" s="31"/>
      <c r="AK110" s="31"/>
      <c r="AL110" s="31"/>
      <c r="AM110" s="31"/>
    </row>
    <row r="111" spans="1:39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G111" s="31"/>
      <c r="AH111" s="31"/>
      <c r="AI111" s="31"/>
      <c r="AJ111" s="31"/>
      <c r="AK111" s="31"/>
      <c r="AL111" s="31"/>
      <c r="AM111" s="31"/>
    </row>
    <row r="112" spans="1:39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G112" s="31"/>
      <c r="AH112" s="31"/>
      <c r="AI112" s="31"/>
      <c r="AJ112" s="31"/>
      <c r="AK112" s="31"/>
      <c r="AL112" s="31"/>
      <c r="AM112" s="31"/>
    </row>
    <row r="113" spans="1:39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G113" s="31"/>
      <c r="AH113" s="31"/>
      <c r="AI113" s="31"/>
      <c r="AJ113" s="31"/>
      <c r="AK113" s="31"/>
      <c r="AL113" s="31"/>
      <c r="AM113" s="31"/>
    </row>
    <row r="114" spans="1:39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G114" s="31"/>
      <c r="AH114" s="31"/>
      <c r="AI114" s="31"/>
      <c r="AJ114" s="31"/>
      <c r="AK114" s="31"/>
      <c r="AL114" s="31"/>
      <c r="AM114" s="31"/>
    </row>
    <row r="115" spans="1:39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G115" s="31"/>
      <c r="AH115" s="31"/>
      <c r="AI115" s="31"/>
      <c r="AJ115" s="31"/>
      <c r="AK115" s="31"/>
      <c r="AL115" s="31"/>
      <c r="AM115" s="31"/>
    </row>
    <row r="116" spans="1:39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G116" s="31"/>
      <c r="AH116" s="31"/>
      <c r="AI116" s="31"/>
      <c r="AJ116" s="31"/>
      <c r="AK116" s="31"/>
      <c r="AL116" s="31"/>
      <c r="AM116" s="31"/>
    </row>
    <row r="117" spans="1:39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G117" s="31"/>
      <c r="AH117" s="31"/>
      <c r="AI117" s="31"/>
      <c r="AJ117" s="31"/>
      <c r="AK117" s="31"/>
      <c r="AL117" s="31"/>
      <c r="AM117" s="31"/>
    </row>
    <row r="118" spans="1:39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G118" s="31"/>
      <c r="AH118" s="31"/>
      <c r="AI118" s="31"/>
      <c r="AJ118" s="31"/>
      <c r="AK118" s="31"/>
      <c r="AL118" s="31"/>
      <c r="AM118" s="31"/>
    </row>
    <row r="119" spans="1:39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G119" s="31"/>
      <c r="AH119" s="31"/>
      <c r="AI119" s="31"/>
      <c r="AJ119" s="31"/>
      <c r="AK119" s="31"/>
      <c r="AL119" s="31"/>
      <c r="AM119" s="31"/>
    </row>
    <row r="120" spans="1:39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G120" s="31"/>
      <c r="AH120" s="31"/>
      <c r="AI120" s="31"/>
      <c r="AJ120" s="31"/>
      <c r="AK120" s="31"/>
      <c r="AL120" s="31"/>
      <c r="AM120" s="31"/>
    </row>
    <row r="121" spans="1:39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G121" s="31"/>
      <c r="AH121" s="31"/>
      <c r="AI121" s="31"/>
      <c r="AJ121" s="31"/>
      <c r="AK121" s="31"/>
      <c r="AL121" s="31"/>
      <c r="AM121" s="31"/>
    </row>
    <row r="122" spans="1:39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G122" s="31"/>
      <c r="AH122" s="31"/>
      <c r="AI122" s="31"/>
      <c r="AJ122" s="31"/>
      <c r="AK122" s="31"/>
      <c r="AL122" s="31"/>
      <c r="AM122" s="31"/>
    </row>
    <row r="123" spans="1:39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G123" s="31"/>
      <c r="AH123" s="31"/>
      <c r="AI123" s="31"/>
      <c r="AJ123" s="31"/>
      <c r="AK123" s="31"/>
      <c r="AL123" s="31"/>
      <c r="AM123" s="31"/>
    </row>
    <row r="124" spans="1:39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G124" s="31"/>
      <c r="AH124" s="31"/>
      <c r="AI124" s="31"/>
      <c r="AJ124" s="31"/>
      <c r="AK124" s="31"/>
      <c r="AL124" s="31"/>
      <c r="AM124" s="31"/>
    </row>
    <row r="125" spans="1:39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G125" s="31"/>
      <c r="AH125" s="31"/>
      <c r="AI125" s="31"/>
      <c r="AJ125" s="31"/>
      <c r="AK125" s="31"/>
      <c r="AL125" s="31"/>
      <c r="AM125" s="31"/>
    </row>
    <row r="126" spans="1:39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G126" s="31"/>
      <c r="AH126" s="31"/>
      <c r="AI126" s="31"/>
      <c r="AJ126" s="31"/>
      <c r="AK126" s="31"/>
      <c r="AL126" s="31"/>
      <c r="AM126" s="31"/>
    </row>
    <row r="127" spans="1:39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G127" s="31"/>
      <c r="AH127" s="31"/>
      <c r="AI127" s="31"/>
      <c r="AJ127" s="31"/>
      <c r="AK127" s="31"/>
      <c r="AL127" s="31"/>
      <c r="AM127" s="31"/>
    </row>
    <row r="128" spans="1:39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G128" s="31"/>
      <c r="AH128" s="31"/>
      <c r="AI128" s="31"/>
      <c r="AJ128" s="31"/>
      <c r="AK128" s="31"/>
      <c r="AL128" s="31"/>
      <c r="AM128" s="31"/>
    </row>
    <row r="129" spans="1:39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G129" s="31"/>
      <c r="AH129" s="31"/>
      <c r="AI129" s="31"/>
      <c r="AJ129" s="31"/>
      <c r="AK129" s="31"/>
      <c r="AL129" s="31"/>
      <c r="AM129" s="31"/>
    </row>
    <row r="130" spans="1:39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G130" s="31"/>
      <c r="AH130" s="31"/>
      <c r="AI130" s="31"/>
      <c r="AJ130" s="31"/>
      <c r="AK130" s="31"/>
      <c r="AL130" s="31"/>
      <c r="AM130" s="31"/>
    </row>
    <row r="131" spans="1:39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G131" s="31"/>
      <c r="AH131" s="31"/>
      <c r="AI131" s="31"/>
      <c r="AJ131" s="31"/>
      <c r="AK131" s="31"/>
      <c r="AL131" s="31"/>
      <c r="AM131" s="31"/>
    </row>
    <row r="132" spans="1:39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G132" s="31"/>
      <c r="AH132" s="31"/>
      <c r="AI132" s="31"/>
      <c r="AJ132" s="31"/>
      <c r="AK132" s="31"/>
      <c r="AL132" s="31"/>
      <c r="AM132" s="31"/>
    </row>
    <row r="133" spans="1:39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G133" s="31"/>
      <c r="AH133" s="31"/>
      <c r="AI133" s="31"/>
      <c r="AJ133" s="31"/>
      <c r="AK133" s="31"/>
      <c r="AL133" s="31"/>
      <c r="AM133" s="31"/>
    </row>
    <row r="134" spans="1:39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G134" s="31"/>
      <c r="AH134" s="31"/>
      <c r="AI134" s="31"/>
      <c r="AJ134" s="31"/>
      <c r="AK134" s="31"/>
      <c r="AL134" s="31"/>
      <c r="AM134" s="31"/>
    </row>
    <row r="135" spans="1:39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G135" s="31"/>
      <c r="AH135" s="31"/>
      <c r="AI135" s="31"/>
      <c r="AJ135" s="31"/>
      <c r="AK135" s="31"/>
      <c r="AL135" s="31"/>
      <c r="AM135" s="31"/>
    </row>
    <row r="136" spans="1:39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G136" s="31"/>
      <c r="AH136" s="31"/>
      <c r="AI136" s="31"/>
      <c r="AJ136" s="31"/>
      <c r="AK136" s="31"/>
      <c r="AL136" s="31"/>
      <c r="AM136" s="31"/>
    </row>
    <row r="137" spans="1:39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G137" s="31"/>
      <c r="AH137" s="31"/>
      <c r="AI137" s="31"/>
      <c r="AJ137" s="31"/>
      <c r="AK137" s="31"/>
      <c r="AL137" s="31"/>
      <c r="AM137" s="31"/>
    </row>
    <row r="138" spans="1:39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G138" s="31"/>
      <c r="AH138" s="31"/>
      <c r="AI138" s="31"/>
      <c r="AJ138" s="31"/>
      <c r="AK138" s="31"/>
      <c r="AL138" s="31"/>
      <c r="AM138" s="31"/>
    </row>
    <row r="139" spans="1:39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G139" s="31"/>
      <c r="AH139" s="31"/>
      <c r="AI139" s="31"/>
      <c r="AJ139" s="31"/>
      <c r="AK139" s="31"/>
      <c r="AL139" s="31"/>
      <c r="AM139" s="31"/>
    </row>
    <row r="140" spans="1:39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G140" s="31"/>
      <c r="AH140" s="31"/>
      <c r="AI140" s="31"/>
      <c r="AJ140" s="31"/>
      <c r="AK140" s="31"/>
      <c r="AL140" s="31"/>
      <c r="AM140" s="31"/>
    </row>
    <row r="141" spans="1:39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G141" s="31"/>
      <c r="AH141" s="31"/>
      <c r="AI141" s="31"/>
      <c r="AJ141" s="31"/>
      <c r="AK141" s="31"/>
      <c r="AL141" s="31"/>
      <c r="AM141" s="31"/>
    </row>
    <row r="142" spans="1:39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G142" s="31"/>
      <c r="AH142" s="31"/>
      <c r="AI142" s="31"/>
      <c r="AJ142" s="31"/>
      <c r="AK142" s="31"/>
      <c r="AL142" s="31"/>
      <c r="AM142" s="31"/>
    </row>
    <row r="143" spans="1:39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G143" s="31"/>
      <c r="AH143" s="31"/>
      <c r="AI143" s="31"/>
      <c r="AJ143" s="31"/>
      <c r="AK143" s="31"/>
      <c r="AL143" s="31"/>
      <c r="AM143" s="31"/>
    </row>
    <row r="144" spans="1:39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G144" s="31"/>
      <c r="AH144" s="31"/>
      <c r="AI144" s="31"/>
      <c r="AJ144" s="31"/>
      <c r="AK144" s="31"/>
      <c r="AL144" s="31"/>
      <c r="AM144" s="31"/>
    </row>
    <row r="145" spans="1:39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G145" s="31"/>
      <c r="AH145" s="31"/>
      <c r="AI145" s="31"/>
      <c r="AJ145" s="31"/>
      <c r="AK145" s="31"/>
      <c r="AL145" s="31"/>
      <c r="AM145" s="31"/>
    </row>
    <row r="146" spans="1:39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G146" s="31"/>
      <c r="AH146" s="31"/>
      <c r="AI146" s="31"/>
      <c r="AJ146" s="31"/>
      <c r="AK146" s="31"/>
      <c r="AL146" s="31"/>
      <c r="AM146" s="31"/>
    </row>
    <row r="147" spans="1:39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G147" s="31"/>
      <c r="AH147" s="31"/>
      <c r="AI147" s="31"/>
      <c r="AJ147" s="31"/>
      <c r="AK147" s="31"/>
      <c r="AL147" s="31"/>
      <c r="AM147" s="31"/>
    </row>
    <row r="148" spans="1:39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G148" s="31"/>
      <c r="AH148" s="31"/>
      <c r="AI148" s="31"/>
      <c r="AJ148" s="31"/>
      <c r="AK148" s="31"/>
      <c r="AL148" s="31"/>
      <c r="AM148" s="31"/>
    </row>
    <row r="149" spans="1:39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G149" s="31"/>
      <c r="AH149" s="31"/>
      <c r="AI149" s="31"/>
      <c r="AJ149" s="31"/>
      <c r="AK149" s="31"/>
      <c r="AL149" s="31"/>
      <c r="AM149" s="31"/>
    </row>
    <row r="150" spans="1:39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G150" s="31"/>
      <c r="AH150" s="31"/>
      <c r="AI150" s="31"/>
      <c r="AJ150" s="31"/>
      <c r="AK150" s="31"/>
      <c r="AL150" s="31"/>
      <c r="AM150" s="31"/>
    </row>
    <row r="151" spans="1:39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G151" s="31"/>
      <c r="AH151" s="31"/>
      <c r="AI151" s="31"/>
      <c r="AJ151" s="31"/>
      <c r="AK151" s="31"/>
      <c r="AL151" s="31"/>
      <c r="AM151" s="31"/>
    </row>
    <row r="152" spans="1:39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G152" s="31"/>
      <c r="AH152" s="31"/>
      <c r="AI152" s="31"/>
      <c r="AJ152" s="31"/>
      <c r="AK152" s="31"/>
      <c r="AL152" s="31"/>
      <c r="AM152" s="31"/>
    </row>
    <row r="153" spans="1:39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G153" s="31"/>
      <c r="AH153" s="31"/>
      <c r="AI153" s="31"/>
      <c r="AJ153" s="31"/>
      <c r="AK153" s="31"/>
      <c r="AL153" s="31"/>
      <c r="AM153" s="31"/>
    </row>
    <row r="154" spans="1:39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G154" s="31"/>
      <c r="AH154" s="31"/>
      <c r="AI154" s="31"/>
      <c r="AJ154" s="31"/>
      <c r="AK154" s="31"/>
      <c r="AL154" s="31"/>
      <c r="AM154" s="31"/>
    </row>
    <row r="155" spans="1:39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G155" s="31"/>
      <c r="AH155" s="31"/>
      <c r="AI155" s="31"/>
      <c r="AJ155" s="31"/>
      <c r="AK155" s="31"/>
      <c r="AL155" s="31"/>
      <c r="AM155" s="31"/>
    </row>
    <row r="156" spans="1:39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G156" s="31"/>
      <c r="AH156" s="31"/>
      <c r="AI156" s="31"/>
      <c r="AJ156" s="31"/>
      <c r="AK156" s="31"/>
      <c r="AL156" s="31"/>
      <c r="AM156" s="31"/>
    </row>
    <row r="157" spans="1:39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G157" s="31"/>
      <c r="AH157" s="31"/>
      <c r="AI157" s="31"/>
      <c r="AJ157" s="31"/>
      <c r="AK157" s="31"/>
      <c r="AL157" s="31"/>
      <c r="AM157" s="31"/>
    </row>
    <row r="158" spans="1:39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G158" s="31"/>
      <c r="AH158" s="31"/>
      <c r="AI158" s="31"/>
      <c r="AJ158" s="31"/>
      <c r="AK158" s="31"/>
      <c r="AL158" s="31"/>
      <c r="AM158" s="31"/>
    </row>
    <row r="159" spans="1:39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G159" s="31"/>
      <c r="AH159" s="31"/>
      <c r="AI159" s="31"/>
      <c r="AJ159" s="31"/>
      <c r="AK159" s="31"/>
      <c r="AL159" s="31"/>
      <c r="AM159" s="31"/>
    </row>
    <row r="160" spans="1:39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G160" s="31"/>
      <c r="AH160" s="31"/>
      <c r="AI160" s="31"/>
      <c r="AJ160" s="31"/>
      <c r="AK160" s="31"/>
      <c r="AL160" s="31"/>
      <c r="AM160" s="31"/>
    </row>
    <row r="161" spans="1:39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G161" s="31"/>
      <c r="AH161" s="31"/>
      <c r="AI161" s="31"/>
      <c r="AJ161" s="31"/>
      <c r="AK161" s="31"/>
      <c r="AL161" s="31"/>
      <c r="AM161" s="31"/>
    </row>
    <row r="162" spans="1:39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G162" s="31"/>
      <c r="AH162" s="31"/>
      <c r="AI162" s="31"/>
      <c r="AJ162" s="31"/>
      <c r="AK162" s="31"/>
      <c r="AL162" s="31"/>
      <c r="AM162" s="31"/>
    </row>
    <row r="163" spans="1:39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G163" s="31"/>
      <c r="AH163" s="31"/>
      <c r="AI163" s="31"/>
      <c r="AJ163" s="31"/>
      <c r="AK163" s="31"/>
      <c r="AL163" s="31"/>
      <c r="AM163" s="31"/>
    </row>
    <row r="164" spans="1:39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G164" s="31"/>
      <c r="AH164" s="31"/>
      <c r="AI164" s="31"/>
      <c r="AJ164" s="31"/>
      <c r="AK164" s="31"/>
      <c r="AL164" s="31"/>
      <c r="AM164" s="31"/>
    </row>
    <row r="165" spans="1:39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G165" s="31"/>
      <c r="AH165" s="31"/>
      <c r="AI165" s="31"/>
      <c r="AJ165" s="31"/>
      <c r="AK165" s="31"/>
      <c r="AL165" s="31"/>
      <c r="AM165" s="31"/>
    </row>
    <row r="166" spans="1:39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G166" s="31"/>
      <c r="AH166" s="31"/>
      <c r="AI166" s="31"/>
      <c r="AJ166" s="31"/>
      <c r="AK166" s="31"/>
      <c r="AL166" s="31"/>
      <c r="AM166" s="31"/>
    </row>
    <row r="167" spans="1:39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G167" s="31"/>
      <c r="AH167" s="31"/>
      <c r="AI167" s="31"/>
      <c r="AJ167" s="31"/>
      <c r="AK167" s="31"/>
      <c r="AL167" s="31"/>
      <c r="AM167" s="31"/>
    </row>
    <row r="168" spans="1:39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G168" s="31"/>
      <c r="AH168" s="31"/>
      <c r="AI168" s="31"/>
      <c r="AJ168" s="31"/>
      <c r="AK168" s="31"/>
      <c r="AL168" s="31"/>
      <c r="AM168" s="31"/>
    </row>
    <row r="169" spans="1:39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G169" s="31"/>
      <c r="AH169" s="31"/>
      <c r="AI169" s="31"/>
      <c r="AJ169" s="31"/>
      <c r="AK169" s="31"/>
      <c r="AL169" s="31"/>
      <c r="AM169" s="31"/>
    </row>
    <row r="170" spans="1:39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G170" s="31"/>
      <c r="AH170" s="31"/>
      <c r="AI170" s="31"/>
      <c r="AJ170" s="31"/>
      <c r="AK170" s="31"/>
      <c r="AL170" s="31"/>
      <c r="AM170" s="31"/>
    </row>
    <row r="171" spans="1:39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G171" s="31"/>
      <c r="AH171" s="31"/>
      <c r="AI171" s="31"/>
      <c r="AJ171" s="31"/>
      <c r="AK171" s="31"/>
      <c r="AL171" s="31"/>
      <c r="AM171" s="31"/>
    </row>
    <row r="172" spans="1:39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G172" s="31"/>
      <c r="AH172" s="31"/>
      <c r="AI172" s="31"/>
      <c r="AJ172" s="31"/>
      <c r="AK172" s="31"/>
      <c r="AL172" s="31"/>
      <c r="AM172" s="31"/>
    </row>
    <row r="173" spans="1:39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G173" s="31"/>
      <c r="AH173" s="31"/>
      <c r="AI173" s="31"/>
      <c r="AJ173" s="31"/>
      <c r="AK173" s="31"/>
      <c r="AL173" s="31"/>
      <c r="AM173" s="31"/>
    </row>
    <row r="174" spans="1:39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G174" s="31"/>
      <c r="AH174" s="31"/>
      <c r="AI174" s="31"/>
      <c r="AJ174" s="31"/>
      <c r="AK174" s="31"/>
      <c r="AL174" s="31"/>
      <c r="AM174" s="31"/>
    </row>
    <row r="175" spans="1:39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G175" s="31"/>
      <c r="AH175" s="31"/>
      <c r="AI175" s="31"/>
      <c r="AJ175" s="31"/>
      <c r="AK175" s="31"/>
      <c r="AL175" s="31"/>
      <c r="AM175" s="31"/>
    </row>
    <row r="176" spans="1:39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G176" s="31"/>
      <c r="AH176" s="31"/>
      <c r="AI176" s="31"/>
      <c r="AJ176" s="31"/>
      <c r="AK176" s="31"/>
      <c r="AL176" s="31"/>
      <c r="AM176" s="31"/>
    </row>
    <row r="177" spans="1:39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G177" s="31"/>
      <c r="AH177" s="31"/>
      <c r="AI177" s="31"/>
      <c r="AJ177" s="31"/>
      <c r="AK177" s="31"/>
      <c r="AL177" s="31"/>
      <c r="AM177" s="31"/>
    </row>
    <row r="178" spans="1:39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G178" s="31"/>
      <c r="AH178" s="31"/>
      <c r="AI178" s="31"/>
      <c r="AJ178" s="31"/>
      <c r="AK178" s="31"/>
      <c r="AL178" s="31"/>
      <c r="AM178" s="31"/>
    </row>
    <row r="179" spans="1:39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G179" s="31"/>
      <c r="AH179" s="31"/>
      <c r="AI179" s="31"/>
      <c r="AJ179" s="31"/>
      <c r="AK179" s="31"/>
      <c r="AL179" s="31"/>
      <c r="AM179" s="31"/>
    </row>
    <row r="180" spans="1:39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G180" s="31"/>
      <c r="AH180" s="31"/>
      <c r="AI180" s="31"/>
      <c r="AJ180" s="31"/>
      <c r="AK180" s="31"/>
      <c r="AL180" s="31"/>
      <c r="AM180" s="31"/>
    </row>
    <row r="181" spans="1:39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G181" s="31"/>
      <c r="AH181" s="31"/>
      <c r="AI181" s="31"/>
      <c r="AJ181" s="31"/>
      <c r="AK181" s="31"/>
      <c r="AL181" s="31"/>
      <c r="AM181" s="31"/>
    </row>
    <row r="182" spans="1:39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G182" s="31"/>
      <c r="AH182" s="31"/>
      <c r="AI182" s="31"/>
      <c r="AJ182" s="31"/>
      <c r="AK182" s="31"/>
      <c r="AL182" s="31"/>
      <c r="AM182" s="31"/>
    </row>
    <row r="183" spans="1:39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G183" s="31"/>
      <c r="AH183" s="31"/>
      <c r="AI183" s="31"/>
      <c r="AJ183" s="31"/>
      <c r="AK183" s="31"/>
      <c r="AL183" s="31"/>
      <c r="AM183" s="31"/>
    </row>
    <row r="184" spans="1:39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G184" s="31"/>
      <c r="AH184" s="31"/>
      <c r="AI184" s="31"/>
      <c r="AJ184" s="31"/>
      <c r="AK184" s="31"/>
      <c r="AL184" s="31"/>
      <c r="AM184" s="31"/>
    </row>
    <row r="185" spans="1:39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G185" s="31"/>
      <c r="AH185" s="31"/>
      <c r="AI185" s="31"/>
      <c r="AJ185" s="31"/>
      <c r="AK185" s="31"/>
      <c r="AL185" s="31"/>
      <c r="AM185" s="31"/>
    </row>
    <row r="186" spans="1:39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G186" s="31"/>
      <c r="AH186" s="31"/>
      <c r="AI186" s="31"/>
      <c r="AJ186" s="31"/>
      <c r="AK186" s="31"/>
      <c r="AL186" s="31"/>
      <c r="AM186" s="31"/>
    </row>
    <row r="187" spans="1:39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G187" s="31"/>
      <c r="AH187" s="31"/>
      <c r="AI187" s="31"/>
      <c r="AJ187" s="31"/>
      <c r="AK187" s="31"/>
      <c r="AL187" s="31"/>
      <c r="AM187" s="31"/>
    </row>
    <row r="188" spans="1:39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G188" s="31"/>
      <c r="AH188" s="31"/>
      <c r="AI188" s="31"/>
      <c r="AJ188" s="31"/>
      <c r="AK188" s="31"/>
      <c r="AL188" s="31"/>
      <c r="AM188" s="31"/>
    </row>
    <row r="189" spans="1:39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G189" s="31"/>
      <c r="AH189" s="31"/>
      <c r="AI189" s="31"/>
      <c r="AJ189" s="31"/>
      <c r="AK189" s="31"/>
      <c r="AL189" s="31"/>
      <c r="AM189" s="31"/>
    </row>
    <row r="190" spans="1:39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G190" s="31"/>
      <c r="AH190" s="31"/>
      <c r="AI190" s="31"/>
      <c r="AJ190" s="31"/>
      <c r="AK190" s="31"/>
      <c r="AL190" s="31"/>
      <c r="AM190" s="31"/>
    </row>
    <row r="191" spans="1:39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G191" s="31"/>
      <c r="AH191" s="31"/>
      <c r="AI191" s="31"/>
      <c r="AJ191" s="31"/>
      <c r="AK191" s="31"/>
      <c r="AL191" s="31"/>
      <c r="AM191" s="31"/>
    </row>
    <row r="192" spans="1:39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G192" s="31"/>
      <c r="AH192" s="31"/>
      <c r="AI192" s="31"/>
      <c r="AJ192" s="31"/>
      <c r="AK192" s="31"/>
      <c r="AL192" s="31"/>
      <c r="AM192" s="31"/>
    </row>
    <row r="193" spans="1:39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G193" s="31"/>
      <c r="AH193" s="31"/>
      <c r="AI193" s="31"/>
      <c r="AJ193" s="31"/>
      <c r="AK193" s="31"/>
      <c r="AL193" s="31"/>
      <c r="AM193" s="31"/>
    </row>
    <row r="194" spans="1:39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G194" s="31"/>
      <c r="AH194" s="31"/>
      <c r="AI194" s="31"/>
      <c r="AJ194" s="31"/>
      <c r="AK194" s="31"/>
      <c r="AL194" s="31"/>
      <c r="AM194" s="31"/>
    </row>
    <row r="195" spans="1:39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G195" s="31"/>
      <c r="AH195" s="31"/>
      <c r="AI195" s="31"/>
      <c r="AJ195" s="31"/>
      <c r="AK195" s="31"/>
      <c r="AL195" s="31"/>
      <c r="AM195" s="31"/>
    </row>
    <row r="196" spans="1:39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G196" s="31"/>
      <c r="AH196" s="31"/>
      <c r="AI196" s="31"/>
      <c r="AJ196" s="31"/>
      <c r="AK196" s="31"/>
      <c r="AL196" s="31"/>
      <c r="AM196" s="31"/>
    </row>
    <row r="197" spans="1:39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G197" s="31"/>
      <c r="AH197" s="31"/>
      <c r="AI197" s="31"/>
      <c r="AJ197" s="31"/>
      <c r="AK197" s="31"/>
      <c r="AL197" s="31"/>
      <c r="AM197" s="31"/>
    </row>
    <row r="198" spans="1:39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G198" s="31"/>
      <c r="AH198" s="31"/>
      <c r="AI198" s="31"/>
      <c r="AJ198" s="31"/>
      <c r="AK198" s="31"/>
      <c r="AL198" s="31"/>
      <c r="AM198" s="31"/>
    </row>
    <row r="199" spans="1:39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G199" s="31"/>
      <c r="AH199" s="31"/>
      <c r="AI199" s="31"/>
      <c r="AJ199" s="31"/>
      <c r="AK199" s="31"/>
      <c r="AL199" s="31"/>
      <c r="AM199" s="31"/>
    </row>
    <row r="200" spans="1:39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G200" s="31"/>
      <c r="AH200" s="31"/>
      <c r="AI200" s="31"/>
      <c r="AJ200" s="31"/>
      <c r="AK200" s="31"/>
      <c r="AL200" s="31"/>
      <c r="AM200" s="31"/>
    </row>
    <row r="201" spans="1:39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G201" s="31"/>
      <c r="AH201" s="31"/>
      <c r="AI201" s="31"/>
      <c r="AJ201" s="31"/>
      <c r="AK201" s="31"/>
      <c r="AL201" s="31"/>
      <c r="AM201" s="31"/>
    </row>
    <row r="202" spans="1:39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G202" s="31"/>
      <c r="AH202" s="31"/>
      <c r="AI202" s="31"/>
      <c r="AJ202" s="31"/>
      <c r="AK202" s="31"/>
      <c r="AL202" s="31"/>
      <c r="AM202" s="31"/>
    </row>
    <row r="203" spans="1:39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G203" s="31"/>
      <c r="AH203" s="31"/>
      <c r="AI203" s="31"/>
      <c r="AJ203" s="31"/>
      <c r="AK203" s="31"/>
      <c r="AL203" s="31"/>
      <c r="AM203" s="31"/>
    </row>
    <row r="204" spans="1:39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G204" s="31"/>
      <c r="AH204" s="31"/>
      <c r="AI204" s="31"/>
      <c r="AJ204" s="31"/>
      <c r="AK204" s="31"/>
      <c r="AL204" s="31"/>
      <c r="AM204" s="31"/>
    </row>
    <row r="205" spans="1:39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G205" s="31"/>
      <c r="AH205" s="31"/>
      <c r="AI205" s="31"/>
      <c r="AJ205" s="31"/>
      <c r="AK205" s="31"/>
      <c r="AL205" s="31"/>
      <c r="AM205" s="31"/>
    </row>
    <row r="206" spans="1:39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G206" s="31"/>
      <c r="AH206" s="31"/>
      <c r="AI206" s="31"/>
      <c r="AJ206" s="31"/>
      <c r="AK206" s="31"/>
      <c r="AL206" s="31"/>
      <c r="AM206" s="31"/>
    </row>
    <row r="207" spans="1:39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G207" s="31"/>
      <c r="AH207" s="31"/>
      <c r="AI207" s="31"/>
      <c r="AJ207" s="31"/>
      <c r="AK207" s="31"/>
      <c r="AL207" s="31"/>
      <c r="AM207" s="31"/>
    </row>
    <row r="208" spans="1:39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G208" s="31"/>
      <c r="AH208" s="31"/>
      <c r="AI208" s="31"/>
      <c r="AJ208" s="31"/>
      <c r="AK208" s="31"/>
      <c r="AL208" s="31"/>
      <c r="AM208" s="31"/>
    </row>
    <row r="209" spans="1:39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G209" s="31"/>
      <c r="AH209" s="31"/>
      <c r="AI209" s="31"/>
      <c r="AJ209" s="31"/>
      <c r="AK209" s="31"/>
      <c r="AL209" s="31"/>
      <c r="AM209" s="31"/>
    </row>
    <row r="210" spans="1:39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G210" s="31"/>
      <c r="AH210" s="31"/>
      <c r="AI210" s="31"/>
      <c r="AJ210" s="31"/>
      <c r="AK210" s="31"/>
      <c r="AL210" s="31"/>
      <c r="AM210" s="31"/>
    </row>
    <row r="211" spans="1:39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G211" s="31"/>
      <c r="AH211" s="31"/>
      <c r="AI211" s="31"/>
      <c r="AJ211" s="31"/>
      <c r="AK211" s="31"/>
      <c r="AL211" s="31"/>
      <c r="AM211" s="31"/>
    </row>
    <row r="212" spans="1:39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G212" s="31"/>
      <c r="AH212" s="31"/>
      <c r="AI212" s="31"/>
      <c r="AJ212" s="31"/>
      <c r="AK212" s="31"/>
      <c r="AL212" s="31"/>
      <c r="AM212" s="31"/>
    </row>
    <row r="213" spans="1:39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G213" s="31"/>
      <c r="AH213" s="31"/>
      <c r="AI213" s="31"/>
      <c r="AJ213" s="31"/>
      <c r="AK213" s="31"/>
      <c r="AL213" s="31"/>
      <c r="AM213" s="31"/>
    </row>
    <row r="214" spans="1:39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G214" s="31"/>
      <c r="AH214" s="31"/>
      <c r="AI214" s="31"/>
      <c r="AJ214" s="31"/>
      <c r="AK214" s="31"/>
      <c r="AL214" s="31"/>
      <c r="AM214" s="31"/>
    </row>
    <row r="215" spans="1:39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G215" s="31"/>
      <c r="AH215" s="31"/>
      <c r="AI215" s="31"/>
      <c r="AJ215" s="31"/>
      <c r="AK215" s="31"/>
      <c r="AL215" s="31"/>
      <c r="AM215" s="31"/>
    </row>
    <row r="216" spans="1:39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G216" s="31"/>
      <c r="AH216" s="31"/>
      <c r="AI216" s="31"/>
      <c r="AJ216" s="31"/>
      <c r="AK216" s="31"/>
      <c r="AL216" s="31"/>
      <c r="AM216" s="31"/>
    </row>
    <row r="217" spans="1:39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G217" s="31"/>
      <c r="AH217" s="31"/>
      <c r="AI217" s="31"/>
      <c r="AJ217" s="31"/>
      <c r="AK217" s="31"/>
      <c r="AL217" s="31"/>
      <c r="AM217" s="31"/>
    </row>
    <row r="218" spans="1:39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G218" s="31"/>
      <c r="AH218" s="31"/>
      <c r="AI218" s="31"/>
      <c r="AJ218" s="31"/>
      <c r="AK218" s="31"/>
      <c r="AL218" s="31"/>
      <c r="AM218" s="31"/>
    </row>
    <row r="219" spans="1:39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G219" s="31"/>
      <c r="AH219" s="31"/>
      <c r="AI219" s="31"/>
      <c r="AJ219" s="31"/>
      <c r="AK219" s="31"/>
      <c r="AL219" s="31"/>
      <c r="AM219" s="31"/>
    </row>
    <row r="220" spans="1:39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G220" s="31"/>
      <c r="AH220" s="31"/>
      <c r="AI220" s="31"/>
      <c r="AJ220" s="31"/>
      <c r="AK220" s="31"/>
      <c r="AL220" s="31"/>
      <c r="AM220" s="31"/>
    </row>
    <row r="221" spans="1:39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G221" s="31"/>
      <c r="AH221" s="31"/>
      <c r="AI221" s="31"/>
      <c r="AJ221" s="31"/>
      <c r="AK221" s="31"/>
      <c r="AL221" s="31"/>
      <c r="AM221" s="31"/>
    </row>
    <row r="222" spans="1:39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G222" s="31"/>
      <c r="AH222" s="31"/>
      <c r="AI222" s="31"/>
      <c r="AJ222" s="31"/>
      <c r="AK222" s="31"/>
      <c r="AL222" s="31"/>
      <c r="AM222" s="31"/>
    </row>
    <row r="223" spans="1:39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G223" s="31"/>
      <c r="AH223" s="31"/>
      <c r="AI223" s="31"/>
      <c r="AJ223" s="31"/>
      <c r="AK223" s="31"/>
      <c r="AL223" s="31"/>
      <c r="AM223" s="31"/>
    </row>
    <row r="224" spans="1:39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G224" s="31"/>
      <c r="AH224" s="31"/>
      <c r="AI224" s="31"/>
      <c r="AJ224" s="31"/>
      <c r="AK224" s="31"/>
      <c r="AL224" s="31"/>
      <c r="AM224" s="31"/>
    </row>
    <row r="225" spans="1:39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G225" s="31"/>
      <c r="AH225" s="31"/>
      <c r="AI225" s="31"/>
      <c r="AJ225" s="31"/>
      <c r="AK225" s="31"/>
      <c r="AL225" s="31"/>
      <c r="AM225" s="31"/>
    </row>
    <row r="226" spans="1:39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G226" s="31"/>
      <c r="AH226" s="31"/>
      <c r="AI226" s="31"/>
      <c r="AJ226" s="31"/>
      <c r="AK226" s="31"/>
      <c r="AL226" s="31"/>
      <c r="AM226" s="31"/>
    </row>
    <row r="227" spans="1:39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G227" s="31"/>
      <c r="AH227" s="31"/>
      <c r="AI227" s="31"/>
      <c r="AJ227" s="31"/>
      <c r="AK227" s="31"/>
      <c r="AL227" s="31"/>
      <c r="AM227" s="31"/>
    </row>
    <row r="228" spans="1:39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G228" s="31"/>
      <c r="AH228" s="31"/>
      <c r="AI228" s="31"/>
      <c r="AJ228" s="31"/>
      <c r="AK228" s="31"/>
      <c r="AL228" s="31"/>
      <c r="AM228" s="31"/>
    </row>
    <row r="229" spans="1:39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G229" s="31"/>
      <c r="AH229" s="31"/>
      <c r="AI229" s="31"/>
      <c r="AJ229" s="31"/>
      <c r="AK229" s="31"/>
      <c r="AL229" s="31"/>
      <c r="AM229" s="31"/>
    </row>
    <row r="230" spans="1:39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G230" s="31"/>
      <c r="AH230" s="31"/>
      <c r="AI230" s="31"/>
      <c r="AJ230" s="31"/>
      <c r="AK230" s="31"/>
      <c r="AL230" s="31"/>
      <c r="AM230" s="31"/>
    </row>
    <row r="231" spans="1:39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G231" s="31"/>
      <c r="AH231" s="31"/>
      <c r="AI231" s="31"/>
      <c r="AJ231" s="31"/>
      <c r="AK231" s="31"/>
      <c r="AL231" s="31"/>
      <c r="AM231" s="31"/>
    </row>
    <row r="232" spans="1:39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G232" s="31"/>
      <c r="AH232" s="31"/>
      <c r="AI232" s="31"/>
      <c r="AJ232" s="31"/>
      <c r="AK232" s="31"/>
      <c r="AL232" s="31"/>
      <c r="AM232" s="31"/>
    </row>
    <row r="233" spans="1:39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G233" s="31"/>
      <c r="AH233" s="31"/>
      <c r="AI233" s="31"/>
      <c r="AJ233" s="31"/>
      <c r="AK233" s="31"/>
      <c r="AL233" s="31"/>
      <c r="AM233" s="31"/>
    </row>
    <row r="234" spans="1:39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G234" s="31"/>
      <c r="AH234" s="31"/>
      <c r="AI234" s="31"/>
      <c r="AJ234" s="31"/>
      <c r="AK234" s="31"/>
      <c r="AL234" s="31"/>
      <c r="AM234" s="31"/>
    </row>
    <row r="235" spans="1:39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G235" s="31"/>
      <c r="AH235" s="31"/>
      <c r="AI235" s="31"/>
      <c r="AJ235" s="31"/>
      <c r="AK235" s="31"/>
      <c r="AL235" s="31"/>
      <c r="AM235" s="31"/>
    </row>
    <row r="236" spans="1:39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G236" s="31"/>
      <c r="AH236" s="31"/>
      <c r="AI236" s="31"/>
      <c r="AJ236" s="31"/>
      <c r="AK236" s="31"/>
      <c r="AL236" s="31"/>
      <c r="AM236" s="31"/>
    </row>
    <row r="237" spans="1:39" ht="12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G237" s="31"/>
      <c r="AH237" s="31"/>
      <c r="AI237" s="31"/>
      <c r="AJ237" s="31"/>
      <c r="AK237" s="31"/>
      <c r="AL237" s="31"/>
      <c r="AM237" s="31"/>
    </row>
    <row r="238" spans="1:39" ht="12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G238" s="31"/>
      <c r="AH238" s="31"/>
      <c r="AI238" s="31"/>
      <c r="AJ238" s="31"/>
      <c r="AK238" s="31"/>
      <c r="AL238" s="31"/>
      <c r="AM238" s="31"/>
    </row>
    <row r="239" spans="1:39" ht="12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G239" s="31"/>
      <c r="AH239" s="31"/>
      <c r="AI239" s="31"/>
      <c r="AJ239" s="31"/>
      <c r="AK239" s="31"/>
      <c r="AL239" s="31"/>
      <c r="AM239" s="31"/>
    </row>
    <row r="240" spans="1:39" ht="12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G240" s="31"/>
      <c r="AH240" s="31"/>
      <c r="AI240" s="31"/>
      <c r="AJ240" s="31"/>
      <c r="AK240" s="31"/>
      <c r="AL240" s="31"/>
      <c r="AM240" s="31"/>
    </row>
    <row r="241" spans="1:39" ht="12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G241" s="31"/>
      <c r="AH241" s="31"/>
      <c r="AI241" s="31"/>
      <c r="AJ241" s="31"/>
      <c r="AK241" s="31"/>
      <c r="AL241" s="31"/>
      <c r="AM241" s="31"/>
    </row>
    <row r="242" spans="1:39" ht="12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G242" s="31"/>
      <c r="AH242" s="31"/>
      <c r="AI242" s="31"/>
      <c r="AJ242" s="31"/>
      <c r="AK242" s="31"/>
      <c r="AL242" s="31"/>
      <c r="AM242" s="31"/>
    </row>
    <row r="243" spans="1:39" ht="12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G243" s="31"/>
      <c r="AH243" s="31"/>
      <c r="AI243" s="31"/>
      <c r="AJ243" s="31"/>
      <c r="AK243" s="31"/>
      <c r="AL243" s="31"/>
      <c r="AM243" s="31"/>
    </row>
    <row r="244" spans="1:39" ht="12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G244" s="31"/>
      <c r="AH244" s="31"/>
      <c r="AI244" s="31"/>
      <c r="AJ244" s="31"/>
      <c r="AK244" s="31"/>
      <c r="AL244" s="31"/>
      <c r="AM244" s="31"/>
    </row>
    <row r="245" spans="1:39" ht="12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G245" s="31"/>
      <c r="AH245" s="31"/>
      <c r="AI245" s="31"/>
      <c r="AJ245" s="31"/>
      <c r="AK245" s="31"/>
      <c r="AL245" s="31"/>
      <c r="AM245" s="31"/>
    </row>
    <row r="246" spans="1:39" ht="12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G246" s="31"/>
      <c r="AH246" s="31"/>
      <c r="AI246" s="31"/>
      <c r="AJ246" s="31"/>
      <c r="AK246" s="31"/>
      <c r="AL246" s="31"/>
      <c r="AM246" s="31"/>
    </row>
    <row r="247" spans="1:39" ht="12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G247" s="31"/>
      <c r="AH247" s="31"/>
      <c r="AI247" s="31"/>
      <c r="AJ247" s="31"/>
      <c r="AK247" s="31"/>
      <c r="AL247" s="31"/>
      <c r="AM247" s="31"/>
    </row>
    <row r="248" spans="1:39" ht="12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G248" s="31"/>
      <c r="AH248" s="31"/>
      <c r="AI248" s="31"/>
      <c r="AJ248" s="31"/>
      <c r="AK248" s="31"/>
      <c r="AL248" s="31"/>
      <c r="AM248" s="31"/>
    </row>
    <row r="249" spans="1:39" ht="12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G249" s="31"/>
      <c r="AH249" s="31"/>
      <c r="AI249" s="31"/>
      <c r="AJ249" s="31"/>
      <c r="AK249" s="31"/>
      <c r="AL249" s="31"/>
      <c r="AM249" s="31"/>
    </row>
    <row r="250" spans="1:39" ht="12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G250" s="31"/>
      <c r="AH250" s="31"/>
      <c r="AI250" s="31"/>
      <c r="AJ250" s="31"/>
      <c r="AK250" s="31"/>
      <c r="AL250" s="31"/>
      <c r="AM250" s="31"/>
    </row>
    <row r="251" spans="1:39" ht="12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G251" s="31"/>
      <c r="AH251" s="31"/>
      <c r="AI251" s="31"/>
      <c r="AJ251" s="31"/>
      <c r="AK251" s="31"/>
      <c r="AL251" s="31"/>
      <c r="AM251" s="31"/>
    </row>
    <row r="252" spans="1:39" ht="12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G252" s="31"/>
      <c r="AH252" s="31"/>
      <c r="AI252" s="31"/>
      <c r="AJ252" s="31"/>
      <c r="AK252" s="31"/>
      <c r="AL252" s="31"/>
      <c r="AM252" s="31"/>
    </row>
    <row r="253" spans="1:39" ht="12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G253" s="31"/>
      <c r="AH253" s="31"/>
      <c r="AI253" s="31"/>
      <c r="AJ253" s="31"/>
      <c r="AK253" s="31"/>
      <c r="AL253" s="31"/>
      <c r="AM253" s="31"/>
    </row>
    <row r="254" spans="1:39" ht="12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G254" s="31"/>
      <c r="AH254" s="31"/>
      <c r="AI254" s="31"/>
      <c r="AJ254" s="31"/>
      <c r="AK254" s="31"/>
      <c r="AL254" s="31"/>
      <c r="AM254" s="31"/>
    </row>
    <row r="255" spans="1:39" ht="12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G255" s="31"/>
      <c r="AH255" s="31"/>
      <c r="AI255" s="31"/>
      <c r="AJ255" s="31"/>
      <c r="AK255" s="31"/>
      <c r="AL255" s="31"/>
      <c r="AM255" s="31"/>
    </row>
    <row r="256" spans="1:39" ht="12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G256" s="31"/>
      <c r="AH256" s="31"/>
      <c r="AI256" s="31"/>
      <c r="AJ256" s="31"/>
      <c r="AK256" s="31"/>
      <c r="AL256" s="31"/>
      <c r="AM256" s="31"/>
    </row>
    <row r="257" spans="1:39" ht="12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G257" s="31"/>
      <c r="AH257" s="31"/>
      <c r="AI257" s="31"/>
      <c r="AJ257" s="31"/>
      <c r="AK257" s="31"/>
      <c r="AL257" s="31"/>
      <c r="AM257" s="31"/>
    </row>
    <row r="258" spans="1:39" ht="12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G258" s="31"/>
      <c r="AH258" s="31"/>
      <c r="AI258" s="31"/>
      <c r="AJ258" s="31"/>
      <c r="AK258" s="31"/>
      <c r="AL258" s="31"/>
      <c r="AM258" s="31"/>
    </row>
    <row r="259" spans="1:39" ht="12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G259" s="31"/>
      <c r="AH259" s="31"/>
      <c r="AI259" s="31"/>
      <c r="AJ259" s="31"/>
      <c r="AK259" s="31"/>
      <c r="AL259" s="31"/>
      <c r="AM259" s="31"/>
    </row>
    <row r="260" spans="1:39" ht="12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G260" s="31"/>
      <c r="AH260" s="31"/>
      <c r="AI260" s="31"/>
      <c r="AJ260" s="31"/>
      <c r="AK260" s="31"/>
      <c r="AL260" s="31"/>
      <c r="AM260" s="31"/>
    </row>
    <row r="261" spans="1:39" ht="12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G261" s="31"/>
      <c r="AH261" s="31"/>
      <c r="AI261" s="31"/>
      <c r="AJ261" s="31"/>
      <c r="AK261" s="31"/>
      <c r="AL261" s="31"/>
      <c r="AM261" s="31"/>
    </row>
    <row r="262" spans="1:39" ht="12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G262" s="31"/>
      <c r="AH262" s="31"/>
      <c r="AI262" s="31"/>
      <c r="AJ262" s="31"/>
      <c r="AK262" s="31"/>
      <c r="AL262" s="31"/>
      <c r="AM262" s="31"/>
    </row>
    <row r="263" spans="1:39" ht="12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G263" s="31"/>
      <c r="AH263" s="31"/>
      <c r="AI263" s="31"/>
      <c r="AJ263" s="31"/>
      <c r="AK263" s="31"/>
      <c r="AL263" s="31"/>
      <c r="AM263" s="31"/>
    </row>
    <row r="264" spans="1:39" ht="12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G264" s="31"/>
      <c r="AH264" s="31"/>
      <c r="AI264" s="31"/>
      <c r="AJ264" s="31"/>
      <c r="AK264" s="31"/>
      <c r="AL264" s="31"/>
      <c r="AM264" s="31"/>
    </row>
    <row r="265" spans="1:39" ht="12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G265" s="31"/>
      <c r="AH265" s="31"/>
      <c r="AI265" s="31"/>
      <c r="AJ265" s="31"/>
      <c r="AK265" s="31"/>
      <c r="AL265" s="31"/>
      <c r="AM265" s="31"/>
    </row>
    <row r="266" spans="1:39" ht="12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G266" s="31"/>
      <c r="AH266" s="31"/>
      <c r="AI266" s="31"/>
      <c r="AJ266" s="31"/>
      <c r="AK266" s="31"/>
      <c r="AL266" s="31"/>
      <c r="AM266" s="31"/>
    </row>
    <row r="267" spans="1:39" ht="12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G267" s="31"/>
      <c r="AH267" s="31"/>
      <c r="AI267" s="31"/>
      <c r="AJ267" s="31"/>
      <c r="AK267" s="31"/>
      <c r="AL267" s="31"/>
      <c r="AM267" s="31"/>
    </row>
    <row r="268" spans="1:39" ht="12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G268" s="31"/>
      <c r="AH268" s="31"/>
      <c r="AI268" s="31"/>
      <c r="AJ268" s="31"/>
      <c r="AK268" s="31"/>
      <c r="AL268" s="31"/>
      <c r="AM268" s="31"/>
    </row>
    <row r="269" spans="1:39" ht="12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G269" s="31"/>
      <c r="AH269" s="31"/>
      <c r="AI269" s="31"/>
      <c r="AJ269" s="31"/>
      <c r="AK269" s="31"/>
      <c r="AL269" s="31"/>
      <c r="AM269" s="31"/>
    </row>
    <row r="270" spans="1:39" ht="12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G270" s="31"/>
      <c r="AH270" s="31"/>
      <c r="AI270" s="31"/>
      <c r="AJ270" s="31"/>
      <c r="AK270" s="31"/>
      <c r="AL270" s="31"/>
      <c r="AM270" s="31"/>
    </row>
    <row r="271" spans="1:39" ht="12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G271" s="31"/>
      <c r="AH271" s="31"/>
      <c r="AI271" s="31"/>
      <c r="AJ271" s="31"/>
      <c r="AK271" s="31"/>
      <c r="AL271" s="31"/>
      <c r="AM271" s="31"/>
    </row>
    <row r="272" spans="1:39" ht="12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G272" s="31"/>
      <c r="AH272" s="31"/>
      <c r="AI272" s="31"/>
      <c r="AJ272" s="31"/>
      <c r="AK272" s="31"/>
      <c r="AL272" s="31"/>
      <c r="AM272" s="31"/>
    </row>
    <row r="273" spans="1:39" ht="12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G273" s="31"/>
      <c r="AH273" s="31"/>
      <c r="AI273" s="31"/>
      <c r="AJ273" s="31"/>
      <c r="AK273" s="31"/>
      <c r="AL273" s="31"/>
      <c r="AM273" s="31"/>
    </row>
    <row r="274" spans="1:39" ht="12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G274" s="31"/>
      <c r="AH274" s="31"/>
      <c r="AI274" s="31"/>
      <c r="AJ274" s="31"/>
      <c r="AK274" s="31"/>
      <c r="AL274" s="31"/>
      <c r="AM274" s="31"/>
    </row>
    <row r="275" spans="1:39" ht="12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G275" s="31"/>
      <c r="AH275" s="31"/>
      <c r="AI275" s="31"/>
      <c r="AJ275" s="31"/>
      <c r="AK275" s="31"/>
      <c r="AL275" s="31"/>
      <c r="AM275" s="31"/>
    </row>
    <row r="276" spans="1:39" ht="12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G276" s="31"/>
      <c r="AH276" s="31"/>
      <c r="AI276" s="31"/>
      <c r="AJ276" s="31"/>
      <c r="AK276" s="31"/>
      <c r="AL276" s="31"/>
      <c r="AM276" s="31"/>
    </row>
    <row r="277" spans="1:39" ht="12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G277" s="31"/>
      <c r="AH277" s="31"/>
      <c r="AI277" s="31"/>
      <c r="AJ277" s="31"/>
      <c r="AK277" s="31"/>
      <c r="AL277" s="31"/>
      <c r="AM277" s="31"/>
    </row>
    <row r="278" spans="1:39" ht="12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G278" s="31"/>
      <c r="AH278" s="31"/>
      <c r="AI278" s="31"/>
      <c r="AJ278" s="31"/>
      <c r="AK278" s="31"/>
      <c r="AL278" s="31"/>
      <c r="AM278" s="31"/>
    </row>
    <row r="279" spans="1:39" ht="12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G279" s="31"/>
      <c r="AH279" s="31"/>
      <c r="AI279" s="31"/>
      <c r="AJ279" s="31"/>
      <c r="AK279" s="31"/>
      <c r="AL279" s="31"/>
      <c r="AM279" s="31"/>
    </row>
    <row r="280" spans="1:39" ht="12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G280" s="31"/>
      <c r="AH280" s="31"/>
      <c r="AI280" s="31"/>
      <c r="AJ280" s="31"/>
      <c r="AK280" s="31"/>
      <c r="AL280" s="31"/>
      <c r="AM280" s="31"/>
    </row>
    <row r="281" spans="1:39" ht="12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G281" s="31"/>
      <c r="AH281" s="31"/>
      <c r="AI281" s="31"/>
      <c r="AJ281" s="31"/>
      <c r="AK281" s="31"/>
      <c r="AL281" s="31"/>
      <c r="AM281" s="31"/>
    </row>
    <row r="282" spans="1:39" ht="12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G282" s="31"/>
      <c r="AH282" s="31"/>
      <c r="AI282" s="31"/>
      <c r="AJ282" s="31"/>
      <c r="AK282" s="31"/>
      <c r="AL282" s="31"/>
      <c r="AM282" s="31"/>
    </row>
    <row r="283" spans="1:39" ht="12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G283" s="31"/>
      <c r="AH283" s="31"/>
      <c r="AI283" s="31"/>
      <c r="AJ283" s="31"/>
      <c r="AK283" s="31"/>
      <c r="AL283" s="31"/>
      <c r="AM283" s="31"/>
    </row>
    <row r="284" spans="1:39" ht="12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G284" s="31"/>
      <c r="AH284" s="31"/>
      <c r="AI284" s="31"/>
      <c r="AJ284" s="31"/>
      <c r="AK284" s="31"/>
      <c r="AL284" s="31"/>
      <c r="AM284" s="31"/>
    </row>
    <row r="285" spans="1:39" ht="12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G285" s="31"/>
      <c r="AH285" s="31"/>
      <c r="AI285" s="31"/>
      <c r="AJ285" s="31"/>
      <c r="AK285" s="31"/>
      <c r="AL285" s="31"/>
      <c r="AM285" s="31"/>
    </row>
    <row r="286" spans="1:39" ht="12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G286" s="31"/>
      <c r="AH286" s="31"/>
      <c r="AI286" s="31"/>
      <c r="AJ286" s="31"/>
      <c r="AK286" s="31"/>
      <c r="AL286" s="31"/>
      <c r="AM286" s="31"/>
    </row>
    <row r="287" spans="1:39" ht="12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G287" s="31"/>
      <c r="AH287" s="31"/>
      <c r="AI287" s="31"/>
      <c r="AJ287" s="31"/>
      <c r="AK287" s="31"/>
      <c r="AL287" s="31"/>
      <c r="AM287" s="31"/>
    </row>
    <row r="288" spans="1:39" ht="12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G288" s="31"/>
      <c r="AH288" s="31"/>
      <c r="AI288" s="31"/>
      <c r="AJ288" s="31"/>
      <c r="AK288" s="31"/>
      <c r="AL288" s="31"/>
      <c r="AM288" s="31"/>
    </row>
    <row r="289" spans="1:39" ht="12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G289" s="31"/>
      <c r="AH289" s="31"/>
      <c r="AI289" s="31"/>
      <c r="AJ289" s="31"/>
      <c r="AK289" s="31"/>
      <c r="AL289" s="31"/>
      <c r="AM289" s="31"/>
    </row>
    <row r="290" spans="1:39" ht="12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G290" s="31"/>
      <c r="AH290" s="31"/>
      <c r="AI290" s="31"/>
      <c r="AJ290" s="31"/>
      <c r="AK290" s="31"/>
      <c r="AL290" s="31"/>
      <c r="AM290" s="31"/>
    </row>
    <row r="291" spans="1:39" ht="12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G291" s="31"/>
      <c r="AH291" s="31"/>
      <c r="AI291" s="31"/>
      <c r="AJ291" s="31"/>
      <c r="AK291" s="31"/>
      <c r="AL291" s="31"/>
      <c r="AM291" s="31"/>
    </row>
    <row r="292" spans="1:39" ht="12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G292" s="31"/>
      <c r="AH292" s="31"/>
      <c r="AI292" s="31"/>
      <c r="AJ292" s="31"/>
      <c r="AK292" s="31"/>
      <c r="AL292" s="31"/>
      <c r="AM292" s="31"/>
    </row>
    <row r="293" spans="1:39" ht="12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G293" s="31"/>
      <c r="AH293" s="31"/>
      <c r="AI293" s="31"/>
      <c r="AJ293" s="31"/>
      <c r="AK293" s="31"/>
      <c r="AL293" s="31"/>
      <c r="AM293" s="31"/>
    </row>
    <row r="294" spans="1:39" ht="12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G294" s="31"/>
      <c r="AH294" s="31"/>
      <c r="AI294" s="31"/>
      <c r="AJ294" s="31"/>
      <c r="AK294" s="31"/>
      <c r="AL294" s="31"/>
      <c r="AM294" s="31"/>
    </row>
    <row r="295" spans="1:39" ht="12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G295" s="31"/>
      <c r="AH295" s="31"/>
      <c r="AI295" s="31"/>
      <c r="AJ295" s="31"/>
      <c r="AK295" s="31"/>
      <c r="AL295" s="31"/>
      <c r="AM295" s="31"/>
    </row>
    <row r="296" spans="1:39" ht="12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G296" s="31"/>
      <c r="AH296" s="31"/>
      <c r="AI296" s="31"/>
      <c r="AJ296" s="31"/>
      <c r="AK296" s="31"/>
      <c r="AL296" s="31"/>
      <c r="AM296" s="31"/>
    </row>
    <row r="297" spans="1:39" ht="12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G297" s="31"/>
      <c r="AH297" s="31"/>
      <c r="AI297" s="31"/>
      <c r="AJ297" s="31"/>
      <c r="AK297" s="31"/>
      <c r="AL297" s="31"/>
      <c r="AM297" s="31"/>
    </row>
    <row r="298" spans="1:39" ht="12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G298" s="31"/>
      <c r="AH298" s="31"/>
      <c r="AI298" s="31"/>
      <c r="AJ298" s="31"/>
      <c r="AK298" s="31"/>
      <c r="AL298" s="31"/>
      <c r="AM298" s="31"/>
    </row>
    <row r="299" spans="1:39" ht="12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G299" s="31"/>
      <c r="AH299" s="31"/>
      <c r="AI299" s="31"/>
      <c r="AJ299" s="31"/>
      <c r="AK299" s="31"/>
      <c r="AL299" s="31"/>
      <c r="AM299" s="31"/>
    </row>
    <row r="300" spans="1:39" ht="12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G300" s="31"/>
      <c r="AH300" s="31"/>
      <c r="AI300" s="31"/>
      <c r="AJ300" s="31"/>
      <c r="AK300" s="31"/>
      <c r="AL300" s="31"/>
      <c r="AM300" s="31"/>
    </row>
    <row r="301" spans="1:39" ht="12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G301" s="31"/>
      <c r="AH301" s="31"/>
      <c r="AI301" s="31"/>
      <c r="AJ301" s="31"/>
      <c r="AK301" s="31"/>
      <c r="AL301" s="31"/>
      <c r="AM301" s="31"/>
    </row>
    <row r="302" spans="1:39" ht="12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G302" s="31"/>
      <c r="AH302" s="31"/>
      <c r="AI302" s="31"/>
      <c r="AJ302" s="31"/>
      <c r="AK302" s="31"/>
      <c r="AL302" s="31"/>
      <c r="AM302" s="31"/>
    </row>
    <row r="303" spans="1:39" ht="12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G303" s="31"/>
      <c r="AH303" s="31"/>
      <c r="AI303" s="31"/>
      <c r="AJ303" s="31"/>
      <c r="AK303" s="31"/>
      <c r="AL303" s="31"/>
      <c r="AM303" s="31"/>
    </row>
    <row r="304" spans="1:39" ht="12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G304" s="31"/>
      <c r="AH304" s="31"/>
      <c r="AI304" s="31"/>
      <c r="AJ304" s="31"/>
      <c r="AK304" s="31"/>
      <c r="AL304" s="31"/>
      <c r="AM304" s="31"/>
    </row>
    <row r="305" spans="1:39" ht="12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G305" s="31"/>
      <c r="AH305" s="31"/>
      <c r="AI305" s="31"/>
      <c r="AJ305" s="31"/>
      <c r="AK305" s="31"/>
      <c r="AL305" s="31"/>
      <c r="AM305" s="31"/>
    </row>
    <row r="306" spans="1:39" ht="12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G306" s="31"/>
      <c r="AH306" s="31"/>
      <c r="AI306" s="31"/>
      <c r="AJ306" s="31"/>
      <c r="AK306" s="31"/>
      <c r="AL306" s="31"/>
      <c r="AM306" s="31"/>
    </row>
    <row r="307" spans="1:39" ht="12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G307" s="31"/>
      <c r="AH307" s="31"/>
      <c r="AI307" s="31"/>
      <c r="AJ307" s="31"/>
      <c r="AK307" s="31"/>
      <c r="AL307" s="31"/>
      <c r="AM307" s="31"/>
    </row>
    <row r="308" spans="1:39" ht="12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G308" s="31"/>
      <c r="AH308" s="31"/>
      <c r="AI308" s="31"/>
      <c r="AJ308" s="31"/>
      <c r="AK308" s="31"/>
      <c r="AL308" s="31"/>
      <c r="AM308" s="31"/>
    </row>
    <row r="309" spans="1:39" ht="12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G309" s="31"/>
      <c r="AH309" s="31"/>
      <c r="AI309" s="31"/>
      <c r="AJ309" s="31"/>
      <c r="AK309" s="31"/>
      <c r="AL309" s="31"/>
      <c r="AM309" s="31"/>
    </row>
    <row r="310" spans="1:39" ht="12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G310" s="31"/>
      <c r="AH310" s="31"/>
      <c r="AI310" s="31"/>
      <c r="AJ310" s="31"/>
      <c r="AK310" s="31"/>
      <c r="AL310" s="31"/>
      <c r="AM310" s="31"/>
    </row>
    <row r="311" spans="1:39" ht="12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G311" s="31"/>
      <c r="AH311" s="31"/>
      <c r="AI311" s="31"/>
      <c r="AJ311" s="31"/>
      <c r="AK311" s="31"/>
      <c r="AL311" s="31"/>
      <c r="AM311" s="31"/>
    </row>
    <row r="312" spans="1:39" ht="12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G312" s="31"/>
      <c r="AH312" s="31"/>
      <c r="AI312" s="31"/>
      <c r="AJ312" s="31"/>
      <c r="AK312" s="31"/>
      <c r="AL312" s="31"/>
      <c r="AM312" s="31"/>
    </row>
    <row r="313" spans="1:39" ht="12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G313" s="31"/>
      <c r="AH313" s="31"/>
      <c r="AI313" s="31"/>
      <c r="AJ313" s="31"/>
      <c r="AK313" s="31"/>
      <c r="AL313" s="31"/>
      <c r="AM313" s="31"/>
    </row>
    <row r="314" spans="1:39" ht="12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G314" s="31"/>
      <c r="AH314" s="31"/>
      <c r="AI314" s="31"/>
      <c r="AJ314" s="31"/>
      <c r="AK314" s="31"/>
      <c r="AL314" s="31"/>
      <c r="AM314" s="31"/>
    </row>
    <row r="315" spans="1:39" ht="12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G315" s="31"/>
      <c r="AH315" s="31"/>
      <c r="AI315" s="31"/>
      <c r="AJ315" s="31"/>
      <c r="AK315" s="31"/>
      <c r="AL315" s="31"/>
      <c r="AM315" s="31"/>
    </row>
    <row r="316" spans="1:39" ht="12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G316" s="31"/>
      <c r="AH316" s="31"/>
      <c r="AI316" s="31"/>
      <c r="AJ316" s="31"/>
      <c r="AK316" s="31"/>
      <c r="AL316" s="31"/>
      <c r="AM316" s="31"/>
    </row>
    <row r="317" spans="1:39" ht="12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G317" s="31"/>
      <c r="AH317" s="31"/>
      <c r="AI317" s="31"/>
      <c r="AJ317" s="31"/>
      <c r="AK317" s="31"/>
      <c r="AL317" s="31"/>
      <c r="AM317" s="31"/>
    </row>
    <row r="318" spans="1:39" ht="12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G318" s="31"/>
      <c r="AH318" s="31"/>
      <c r="AI318" s="31"/>
      <c r="AJ318" s="31"/>
      <c r="AK318" s="31"/>
      <c r="AL318" s="31"/>
      <c r="AM318" s="31"/>
    </row>
    <row r="319" spans="1:39" ht="12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G319" s="31"/>
      <c r="AH319" s="31"/>
      <c r="AI319" s="31"/>
      <c r="AJ319" s="31"/>
      <c r="AK319" s="31"/>
      <c r="AL319" s="31"/>
      <c r="AM319" s="31"/>
    </row>
    <row r="320" spans="1:39" ht="12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G320" s="31"/>
      <c r="AH320" s="31"/>
      <c r="AI320" s="31"/>
      <c r="AJ320" s="31"/>
      <c r="AK320" s="31"/>
      <c r="AL320" s="31"/>
      <c r="AM320" s="31"/>
    </row>
    <row r="321" spans="1:39" ht="12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G321" s="31"/>
      <c r="AH321" s="31"/>
      <c r="AI321" s="31"/>
      <c r="AJ321" s="31"/>
      <c r="AK321" s="31"/>
      <c r="AL321" s="31"/>
      <c r="AM321" s="31"/>
    </row>
    <row r="322" spans="1:39" ht="12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G322" s="31"/>
      <c r="AH322" s="31"/>
      <c r="AI322" s="31"/>
      <c r="AJ322" s="31"/>
      <c r="AK322" s="31"/>
      <c r="AL322" s="31"/>
      <c r="AM322" s="31"/>
    </row>
    <row r="323" spans="1:39" ht="12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G323" s="31"/>
      <c r="AH323" s="31"/>
      <c r="AI323" s="31"/>
      <c r="AJ323" s="31"/>
      <c r="AK323" s="31"/>
      <c r="AL323" s="31"/>
      <c r="AM323" s="31"/>
    </row>
    <row r="324" spans="1:39" ht="12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G324" s="31"/>
      <c r="AH324" s="31"/>
      <c r="AI324" s="31"/>
      <c r="AJ324" s="31"/>
      <c r="AK324" s="31"/>
      <c r="AL324" s="31"/>
      <c r="AM324" s="31"/>
    </row>
    <row r="325" spans="1:39" ht="12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G325" s="31"/>
      <c r="AH325" s="31"/>
      <c r="AI325" s="31"/>
      <c r="AJ325" s="31"/>
      <c r="AK325" s="31"/>
      <c r="AL325" s="31"/>
      <c r="AM325" s="31"/>
    </row>
    <row r="326" spans="1:39" ht="12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G326" s="31"/>
      <c r="AH326" s="31"/>
      <c r="AI326" s="31"/>
      <c r="AJ326" s="31"/>
      <c r="AK326" s="31"/>
      <c r="AL326" s="31"/>
      <c r="AM326" s="31"/>
    </row>
    <row r="327" spans="1:39" ht="12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G327" s="31"/>
      <c r="AH327" s="31"/>
      <c r="AI327" s="31"/>
      <c r="AJ327" s="31"/>
      <c r="AK327" s="31"/>
      <c r="AL327" s="31"/>
      <c r="AM327" s="31"/>
    </row>
    <row r="328" spans="1:39" ht="12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G328" s="31"/>
      <c r="AH328" s="31"/>
      <c r="AI328" s="31"/>
      <c r="AJ328" s="31"/>
      <c r="AK328" s="31"/>
      <c r="AL328" s="31"/>
      <c r="AM328" s="31"/>
    </row>
    <row r="329" spans="1:39" ht="12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G329" s="31"/>
      <c r="AH329" s="31"/>
      <c r="AI329" s="31"/>
      <c r="AJ329" s="31"/>
      <c r="AK329" s="31"/>
      <c r="AL329" s="31"/>
      <c r="AM329" s="31"/>
    </row>
    <row r="330" spans="1:39" ht="12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G330" s="31"/>
      <c r="AH330" s="31"/>
      <c r="AI330" s="31"/>
      <c r="AJ330" s="31"/>
      <c r="AK330" s="31"/>
      <c r="AL330" s="31"/>
      <c r="AM330" s="31"/>
    </row>
    <row r="331" spans="1:39" ht="12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G331" s="31"/>
      <c r="AH331" s="31"/>
      <c r="AI331" s="31"/>
      <c r="AJ331" s="31"/>
      <c r="AK331" s="31"/>
      <c r="AL331" s="31"/>
      <c r="AM331" s="31"/>
    </row>
    <row r="332" spans="1:39" ht="12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G332" s="31"/>
      <c r="AH332" s="31"/>
      <c r="AI332" s="31"/>
      <c r="AJ332" s="31"/>
      <c r="AK332" s="31"/>
      <c r="AL332" s="31"/>
      <c r="AM332" s="31"/>
    </row>
    <row r="333" spans="1:39" ht="12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G333" s="31"/>
      <c r="AH333" s="31"/>
      <c r="AI333" s="31"/>
      <c r="AJ333" s="31"/>
      <c r="AK333" s="31"/>
      <c r="AL333" s="31"/>
      <c r="AM333" s="31"/>
    </row>
    <row r="334" spans="1:39" ht="12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G334" s="31"/>
      <c r="AH334" s="31"/>
      <c r="AI334" s="31"/>
      <c r="AJ334" s="31"/>
      <c r="AK334" s="31"/>
      <c r="AL334" s="31"/>
      <c r="AM334" s="31"/>
    </row>
    <row r="335" spans="1:39" ht="12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G335" s="31"/>
      <c r="AH335" s="31"/>
      <c r="AI335" s="31"/>
      <c r="AJ335" s="31"/>
      <c r="AK335" s="31"/>
      <c r="AL335" s="31"/>
      <c r="AM335" s="31"/>
    </row>
    <row r="336" spans="1:39" ht="12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G336" s="31"/>
      <c r="AH336" s="31"/>
      <c r="AI336" s="31"/>
      <c r="AJ336" s="31"/>
      <c r="AK336" s="31"/>
      <c r="AL336" s="31"/>
      <c r="AM336" s="31"/>
    </row>
    <row r="337" spans="1:39" ht="12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G337" s="31"/>
      <c r="AH337" s="31"/>
      <c r="AI337" s="31"/>
      <c r="AJ337" s="31"/>
      <c r="AK337" s="31"/>
      <c r="AL337" s="31"/>
      <c r="AM337" s="31"/>
    </row>
    <row r="338" spans="1:39" ht="12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G338" s="31"/>
      <c r="AH338" s="31"/>
      <c r="AI338" s="31"/>
      <c r="AJ338" s="31"/>
      <c r="AK338" s="31"/>
      <c r="AL338" s="31"/>
      <c r="AM338" s="31"/>
    </row>
    <row r="339" spans="1:39" ht="12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G339" s="31"/>
      <c r="AH339" s="31"/>
      <c r="AI339" s="31"/>
      <c r="AJ339" s="31"/>
      <c r="AK339" s="31"/>
      <c r="AL339" s="31"/>
      <c r="AM339" s="31"/>
    </row>
    <row r="340" spans="1:39" ht="12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G340" s="31"/>
      <c r="AH340" s="31"/>
      <c r="AI340" s="31"/>
      <c r="AJ340" s="31"/>
      <c r="AK340" s="31"/>
      <c r="AL340" s="31"/>
      <c r="AM340" s="31"/>
    </row>
    <row r="341" spans="1:39" ht="12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G341" s="31"/>
      <c r="AH341" s="31"/>
      <c r="AI341" s="31"/>
      <c r="AJ341" s="31"/>
      <c r="AK341" s="31"/>
      <c r="AL341" s="31"/>
      <c r="AM341" s="31"/>
    </row>
    <row r="342" spans="1:39" ht="12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G342" s="31"/>
      <c r="AH342" s="31"/>
      <c r="AI342" s="31"/>
      <c r="AJ342" s="31"/>
      <c r="AK342" s="31"/>
      <c r="AL342" s="31"/>
      <c r="AM342" s="31"/>
    </row>
    <row r="343" spans="1:39" ht="12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G343" s="31"/>
      <c r="AH343" s="31"/>
      <c r="AI343" s="31"/>
      <c r="AJ343" s="31"/>
      <c r="AK343" s="31"/>
      <c r="AL343" s="31"/>
      <c r="AM343" s="31"/>
    </row>
    <row r="344" spans="1:39" ht="12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G344" s="31"/>
      <c r="AH344" s="31"/>
      <c r="AI344" s="31"/>
      <c r="AJ344" s="31"/>
      <c r="AK344" s="31"/>
      <c r="AL344" s="31"/>
      <c r="AM344" s="31"/>
    </row>
    <row r="345" spans="1:39" ht="12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G345" s="31"/>
      <c r="AH345" s="31"/>
      <c r="AI345" s="31"/>
      <c r="AJ345" s="31"/>
      <c r="AK345" s="31"/>
      <c r="AL345" s="31"/>
      <c r="AM345" s="31"/>
    </row>
    <row r="346" spans="1:39" ht="12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G346" s="31"/>
      <c r="AH346" s="31"/>
      <c r="AI346" s="31"/>
      <c r="AJ346" s="31"/>
      <c r="AK346" s="31"/>
      <c r="AL346" s="31"/>
      <c r="AM346" s="31"/>
    </row>
    <row r="347" spans="1:39" ht="12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G347" s="31"/>
      <c r="AH347" s="31"/>
      <c r="AI347" s="31"/>
      <c r="AJ347" s="31"/>
      <c r="AK347" s="31"/>
      <c r="AL347" s="31"/>
      <c r="AM347" s="31"/>
    </row>
    <row r="348" spans="1:39" ht="12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G348" s="31"/>
      <c r="AH348" s="31"/>
      <c r="AI348" s="31"/>
      <c r="AJ348" s="31"/>
      <c r="AK348" s="31"/>
      <c r="AL348" s="31"/>
      <c r="AM348" s="31"/>
    </row>
    <row r="349" spans="1:39" ht="12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G349" s="31"/>
      <c r="AH349" s="31"/>
      <c r="AI349" s="31"/>
      <c r="AJ349" s="31"/>
      <c r="AK349" s="31"/>
      <c r="AL349" s="31"/>
      <c r="AM349" s="31"/>
    </row>
    <row r="350" spans="1:39" ht="12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G350" s="31"/>
      <c r="AH350" s="31"/>
      <c r="AI350" s="31"/>
      <c r="AJ350" s="31"/>
      <c r="AK350" s="31"/>
      <c r="AL350" s="31"/>
      <c r="AM350" s="31"/>
    </row>
    <row r="351" spans="1:39" ht="12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G351" s="31"/>
      <c r="AH351" s="31"/>
      <c r="AI351" s="31"/>
      <c r="AJ351" s="31"/>
      <c r="AK351" s="31"/>
      <c r="AL351" s="31"/>
      <c r="AM351" s="31"/>
    </row>
    <row r="352" spans="1:39" ht="12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G352" s="31"/>
      <c r="AH352" s="31"/>
      <c r="AI352" s="31"/>
      <c r="AJ352" s="31"/>
      <c r="AK352" s="31"/>
      <c r="AL352" s="31"/>
      <c r="AM352" s="31"/>
    </row>
    <row r="353" spans="1:39" ht="12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G353" s="31"/>
      <c r="AH353" s="31"/>
      <c r="AI353" s="31"/>
      <c r="AJ353" s="31"/>
      <c r="AK353" s="31"/>
      <c r="AL353" s="31"/>
      <c r="AM353" s="31"/>
    </row>
    <row r="354" spans="1:39" ht="12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G354" s="31"/>
      <c r="AH354" s="31"/>
      <c r="AI354" s="31"/>
      <c r="AJ354" s="31"/>
      <c r="AK354" s="31"/>
      <c r="AL354" s="31"/>
      <c r="AM354" s="31"/>
    </row>
    <row r="355" spans="1:39" ht="12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G355" s="31"/>
      <c r="AH355" s="31"/>
      <c r="AI355" s="31"/>
      <c r="AJ355" s="31"/>
      <c r="AK355" s="31"/>
      <c r="AL355" s="31"/>
      <c r="AM355" s="31"/>
    </row>
    <row r="356" spans="1:39" ht="12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G356" s="31"/>
      <c r="AH356" s="31"/>
      <c r="AI356" s="31"/>
      <c r="AJ356" s="31"/>
      <c r="AK356" s="31"/>
      <c r="AL356" s="31"/>
      <c r="AM356" s="31"/>
    </row>
    <row r="357" spans="1:39" ht="12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G357" s="31"/>
      <c r="AH357" s="31"/>
      <c r="AI357" s="31"/>
      <c r="AJ357" s="31"/>
      <c r="AK357" s="31"/>
      <c r="AL357" s="31"/>
      <c r="AM357" s="31"/>
    </row>
    <row r="358" spans="1:39" ht="12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G358" s="31"/>
      <c r="AH358" s="31"/>
      <c r="AI358" s="31"/>
      <c r="AJ358" s="31"/>
      <c r="AK358" s="31"/>
      <c r="AL358" s="31"/>
      <c r="AM358" s="31"/>
    </row>
    <row r="359" spans="1:39" ht="12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G359" s="31"/>
      <c r="AH359" s="31"/>
      <c r="AI359" s="31"/>
      <c r="AJ359" s="31"/>
      <c r="AK359" s="31"/>
      <c r="AL359" s="31"/>
      <c r="AM359" s="31"/>
    </row>
    <row r="360" spans="1:39" ht="12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G360" s="31"/>
      <c r="AH360" s="31"/>
      <c r="AI360" s="31"/>
      <c r="AJ360" s="31"/>
      <c r="AK360" s="31"/>
      <c r="AL360" s="31"/>
      <c r="AM360" s="31"/>
    </row>
    <row r="361" spans="1:39" ht="12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G361" s="31"/>
      <c r="AH361" s="31"/>
      <c r="AI361" s="31"/>
      <c r="AJ361" s="31"/>
      <c r="AK361" s="31"/>
      <c r="AL361" s="31"/>
      <c r="AM361" s="31"/>
    </row>
    <row r="362" spans="1:39" ht="12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G362" s="31"/>
      <c r="AH362" s="31"/>
      <c r="AI362" s="31"/>
      <c r="AJ362" s="31"/>
      <c r="AK362" s="31"/>
      <c r="AL362" s="31"/>
      <c r="AM362" s="31"/>
    </row>
    <row r="363" spans="1:39" ht="12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G363" s="31"/>
      <c r="AH363" s="31"/>
      <c r="AI363" s="31"/>
      <c r="AJ363" s="31"/>
      <c r="AK363" s="31"/>
      <c r="AL363" s="31"/>
      <c r="AM363" s="31"/>
    </row>
    <row r="364" spans="1:39" ht="12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G364" s="31"/>
      <c r="AH364" s="31"/>
      <c r="AI364" s="31"/>
      <c r="AJ364" s="31"/>
      <c r="AK364" s="31"/>
      <c r="AL364" s="31"/>
      <c r="AM364" s="31"/>
    </row>
    <row r="365" spans="1:39" ht="12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G365" s="31"/>
      <c r="AH365" s="31"/>
      <c r="AI365" s="31"/>
      <c r="AJ365" s="31"/>
      <c r="AK365" s="31"/>
      <c r="AL365" s="31"/>
      <c r="AM365" s="31"/>
    </row>
    <row r="366" spans="1:39" ht="12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G366" s="31"/>
      <c r="AH366" s="31"/>
      <c r="AI366" s="31"/>
      <c r="AJ366" s="31"/>
      <c r="AK366" s="31"/>
      <c r="AL366" s="31"/>
      <c r="AM366" s="31"/>
    </row>
    <row r="367" spans="1:39" ht="12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G367" s="31"/>
      <c r="AH367" s="31"/>
      <c r="AI367" s="31"/>
      <c r="AJ367" s="31"/>
      <c r="AK367" s="31"/>
      <c r="AL367" s="31"/>
      <c r="AM367" s="31"/>
    </row>
    <row r="368" spans="1:39" ht="12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G368" s="31"/>
      <c r="AH368" s="31"/>
      <c r="AI368" s="31"/>
      <c r="AJ368" s="31"/>
      <c r="AK368" s="31"/>
      <c r="AL368" s="31"/>
      <c r="AM368" s="31"/>
    </row>
    <row r="369" spans="1:39" ht="12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G369" s="31"/>
      <c r="AH369" s="31"/>
      <c r="AI369" s="31"/>
      <c r="AJ369" s="31"/>
      <c r="AK369" s="31"/>
      <c r="AL369" s="31"/>
      <c r="AM369" s="31"/>
    </row>
    <row r="370" spans="1:39" ht="12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G370" s="31"/>
      <c r="AH370" s="31"/>
      <c r="AI370" s="31"/>
      <c r="AJ370" s="31"/>
      <c r="AK370" s="31"/>
      <c r="AL370" s="31"/>
      <c r="AM370" s="31"/>
    </row>
    <row r="371" spans="1:39" ht="12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G371" s="31"/>
      <c r="AH371" s="31"/>
      <c r="AI371" s="31"/>
      <c r="AJ371" s="31"/>
      <c r="AK371" s="31"/>
      <c r="AL371" s="31"/>
      <c r="AM371" s="31"/>
    </row>
    <row r="372" spans="1:39" ht="12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G372" s="31"/>
      <c r="AH372" s="31"/>
      <c r="AI372" s="31"/>
      <c r="AJ372" s="31"/>
      <c r="AK372" s="31"/>
      <c r="AL372" s="31"/>
      <c r="AM372" s="31"/>
    </row>
    <row r="373" spans="1:39" ht="12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G373" s="31"/>
      <c r="AH373" s="31"/>
      <c r="AI373" s="31"/>
      <c r="AJ373" s="31"/>
      <c r="AK373" s="31"/>
      <c r="AL373" s="31"/>
      <c r="AM373" s="31"/>
    </row>
    <row r="374" spans="1:39" ht="12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G374" s="31"/>
      <c r="AH374" s="31"/>
      <c r="AI374" s="31"/>
      <c r="AJ374" s="31"/>
      <c r="AK374" s="31"/>
      <c r="AL374" s="31"/>
      <c r="AM374" s="31"/>
    </row>
    <row r="375" spans="1:39" ht="12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G375" s="31"/>
      <c r="AH375" s="31"/>
      <c r="AI375" s="31"/>
      <c r="AJ375" s="31"/>
      <c r="AK375" s="31"/>
      <c r="AL375" s="31"/>
      <c r="AM375" s="31"/>
    </row>
    <row r="376" spans="1:39" ht="12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G376" s="31"/>
      <c r="AH376" s="31"/>
      <c r="AI376" s="31"/>
      <c r="AJ376" s="31"/>
      <c r="AK376" s="31"/>
      <c r="AL376" s="31"/>
      <c r="AM376" s="31"/>
    </row>
    <row r="377" spans="1:39" ht="12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G377" s="31"/>
      <c r="AH377" s="31"/>
      <c r="AI377" s="31"/>
      <c r="AJ377" s="31"/>
      <c r="AK377" s="31"/>
      <c r="AL377" s="31"/>
      <c r="AM377" s="31"/>
    </row>
    <row r="378" spans="1:39" ht="12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G378" s="31"/>
      <c r="AH378" s="31"/>
      <c r="AI378" s="31"/>
      <c r="AJ378" s="31"/>
      <c r="AK378" s="31"/>
      <c r="AL378" s="31"/>
      <c r="AM378" s="31"/>
    </row>
    <row r="379" spans="1:39" ht="12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G379" s="31"/>
      <c r="AH379" s="31"/>
      <c r="AI379" s="31"/>
      <c r="AJ379" s="31"/>
      <c r="AK379" s="31"/>
      <c r="AL379" s="31"/>
      <c r="AM379" s="31"/>
    </row>
    <row r="380" spans="1:39" ht="12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G380" s="31"/>
      <c r="AH380" s="31"/>
      <c r="AI380" s="31"/>
      <c r="AJ380" s="31"/>
      <c r="AK380" s="31"/>
      <c r="AL380" s="31"/>
      <c r="AM380" s="31"/>
    </row>
    <row r="381" spans="1:39" ht="12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G381" s="31"/>
      <c r="AH381" s="31"/>
      <c r="AI381" s="31"/>
      <c r="AJ381" s="31"/>
      <c r="AK381" s="31"/>
      <c r="AL381" s="31"/>
      <c r="AM381" s="31"/>
    </row>
    <row r="382" spans="1:39" ht="12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G382" s="31"/>
      <c r="AH382" s="31"/>
      <c r="AI382" s="31"/>
      <c r="AJ382" s="31"/>
      <c r="AK382" s="31"/>
      <c r="AL382" s="31"/>
      <c r="AM382" s="31"/>
    </row>
    <row r="383" spans="1:39" ht="12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G383" s="31"/>
      <c r="AH383" s="31"/>
      <c r="AI383" s="31"/>
      <c r="AJ383" s="31"/>
      <c r="AK383" s="31"/>
      <c r="AL383" s="31"/>
      <c r="AM383" s="31"/>
    </row>
    <row r="384" spans="1:39" ht="12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G384" s="31"/>
      <c r="AH384" s="31"/>
      <c r="AI384" s="31"/>
      <c r="AJ384" s="31"/>
      <c r="AK384" s="31"/>
      <c r="AL384" s="31"/>
      <c r="AM384" s="31"/>
    </row>
    <row r="385" spans="1:39" ht="12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G385" s="31"/>
      <c r="AH385" s="31"/>
      <c r="AI385" s="31"/>
      <c r="AJ385" s="31"/>
      <c r="AK385" s="31"/>
      <c r="AL385" s="31"/>
      <c r="AM385" s="31"/>
    </row>
    <row r="386" spans="1:39" ht="12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G386" s="31"/>
      <c r="AH386" s="31"/>
      <c r="AI386" s="31"/>
      <c r="AJ386" s="31"/>
      <c r="AK386" s="31"/>
      <c r="AL386" s="31"/>
      <c r="AM386" s="31"/>
    </row>
    <row r="387" spans="1:39" ht="12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G387" s="31"/>
      <c r="AH387" s="31"/>
      <c r="AI387" s="31"/>
      <c r="AJ387" s="31"/>
      <c r="AK387" s="31"/>
      <c r="AL387" s="31"/>
      <c r="AM387" s="31"/>
    </row>
    <row r="388" spans="1:39" ht="12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G388" s="31"/>
      <c r="AH388" s="31"/>
      <c r="AI388" s="31"/>
      <c r="AJ388" s="31"/>
      <c r="AK388" s="31"/>
      <c r="AL388" s="31"/>
      <c r="AM388" s="31"/>
    </row>
    <row r="389" spans="1:39" ht="12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G389" s="31"/>
      <c r="AH389" s="31"/>
      <c r="AI389" s="31"/>
      <c r="AJ389" s="31"/>
      <c r="AK389" s="31"/>
      <c r="AL389" s="31"/>
      <c r="AM389" s="31"/>
    </row>
    <row r="390" spans="1:39" ht="12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G390" s="31"/>
      <c r="AH390" s="31"/>
      <c r="AI390" s="31"/>
      <c r="AJ390" s="31"/>
      <c r="AK390" s="31"/>
      <c r="AL390" s="31"/>
      <c r="AM390" s="31"/>
    </row>
    <row r="391" spans="1:39" ht="12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G391" s="31"/>
      <c r="AH391" s="31"/>
      <c r="AI391" s="31"/>
      <c r="AJ391" s="31"/>
      <c r="AK391" s="31"/>
      <c r="AL391" s="31"/>
      <c r="AM391" s="31"/>
    </row>
    <row r="392" spans="1:39" ht="12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G392" s="31"/>
      <c r="AH392" s="31"/>
      <c r="AI392" s="31"/>
      <c r="AJ392" s="31"/>
      <c r="AK392" s="31"/>
      <c r="AL392" s="31"/>
      <c r="AM392" s="31"/>
    </row>
    <row r="393" spans="1:39" ht="12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G393" s="31"/>
      <c r="AH393" s="31"/>
      <c r="AI393" s="31"/>
      <c r="AJ393" s="31"/>
      <c r="AK393" s="31"/>
      <c r="AL393" s="31"/>
      <c r="AM393" s="31"/>
    </row>
    <row r="394" spans="1:39" ht="12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G394" s="31"/>
      <c r="AH394" s="31"/>
      <c r="AI394" s="31"/>
      <c r="AJ394" s="31"/>
      <c r="AK394" s="31"/>
      <c r="AL394" s="31"/>
      <c r="AM394" s="31"/>
    </row>
    <row r="395" spans="1:39" ht="12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G395" s="31"/>
      <c r="AH395" s="31"/>
      <c r="AI395" s="31"/>
      <c r="AJ395" s="31"/>
      <c r="AK395" s="31"/>
      <c r="AL395" s="31"/>
      <c r="AM395" s="31"/>
    </row>
    <row r="396" spans="1:39" ht="12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G396" s="31"/>
      <c r="AH396" s="31"/>
      <c r="AI396" s="31"/>
      <c r="AJ396" s="31"/>
      <c r="AK396" s="31"/>
      <c r="AL396" s="31"/>
      <c r="AM396" s="31"/>
    </row>
    <row r="397" spans="1:39" ht="12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G397" s="31"/>
      <c r="AH397" s="31"/>
      <c r="AI397" s="31"/>
      <c r="AJ397" s="31"/>
      <c r="AK397" s="31"/>
      <c r="AL397" s="31"/>
      <c r="AM397" s="31"/>
    </row>
    <row r="398" spans="1:39" ht="12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G398" s="31"/>
      <c r="AH398" s="31"/>
      <c r="AI398" s="31"/>
      <c r="AJ398" s="31"/>
      <c r="AK398" s="31"/>
      <c r="AL398" s="31"/>
      <c r="AM398" s="31"/>
    </row>
    <row r="399" spans="1:39" ht="12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G399" s="31"/>
      <c r="AH399" s="31"/>
      <c r="AI399" s="31"/>
      <c r="AJ399" s="31"/>
      <c r="AK399" s="31"/>
      <c r="AL399" s="31"/>
      <c r="AM399" s="31"/>
    </row>
    <row r="400" spans="1:39" ht="12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G400" s="31"/>
      <c r="AH400" s="31"/>
      <c r="AI400" s="31"/>
      <c r="AJ400" s="31"/>
      <c r="AK400" s="31"/>
      <c r="AL400" s="31"/>
      <c r="AM400" s="31"/>
    </row>
    <row r="401" spans="1:39" ht="12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G401" s="31"/>
      <c r="AH401" s="31"/>
      <c r="AI401" s="31"/>
      <c r="AJ401" s="31"/>
      <c r="AK401" s="31"/>
      <c r="AL401" s="31"/>
      <c r="AM401" s="31"/>
    </row>
    <row r="402" spans="1:39" ht="12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G402" s="31"/>
      <c r="AH402" s="31"/>
      <c r="AI402" s="31"/>
      <c r="AJ402" s="31"/>
      <c r="AK402" s="31"/>
      <c r="AL402" s="31"/>
      <c r="AM402" s="31"/>
    </row>
    <row r="403" spans="1:39" ht="12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G403" s="31"/>
      <c r="AH403" s="31"/>
      <c r="AI403" s="31"/>
      <c r="AJ403" s="31"/>
      <c r="AK403" s="31"/>
      <c r="AL403" s="31"/>
      <c r="AM403" s="31"/>
    </row>
    <row r="404" spans="1:39" ht="12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G404" s="31"/>
      <c r="AH404" s="31"/>
      <c r="AI404" s="31"/>
      <c r="AJ404" s="31"/>
      <c r="AK404" s="31"/>
      <c r="AL404" s="31"/>
      <c r="AM404" s="31"/>
    </row>
    <row r="405" spans="1:39" ht="12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G405" s="31"/>
      <c r="AH405" s="31"/>
      <c r="AI405" s="31"/>
      <c r="AJ405" s="31"/>
      <c r="AK405" s="31"/>
      <c r="AL405" s="31"/>
      <c r="AM405" s="31"/>
    </row>
    <row r="406" spans="1:39" ht="12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G406" s="31"/>
      <c r="AH406" s="31"/>
      <c r="AI406" s="31"/>
      <c r="AJ406" s="31"/>
      <c r="AK406" s="31"/>
      <c r="AL406" s="31"/>
      <c r="AM406" s="31"/>
    </row>
    <row r="407" spans="1:39" ht="12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G407" s="31"/>
      <c r="AH407" s="31"/>
      <c r="AI407" s="31"/>
      <c r="AJ407" s="31"/>
      <c r="AK407" s="31"/>
      <c r="AL407" s="31"/>
      <c r="AM407" s="31"/>
    </row>
    <row r="408" spans="1:39" ht="12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G408" s="31"/>
      <c r="AH408" s="31"/>
      <c r="AI408" s="31"/>
      <c r="AJ408" s="31"/>
      <c r="AK408" s="31"/>
      <c r="AL408" s="31"/>
      <c r="AM408" s="31"/>
    </row>
    <row r="409" spans="1:39" ht="12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G409" s="31"/>
      <c r="AH409" s="31"/>
      <c r="AI409" s="31"/>
      <c r="AJ409" s="31"/>
      <c r="AK409" s="31"/>
      <c r="AL409" s="31"/>
      <c r="AM409" s="31"/>
    </row>
    <row r="410" spans="1:39" ht="12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G410" s="31"/>
      <c r="AH410" s="31"/>
      <c r="AI410" s="31"/>
      <c r="AJ410" s="31"/>
      <c r="AK410" s="31"/>
      <c r="AL410" s="31"/>
      <c r="AM410" s="31"/>
    </row>
    <row r="411" spans="1:39" ht="12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G411" s="31"/>
      <c r="AH411" s="31"/>
      <c r="AI411" s="31"/>
      <c r="AJ411" s="31"/>
      <c r="AK411" s="31"/>
      <c r="AL411" s="31"/>
      <c r="AM411" s="31"/>
    </row>
    <row r="412" spans="1:39" ht="12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G412" s="31"/>
      <c r="AH412" s="31"/>
      <c r="AI412" s="31"/>
      <c r="AJ412" s="31"/>
      <c r="AK412" s="31"/>
      <c r="AL412" s="31"/>
      <c r="AM412" s="31"/>
    </row>
    <row r="413" spans="1:39" ht="12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G413" s="31"/>
      <c r="AH413" s="31"/>
      <c r="AI413" s="31"/>
      <c r="AJ413" s="31"/>
      <c r="AK413" s="31"/>
      <c r="AL413" s="31"/>
      <c r="AM413" s="31"/>
    </row>
    <row r="414" spans="1:39" ht="12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G414" s="31"/>
      <c r="AH414" s="31"/>
      <c r="AI414" s="31"/>
      <c r="AJ414" s="31"/>
      <c r="AK414" s="31"/>
      <c r="AL414" s="31"/>
      <c r="AM414" s="31"/>
    </row>
    <row r="415" spans="1:39" ht="12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G415" s="31"/>
      <c r="AH415" s="31"/>
      <c r="AI415" s="31"/>
      <c r="AJ415" s="31"/>
      <c r="AK415" s="31"/>
      <c r="AL415" s="31"/>
      <c r="AM415" s="31"/>
    </row>
    <row r="416" spans="1:39" ht="12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G416" s="31"/>
      <c r="AH416" s="31"/>
      <c r="AI416" s="31"/>
      <c r="AJ416" s="31"/>
      <c r="AK416" s="31"/>
      <c r="AL416" s="31"/>
      <c r="AM416" s="31"/>
    </row>
    <row r="417" spans="1:39" ht="12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G417" s="31"/>
      <c r="AH417" s="31"/>
      <c r="AI417" s="31"/>
      <c r="AJ417" s="31"/>
      <c r="AK417" s="31"/>
      <c r="AL417" s="31"/>
      <c r="AM417" s="31"/>
    </row>
    <row r="418" spans="1:39" ht="12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G418" s="31"/>
      <c r="AH418" s="31"/>
      <c r="AI418" s="31"/>
      <c r="AJ418" s="31"/>
      <c r="AK418" s="31"/>
      <c r="AL418" s="31"/>
      <c r="AM418" s="31"/>
    </row>
    <row r="419" spans="1:39" ht="12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G419" s="31"/>
      <c r="AH419" s="31"/>
      <c r="AI419" s="31"/>
      <c r="AJ419" s="31"/>
      <c r="AK419" s="31"/>
      <c r="AL419" s="31"/>
      <c r="AM419" s="31"/>
    </row>
    <row r="420" spans="1:39" ht="12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G420" s="31"/>
      <c r="AH420" s="31"/>
      <c r="AI420" s="31"/>
      <c r="AJ420" s="31"/>
      <c r="AK420" s="31"/>
      <c r="AL420" s="31"/>
      <c r="AM420" s="31"/>
    </row>
    <row r="421" spans="1:39" ht="12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G421" s="31"/>
      <c r="AH421" s="31"/>
      <c r="AI421" s="31"/>
      <c r="AJ421" s="31"/>
      <c r="AK421" s="31"/>
      <c r="AL421" s="31"/>
      <c r="AM421" s="31"/>
    </row>
    <row r="422" spans="1:39" ht="12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G422" s="31"/>
      <c r="AH422" s="31"/>
      <c r="AI422" s="31"/>
      <c r="AJ422" s="31"/>
      <c r="AK422" s="31"/>
      <c r="AL422" s="31"/>
      <c r="AM422" s="31"/>
    </row>
    <row r="423" spans="1:39" ht="12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G423" s="31"/>
      <c r="AH423" s="31"/>
      <c r="AI423" s="31"/>
      <c r="AJ423" s="31"/>
      <c r="AK423" s="31"/>
      <c r="AL423" s="31"/>
      <c r="AM423" s="31"/>
    </row>
    <row r="424" spans="1:39" ht="12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G424" s="31"/>
      <c r="AH424" s="31"/>
      <c r="AI424" s="31"/>
      <c r="AJ424" s="31"/>
      <c r="AK424" s="31"/>
      <c r="AL424" s="31"/>
      <c r="AM424" s="31"/>
    </row>
    <row r="425" spans="1:39" ht="12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G425" s="31"/>
      <c r="AH425" s="31"/>
      <c r="AI425" s="31"/>
      <c r="AJ425" s="31"/>
      <c r="AK425" s="31"/>
      <c r="AL425" s="31"/>
      <c r="AM425" s="31"/>
    </row>
    <row r="426" spans="1:39" ht="12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G426" s="31"/>
      <c r="AH426" s="31"/>
      <c r="AI426" s="31"/>
      <c r="AJ426" s="31"/>
      <c r="AK426" s="31"/>
      <c r="AL426" s="31"/>
      <c r="AM426" s="31"/>
    </row>
    <row r="427" spans="1:39" ht="12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G427" s="31"/>
      <c r="AH427" s="31"/>
      <c r="AI427" s="31"/>
      <c r="AJ427" s="31"/>
      <c r="AK427" s="31"/>
      <c r="AL427" s="31"/>
      <c r="AM427" s="31"/>
    </row>
    <row r="428" spans="1:39" ht="12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G428" s="31"/>
      <c r="AH428" s="31"/>
      <c r="AI428" s="31"/>
      <c r="AJ428" s="31"/>
      <c r="AK428" s="31"/>
      <c r="AL428" s="31"/>
      <c r="AM428" s="31"/>
    </row>
    <row r="429" spans="1:39" ht="12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G429" s="31"/>
      <c r="AH429" s="31"/>
      <c r="AI429" s="31"/>
      <c r="AJ429" s="31"/>
      <c r="AK429" s="31"/>
      <c r="AL429" s="31"/>
      <c r="AM429" s="31"/>
    </row>
    <row r="430" spans="1:39" ht="12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G430" s="31"/>
      <c r="AH430" s="31"/>
      <c r="AI430" s="31"/>
      <c r="AJ430" s="31"/>
      <c r="AK430" s="31"/>
      <c r="AL430" s="31"/>
      <c r="AM430" s="31"/>
    </row>
    <row r="431" spans="1:39" ht="12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G431" s="31"/>
      <c r="AH431" s="31"/>
      <c r="AI431" s="31"/>
      <c r="AJ431" s="31"/>
      <c r="AK431" s="31"/>
      <c r="AL431" s="31"/>
      <c r="AM431" s="31"/>
    </row>
    <row r="432" spans="1:39" ht="12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G432" s="31"/>
      <c r="AH432" s="31"/>
      <c r="AI432" s="31"/>
      <c r="AJ432" s="31"/>
      <c r="AK432" s="31"/>
      <c r="AL432" s="31"/>
      <c r="AM432" s="31"/>
    </row>
    <row r="433" spans="1:39" ht="12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G433" s="31"/>
      <c r="AH433" s="31"/>
      <c r="AI433" s="31"/>
      <c r="AJ433" s="31"/>
      <c r="AK433" s="31"/>
      <c r="AL433" s="31"/>
      <c r="AM433" s="31"/>
    </row>
    <row r="434" spans="1:39" ht="12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G434" s="31"/>
      <c r="AH434" s="31"/>
      <c r="AI434" s="31"/>
      <c r="AJ434" s="31"/>
      <c r="AK434" s="31"/>
      <c r="AL434" s="31"/>
      <c r="AM434" s="31"/>
    </row>
    <row r="435" spans="1:39" ht="12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G435" s="31"/>
      <c r="AH435" s="31"/>
      <c r="AI435" s="31"/>
      <c r="AJ435" s="31"/>
      <c r="AK435" s="31"/>
      <c r="AL435" s="31"/>
      <c r="AM435" s="31"/>
    </row>
    <row r="436" spans="1:39" ht="12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G436" s="31"/>
      <c r="AH436" s="31"/>
      <c r="AI436" s="31"/>
      <c r="AJ436" s="31"/>
      <c r="AK436" s="31"/>
      <c r="AL436" s="31"/>
      <c r="AM436" s="31"/>
    </row>
    <row r="437" spans="1:39" ht="12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G437" s="31"/>
      <c r="AH437" s="31"/>
      <c r="AI437" s="31"/>
      <c r="AJ437" s="31"/>
      <c r="AK437" s="31"/>
      <c r="AL437" s="31"/>
      <c r="AM437" s="31"/>
    </row>
    <row r="438" spans="1:39" ht="12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G438" s="31"/>
      <c r="AH438" s="31"/>
      <c r="AI438" s="31"/>
      <c r="AJ438" s="31"/>
      <c r="AK438" s="31"/>
      <c r="AL438" s="31"/>
      <c r="AM438" s="31"/>
    </row>
    <row r="439" spans="1:39" ht="12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G439" s="31"/>
      <c r="AH439" s="31"/>
      <c r="AI439" s="31"/>
      <c r="AJ439" s="31"/>
      <c r="AK439" s="31"/>
      <c r="AL439" s="31"/>
      <c r="AM439" s="31"/>
    </row>
    <row r="440" spans="1:39" ht="12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G440" s="31"/>
      <c r="AH440" s="31"/>
      <c r="AI440" s="31"/>
      <c r="AJ440" s="31"/>
      <c r="AK440" s="31"/>
      <c r="AL440" s="31"/>
      <c r="AM440" s="31"/>
    </row>
    <row r="441" spans="1:39" ht="12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G441" s="31"/>
      <c r="AH441" s="31"/>
      <c r="AI441" s="31"/>
      <c r="AJ441" s="31"/>
      <c r="AK441" s="31"/>
      <c r="AL441" s="31"/>
      <c r="AM441" s="31"/>
    </row>
    <row r="442" spans="1:39" ht="12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G442" s="31"/>
      <c r="AH442" s="31"/>
      <c r="AI442" s="31"/>
      <c r="AJ442" s="31"/>
      <c r="AK442" s="31"/>
      <c r="AL442" s="31"/>
      <c r="AM442" s="31"/>
    </row>
    <row r="443" spans="1:39" ht="12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G443" s="31"/>
      <c r="AH443" s="31"/>
      <c r="AI443" s="31"/>
      <c r="AJ443" s="31"/>
      <c r="AK443" s="31"/>
      <c r="AL443" s="31"/>
      <c r="AM443" s="31"/>
    </row>
    <row r="444" spans="1:39" ht="12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G444" s="31"/>
      <c r="AH444" s="31"/>
      <c r="AI444" s="31"/>
      <c r="AJ444" s="31"/>
      <c r="AK444" s="31"/>
      <c r="AL444" s="31"/>
      <c r="AM444" s="31"/>
    </row>
    <row r="445" spans="1:39" ht="12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G445" s="31"/>
      <c r="AH445" s="31"/>
      <c r="AI445" s="31"/>
      <c r="AJ445" s="31"/>
      <c r="AK445" s="31"/>
      <c r="AL445" s="31"/>
      <c r="AM445" s="31"/>
    </row>
    <row r="446" spans="1:39" ht="12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G446" s="31"/>
      <c r="AH446" s="31"/>
      <c r="AI446" s="31"/>
      <c r="AJ446" s="31"/>
      <c r="AK446" s="31"/>
      <c r="AL446" s="31"/>
      <c r="AM446" s="31"/>
    </row>
    <row r="447" spans="1:39" ht="12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G447" s="31"/>
      <c r="AH447" s="31"/>
      <c r="AI447" s="31"/>
      <c r="AJ447" s="31"/>
      <c r="AK447" s="31"/>
      <c r="AL447" s="31"/>
      <c r="AM447" s="31"/>
    </row>
    <row r="448" spans="1:39" ht="12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G448" s="31"/>
      <c r="AH448" s="31"/>
      <c r="AI448" s="31"/>
      <c r="AJ448" s="31"/>
      <c r="AK448" s="31"/>
      <c r="AL448" s="31"/>
      <c r="AM448" s="31"/>
    </row>
    <row r="449" spans="1:39" ht="12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G449" s="31"/>
      <c r="AH449" s="31"/>
      <c r="AI449" s="31"/>
      <c r="AJ449" s="31"/>
      <c r="AK449" s="31"/>
      <c r="AL449" s="31"/>
      <c r="AM449" s="31"/>
    </row>
    <row r="450" spans="1:39" ht="12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G450" s="31"/>
      <c r="AH450" s="31"/>
      <c r="AI450" s="31"/>
      <c r="AJ450" s="31"/>
      <c r="AK450" s="31"/>
      <c r="AL450" s="31"/>
      <c r="AM450" s="31"/>
    </row>
    <row r="451" spans="1:39" ht="12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G451" s="31"/>
      <c r="AH451" s="31"/>
      <c r="AI451" s="31"/>
      <c r="AJ451" s="31"/>
      <c r="AK451" s="31"/>
      <c r="AL451" s="31"/>
      <c r="AM451" s="31"/>
    </row>
    <row r="452" spans="1:39" ht="12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G452" s="31"/>
      <c r="AH452" s="31"/>
      <c r="AI452" s="31"/>
      <c r="AJ452" s="31"/>
      <c r="AK452" s="31"/>
      <c r="AL452" s="31"/>
      <c r="AM452" s="31"/>
    </row>
    <row r="453" spans="1:39" ht="12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G453" s="31"/>
      <c r="AH453" s="31"/>
      <c r="AI453" s="31"/>
      <c r="AJ453" s="31"/>
      <c r="AK453" s="31"/>
      <c r="AL453" s="31"/>
      <c r="AM453" s="31"/>
    </row>
    <row r="454" spans="1:39" ht="12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G454" s="31"/>
      <c r="AH454" s="31"/>
      <c r="AI454" s="31"/>
      <c r="AJ454" s="31"/>
      <c r="AK454" s="31"/>
      <c r="AL454" s="31"/>
      <c r="AM454" s="31"/>
    </row>
    <row r="455" spans="1:39" ht="12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G455" s="31"/>
      <c r="AH455" s="31"/>
      <c r="AI455" s="31"/>
      <c r="AJ455" s="31"/>
      <c r="AK455" s="31"/>
      <c r="AL455" s="31"/>
      <c r="AM455" s="31"/>
    </row>
    <row r="456" spans="1:39" ht="12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G456" s="31"/>
      <c r="AH456" s="31"/>
      <c r="AI456" s="31"/>
      <c r="AJ456" s="31"/>
      <c r="AK456" s="31"/>
      <c r="AL456" s="31"/>
      <c r="AM456" s="31"/>
    </row>
    <row r="457" spans="1:39" ht="12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G457" s="31"/>
      <c r="AH457" s="31"/>
      <c r="AI457" s="31"/>
      <c r="AJ457" s="31"/>
      <c r="AK457" s="31"/>
      <c r="AL457" s="31"/>
      <c r="AM457" s="31"/>
    </row>
    <row r="458" spans="1:39" ht="12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G458" s="31"/>
      <c r="AH458" s="31"/>
      <c r="AI458" s="31"/>
      <c r="AJ458" s="31"/>
      <c r="AK458" s="31"/>
      <c r="AL458" s="31"/>
      <c r="AM458" s="31"/>
    </row>
    <row r="459" spans="1:39" ht="12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G459" s="31"/>
      <c r="AH459" s="31"/>
      <c r="AI459" s="31"/>
      <c r="AJ459" s="31"/>
      <c r="AK459" s="31"/>
      <c r="AL459" s="31"/>
      <c r="AM459" s="31"/>
    </row>
    <row r="460" spans="1:39" ht="12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G460" s="31"/>
      <c r="AH460" s="31"/>
      <c r="AI460" s="31"/>
      <c r="AJ460" s="31"/>
      <c r="AK460" s="31"/>
      <c r="AL460" s="31"/>
      <c r="AM460" s="31"/>
    </row>
    <row r="461" spans="1:39" ht="12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G461" s="31"/>
      <c r="AH461" s="31"/>
      <c r="AI461" s="31"/>
      <c r="AJ461" s="31"/>
      <c r="AK461" s="31"/>
      <c r="AL461" s="31"/>
      <c r="AM461" s="31"/>
    </row>
    <row r="462" spans="1:39" ht="12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G462" s="31"/>
      <c r="AH462" s="31"/>
      <c r="AI462" s="31"/>
      <c r="AJ462" s="31"/>
      <c r="AK462" s="31"/>
      <c r="AL462" s="31"/>
      <c r="AM462" s="31"/>
    </row>
    <row r="463" spans="1:39" ht="12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G463" s="31"/>
      <c r="AH463" s="31"/>
      <c r="AI463" s="31"/>
      <c r="AJ463" s="31"/>
      <c r="AK463" s="31"/>
      <c r="AL463" s="31"/>
      <c r="AM463" s="31"/>
    </row>
    <row r="464" spans="1:39" ht="12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G464" s="31"/>
      <c r="AH464" s="31"/>
      <c r="AI464" s="31"/>
      <c r="AJ464" s="31"/>
      <c r="AK464" s="31"/>
      <c r="AL464" s="31"/>
      <c r="AM464" s="31"/>
    </row>
    <row r="465" spans="1:39" ht="12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G465" s="31"/>
      <c r="AH465" s="31"/>
      <c r="AI465" s="31"/>
      <c r="AJ465" s="31"/>
      <c r="AK465" s="31"/>
      <c r="AL465" s="31"/>
      <c r="AM465" s="31"/>
    </row>
    <row r="466" spans="1:39" ht="12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G466" s="31"/>
      <c r="AH466" s="31"/>
      <c r="AI466" s="31"/>
      <c r="AJ466" s="31"/>
      <c r="AK466" s="31"/>
      <c r="AL466" s="31"/>
      <c r="AM466" s="31"/>
    </row>
    <row r="467" spans="1:39" ht="12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G467" s="31"/>
      <c r="AH467" s="31"/>
      <c r="AI467" s="31"/>
      <c r="AJ467" s="31"/>
      <c r="AK467" s="31"/>
      <c r="AL467" s="31"/>
      <c r="AM467" s="31"/>
    </row>
    <row r="468" spans="1:39" ht="12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G468" s="31"/>
      <c r="AH468" s="31"/>
      <c r="AI468" s="31"/>
      <c r="AJ468" s="31"/>
      <c r="AK468" s="31"/>
      <c r="AL468" s="31"/>
      <c r="AM468" s="31"/>
    </row>
    <row r="469" spans="1:39" ht="12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G469" s="31"/>
      <c r="AH469" s="31"/>
      <c r="AI469" s="31"/>
      <c r="AJ469" s="31"/>
      <c r="AK469" s="31"/>
      <c r="AL469" s="31"/>
      <c r="AM469" s="31"/>
    </row>
    <row r="470" spans="1:39" ht="12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G470" s="31"/>
      <c r="AH470" s="31"/>
      <c r="AI470" s="31"/>
      <c r="AJ470" s="31"/>
      <c r="AK470" s="31"/>
      <c r="AL470" s="31"/>
      <c r="AM470" s="31"/>
    </row>
    <row r="471" spans="1:39" ht="12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G471" s="31"/>
      <c r="AH471" s="31"/>
      <c r="AI471" s="31"/>
      <c r="AJ471" s="31"/>
      <c r="AK471" s="31"/>
      <c r="AL471" s="31"/>
      <c r="AM471" s="31"/>
    </row>
    <row r="472" spans="1:39" ht="12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G472" s="31"/>
      <c r="AH472" s="31"/>
      <c r="AI472" s="31"/>
      <c r="AJ472" s="31"/>
      <c r="AK472" s="31"/>
      <c r="AL472" s="31"/>
      <c r="AM472" s="31"/>
    </row>
    <row r="473" spans="1:39" ht="12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G473" s="31"/>
      <c r="AH473" s="31"/>
      <c r="AI473" s="31"/>
      <c r="AJ473" s="31"/>
      <c r="AK473" s="31"/>
      <c r="AL473" s="31"/>
      <c r="AM473" s="31"/>
    </row>
    <row r="474" spans="1:39" ht="12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G474" s="31"/>
      <c r="AH474" s="31"/>
      <c r="AI474" s="31"/>
      <c r="AJ474" s="31"/>
      <c r="AK474" s="31"/>
      <c r="AL474" s="31"/>
      <c r="AM474" s="31"/>
    </row>
    <row r="475" spans="1:39" ht="12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G475" s="31"/>
      <c r="AH475" s="31"/>
      <c r="AI475" s="31"/>
      <c r="AJ475" s="31"/>
      <c r="AK475" s="31"/>
      <c r="AL475" s="31"/>
      <c r="AM475" s="31"/>
    </row>
    <row r="476" spans="1:39" ht="12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G476" s="31"/>
      <c r="AH476" s="31"/>
      <c r="AI476" s="31"/>
      <c r="AJ476" s="31"/>
      <c r="AK476" s="31"/>
      <c r="AL476" s="31"/>
      <c r="AM476" s="31"/>
    </row>
    <row r="477" spans="1:39" ht="12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G477" s="31"/>
      <c r="AH477" s="31"/>
      <c r="AI477" s="31"/>
      <c r="AJ477" s="31"/>
      <c r="AK477" s="31"/>
      <c r="AL477" s="31"/>
      <c r="AM477" s="31"/>
    </row>
    <row r="478" spans="1:39" ht="12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G478" s="31"/>
      <c r="AH478" s="31"/>
      <c r="AI478" s="31"/>
      <c r="AJ478" s="31"/>
      <c r="AK478" s="31"/>
      <c r="AL478" s="31"/>
      <c r="AM478" s="31"/>
    </row>
    <row r="479" spans="1:39" ht="12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G479" s="31"/>
      <c r="AH479" s="31"/>
      <c r="AI479" s="31"/>
      <c r="AJ479" s="31"/>
      <c r="AK479" s="31"/>
      <c r="AL479" s="31"/>
      <c r="AM479" s="31"/>
    </row>
    <row r="480" spans="1:39" ht="12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G480" s="31"/>
      <c r="AH480" s="31"/>
      <c r="AI480" s="31"/>
      <c r="AJ480" s="31"/>
      <c r="AK480" s="31"/>
      <c r="AL480" s="31"/>
      <c r="AM480" s="31"/>
    </row>
    <row r="481" spans="1:39" ht="12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G481" s="31"/>
      <c r="AH481" s="31"/>
      <c r="AI481" s="31"/>
      <c r="AJ481" s="31"/>
      <c r="AK481" s="31"/>
      <c r="AL481" s="31"/>
      <c r="AM481" s="31"/>
    </row>
    <row r="482" spans="1:39" ht="12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G482" s="31"/>
      <c r="AH482" s="31"/>
      <c r="AI482" s="31"/>
      <c r="AJ482" s="31"/>
      <c r="AK482" s="31"/>
      <c r="AL482" s="31"/>
      <c r="AM482" s="31"/>
    </row>
    <row r="483" spans="1:39" ht="12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G483" s="31"/>
      <c r="AH483" s="31"/>
      <c r="AI483" s="31"/>
      <c r="AJ483" s="31"/>
      <c r="AK483" s="31"/>
      <c r="AL483" s="31"/>
      <c r="AM483" s="31"/>
    </row>
    <row r="484" spans="1:39" ht="12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G484" s="31"/>
      <c r="AH484" s="31"/>
      <c r="AI484" s="31"/>
      <c r="AJ484" s="31"/>
      <c r="AK484" s="31"/>
      <c r="AL484" s="31"/>
      <c r="AM484" s="31"/>
    </row>
    <row r="485" spans="1:39" ht="12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G485" s="31"/>
      <c r="AH485" s="31"/>
      <c r="AI485" s="31"/>
      <c r="AJ485" s="31"/>
      <c r="AK485" s="31"/>
      <c r="AL485" s="31"/>
      <c r="AM485" s="31"/>
    </row>
    <row r="486" spans="1:39" ht="12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G486" s="31"/>
      <c r="AH486" s="31"/>
      <c r="AI486" s="31"/>
      <c r="AJ486" s="31"/>
      <c r="AK486" s="31"/>
      <c r="AL486" s="31"/>
      <c r="AM486" s="31"/>
    </row>
    <row r="487" spans="1:39" ht="12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G487" s="31"/>
      <c r="AH487" s="31"/>
      <c r="AI487" s="31"/>
      <c r="AJ487" s="31"/>
      <c r="AK487" s="31"/>
      <c r="AL487" s="31"/>
      <c r="AM487" s="31"/>
    </row>
    <row r="488" spans="1:39" ht="12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G488" s="31"/>
      <c r="AH488" s="31"/>
      <c r="AI488" s="31"/>
      <c r="AJ488" s="31"/>
      <c r="AK488" s="31"/>
      <c r="AL488" s="31"/>
      <c r="AM488" s="31"/>
    </row>
    <row r="489" spans="1:39" ht="12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G489" s="31"/>
      <c r="AH489" s="31"/>
      <c r="AI489" s="31"/>
      <c r="AJ489" s="31"/>
      <c r="AK489" s="31"/>
      <c r="AL489" s="31"/>
      <c r="AM489" s="31"/>
    </row>
    <row r="490" spans="1:39" ht="12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G490" s="31"/>
      <c r="AH490" s="31"/>
      <c r="AI490" s="31"/>
      <c r="AJ490" s="31"/>
      <c r="AK490" s="31"/>
      <c r="AL490" s="31"/>
      <c r="AM490" s="31"/>
    </row>
    <row r="491" spans="1:39" ht="12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G491" s="31"/>
      <c r="AH491" s="31"/>
      <c r="AI491" s="31"/>
      <c r="AJ491" s="31"/>
      <c r="AK491" s="31"/>
      <c r="AL491" s="31"/>
      <c r="AM491" s="31"/>
    </row>
    <row r="492" spans="1:39" ht="12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G492" s="31"/>
      <c r="AH492" s="31"/>
      <c r="AI492" s="31"/>
      <c r="AJ492" s="31"/>
      <c r="AK492" s="31"/>
      <c r="AL492" s="31"/>
      <c r="AM492" s="31"/>
    </row>
    <row r="493" spans="1:39" ht="12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G493" s="31"/>
      <c r="AH493" s="31"/>
      <c r="AI493" s="31"/>
      <c r="AJ493" s="31"/>
      <c r="AK493" s="31"/>
      <c r="AL493" s="31"/>
      <c r="AM493" s="31"/>
    </row>
    <row r="494" spans="1:39" ht="12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G494" s="31"/>
      <c r="AH494" s="31"/>
      <c r="AI494" s="31"/>
      <c r="AJ494" s="31"/>
      <c r="AK494" s="31"/>
      <c r="AL494" s="31"/>
      <c r="AM494" s="31"/>
    </row>
    <row r="495" spans="1:39" ht="12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G495" s="31"/>
      <c r="AH495" s="31"/>
      <c r="AI495" s="31"/>
      <c r="AJ495" s="31"/>
      <c r="AK495" s="31"/>
      <c r="AL495" s="31"/>
      <c r="AM495" s="31"/>
    </row>
    <row r="496" spans="1:39" ht="12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G496" s="31"/>
      <c r="AH496" s="31"/>
      <c r="AI496" s="31"/>
      <c r="AJ496" s="31"/>
      <c r="AK496" s="31"/>
      <c r="AL496" s="31"/>
      <c r="AM496" s="31"/>
    </row>
    <row r="497" spans="1:39" ht="12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G497" s="31"/>
      <c r="AH497" s="31"/>
      <c r="AI497" s="31"/>
      <c r="AJ497" s="31"/>
      <c r="AK497" s="31"/>
      <c r="AL497" s="31"/>
      <c r="AM497" s="31"/>
    </row>
    <row r="498" spans="1:39" ht="12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G498" s="31"/>
      <c r="AH498" s="31"/>
      <c r="AI498" s="31"/>
      <c r="AJ498" s="31"/>
      <c r="AK498" s="31"/>
      <c r="AL498" s="31"/>
      <c r="AM498" s="31"/>
    </row>
    <row r="499" spans="1:39" ht="12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G499" s="31"/>
      <c r="AH499" s="31"/>
      <c r="AI499" s="31"/>
      <c r="AJ499" s="31"/>
      <c r="AK499" s="31"/>
      <c r="AL499" s="31"/>
      <c r="AM499" s="31"/>
    </row>
    <row r="500" spans="1:39" ht="12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G500" s="31"/>
      <c r="AH500" s="31"/>
      <c r="AI500" s="31"/>
      <c r="AJ500" s="31"/>
      <c r="AK500" s="31"/>
      <c r="AL500" s="31"/>
      <c r="AM500" s="31"/>
    </row>
    <row r="501" spans="1:39" ht="12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G501" s="31"/>
      <c r="AH501" s="31"/>
      <c r="AI501" s="31"/>
      <c r="AJ501" s="31"/>
      <c r="AK501" s="31"/>
      <c r="AL501" s="31"/>
      <c r="AM501" s="31"/>
    </row>
    <row r="502" spans="1:39" ht="12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G502" s="31"/>
      <c r="AH502" s="31"/>
      <c r="AI502" s="31"/>
      <c r="AJ502" s="31"/>
      <c r="AK502" s="31"/>
      <c r="AL502" s="31"/>
      <c r="AM502" s="31"/>
    </row>
    <row r="503" spans="1:39" ht="12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G503" s="31"/>
      <c r="AH503" s="31"/>
      <c r="AI503" s="31"/>
      <c r="AJ503" s="31"/>
      <c r="AK503" s="31"/>
      <c r="AL503" s="31"/>
      <c r="AM503" s="31"/>
    </row>
    <row r="504" spans="1:39" ht="12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G504" s="31"/>
      <c r="AH504" s="31"/>
      <c r="AI504" s="31"/>
      <c r="AJ504" s="31"/>
      <c r="AK504" s="31"/>
      <c r="AL504" s="31"/>
      <c r="AM504" s="31"/>
    </row>
    <row r="505" spans="1:39" ht="12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G505" s="31"/>
      <c r="AH505" s="31"/>
      <c r="AI505" s="31"/>
      <c r="AJ505" s="31"/>
      <c r="AK505" s="31"/>
      <c r="AL505" s="31"/>
      <c r="AM505" s="31"/>
    </row>
    <row r="506" spans="1:39" ht="12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G506" s="31"/>
      <c r="AH506" s="31"/>
      <c r="AI506" s="31"/>
      <c r="AJ506" s="31"/>
      <c r="AK506" s="31"/>
      <c r="AL506" s="31"/>
      <c r="AM506" s="31"/>
    </row>
    <row r="507" spans="1:39" ht="12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G507" s="31"/>
      <c r="AH507" s="31"/>
      <c r="AI507" s="31"/>
      <c r="AJ507" s="31"/>
      <c r="AK507" s="31"/>
      <c r="AL507" s="31"/>
      <c r="AM507" s="31"/>
    </row>
    <row r="508" spans="1:39" ht="12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G508" s="31"/>
      <c r="AH508" s="31"/>
      <c r="AI508" s="31"/>
      <c r="AJ508" s="31"/>
      <c r="AK508" s="31"/>
      <c r="AL508" s="31"/>
      <c r="AM508" s="31"/>
    </row>
    <row r="509" spans="1:39" ht="12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G509" s="31"/>
      <c r="AH509" s="31"/>
      <c r="AI509" s="31"/>
      <c r="AJ509" s="31"/>
      <c r="AK509" s="31"/>
      <c r="AL509" s="31"/>
      <c r="AM509" s="31"/>
    </row>
    <row r="510" spans="1:39" ht="12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G510" s="31"/>
      <c r="AH510" s="31"/>
      <c r="AI510" s="31"/>
      <c r="AJ510" s="31"/>
      <c r="AK510" s="31"/>
      <c r="AL510" s="31"/>
      <c r="AM510" s="31"/>
    </row>
    <row r="511" spans="1:39" ht="12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G511" s="31"/>
      <c r="AH511" s="31"/>
      <c r="AI511" s="31"/>
      <c r="AJ511" s="31"/>
      <c r="AK511" s="31"/>
      <c r="AL511" s="31"/>
      <c r="AM511" s="31"/>
    </row>
    <row r="512" spans="1:39" ht="12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G512" s="31"/>
      <c r="AH512" s="31"/>
      <c r="AI512" s="31"/>
      <c r="AJ512" s="31"/>
      <c r="AK512" s="31"/>
      <c r="AL512" s="31"/>
      <c r="AM512" s="31"/>
    </row>
    <row r="513" spans="1:39" ht="12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G513" s="31"/>
      <c r="AH513" s="31"/>
      <c r="AI513" s="31"/>
      <c r="AJ513" s="31"/>
      <c r="AK513" s="31"/>
      <c r="AL513" s="31"/>
      <c r="AM513" s="31"/>
    </row>
    <row r="514" spans="1:39" ht="12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G514" s="31"/>
      <c r="AH514" s="31"/>
      <c r="AI514" s="31"/>
      <c r="AJ514" s="31"/>
      <c r="AK514" s="31"/>
      <c r="AL514" s="31"/>
      <c r="AM514" s="31"/>
    </row>
    <row r="515" spans="1:39" ht="12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G515" s="31"/>
      <c r="AH515" s="31"/>
      <c r="AI515" s="31"/>
      <c r="AJ515" s="31"/>
      <c r="AK515" s="31"/>
      <c r="AL515" s="31"/>
      <c r="AM515" s="31"/>
    </row>
    <row r="516" spans="1:39" ht="12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G516" s="31"/>
      <c r="AH516" s="31"/>
      <c r="AI516" s="31"/>
      <c r="AJ516" s="31"/>
      <c r="AK516" s="31"/>
      <c r="AL516" s="31"/>
      <c r="AM516" s="31"/>
    </row>
    <row r="517" spans="1:39" ht="12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G517" s="31"/>
      <c r="AH517" s="31"/>
      <c r="AI517" s="31"/>
      <c r="AJ517" s="31"/>
      <c r="AK517" s="31"/>
      <c r="AL517" s="31"/>
      <c r="AM517" s="31"/>
    </row>
    <row r="518" spans="1:39" ht="12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G518" s="31"/>
      <c r="AH518" s="31"/>
      <c r="AI518" s="31"/>
      <c r="AJ518" s="31"/>
      <c r="AK518" s="31"/>
      <c r="AL518" s="31"/>
      <c r="AM518" s="31"/>
    </row>
    <row r="519" spans="1:39" ht="12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G519" s="31"/>
      <c r="AH519" s="31"/>
      <c r="AI519" s="31"/>
      <c r="AJ519" s="31"/>
      <c r="AK519" s="31"/>
      <c r="AL519" s="31"/>
      <c r="AM519" s="31"/>
    </row>
    <row r="520" spans="1:39" ht="12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G520" s="31"/>
      <c r="AH520" s="31"/>
      <c r="AI520" s="31"/>
      <c r="AJ520" s="31"/>
      <c r="AK520" s="31"/>
      <c r="AL520" s="31"/>
      <c r="AM520" s="31"/>
    </row>
    <row r="521" spans="1:39" ht="12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G521" s="31"/>
      <c r="AH521" s="31"/>
      <c r="AI521" s="31"/>
      <c r="AJ521" s="31"/>
      <c r="AK521" s="31"/>
      <c r="AL521" s="31"/>
      <c r="AM521" s="31"/>
    </row>
    <row r="522" spans="1:39" ht="12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G522" s="31"/>
      <c r="AH522" s="31"/>
      <c r="AI522" s="31"/>
      <c r="AJ522" s="31"/>
      <c r="AK522" s="31"/>
      <c r="AL522" s="31"/>
      <c r="AM522" s="31"/>
    </row>
    <row r="523" spans="1:39" ht="12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G523" s="31"/>
      <c r="AH523" s="31"/>
      <c r="AI523" s="31"/>
      <c r="AJ523" s="31"/>
      <c r="AK523" s="31"/>
      <c r="AL523" s="31"/>
      <c r="AM523" s="31"/>
    </row>
    <row r="524" spans="1:39" ht="12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G524" s="31"/>
      <c r="AH524" s="31"/>
      <c r="AI524" s="31"/>
      <c r="AJ524" s="31"/>
      <c r="AK524" s="31"/>
      <c r="AL524" s="31"/>
      <c r="AM524" s="31"/>
    </row>
    <row r="525" spans="1:39" ht="12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G525" s="31"/>
      <c r="AH525" s="31"/>
      <c r="AI525" s="31"/>
      <c r="AJ525" s="31"/>
      <c r="AK525" s="31"/>
      <c r="AL525" s="31"/>
      <c r="AM525" s="31"/>
    </row>
  </sheetData>
  <sheetProtection/>
  <printOptions horizontalCentered="1"/>
  <pageMargins left="0.5" right="0.5" top="0.5" bottom="0.5" header="0" footer="0.25"/>
  <pageSetup firstPageNumber="36" useFirstPageNumber="1" fitToHeight="2" fitToWidth="2" horizontalDpi="600" verticalDpi="600" orientation="portrait" pageOrder="overThenDown" scale="90" r:id="rId1"/>
  <headerFooter alignWithMargins="0">
    <oddFooter>&amp;C&amp;"Times New Roman,Regular"&amp;11&amp;P</oddFooter>
  </headerFooter>
  <colBreaks count="1" manualBreakCount="1">
    <brk id="14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G .Wilcheck</cp:lastModifiedBy>
  <cp:lastPrinted>2011-01-25T13:29:30Z</cp:lastPrinted>
  <dcterms:created xsi:type="dcterms:W3CDTF">2002-06-04T12:17:39Z</dcterms:created>
  <dcterms:modified xsi:type="dcterms:W3CDTF">2011-03-17T14:25:51Z</dcterms:modified>
  <cp:category/>
  <cp:version/>
  <cp:contentType/>
  <cp:contentStatus/>
</cp:coreProperties>
</file>